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filterPrivacy="1" showInkAnnotation="0" codeName="ThisWorkbook"/>
  <xr:revisionPtr revIDLastSave="0" documentId="8_{7A5DE89B-4D6C-4979-9E25-89A9CC769119}" xr6:coauthVersionLast="47" xr6:coauthVersionMax="47" xr10:uidLastSave="{00000000-0000-0000-0000-000000000000}"/>
  <bookViews>
    <workbookView xWindow="22365" yWindow="-16320" windowWidth="29040" windowHeight="15840" tabRatio="846"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steady state mass flows b17_32 (engine)" guid="{E10D540C-7CBD-11D4-9F98-0000E22085C7}" maximized="1" xWindow="2" windowWidth="814" windowHeight="473" activeSheetId="6"/>
    <customWorkbookView name="steady state mass flows b1_16 (engine)" guid="{E10D540B-7CBD-11D4-9F98-0000E22085C7}" maximized="1" xWindow="2" windowWidth="814" windowHeight="473" activeSheetId="6"/>
    <customWorkbookView name="steady state mass flows (tropic)" guid="{E10D540A-7CBD-11D4-9F98-0000E22085C7}" maximized="1" xWindow="2" windowWidth="814" windowHeight="473" activeSheetId="5"/>
    <customWorkbookView name="steady state mass flows (regional)" guid="{E10D5409-7CBD-11D4-9F98-0000E22085C7}" maximized="1" xWindow="2" windowWidth="814" windowHeight="473" activeSheetId="1"/>
    <customWorkbookView name="steady state mass flows (moderate)" guid="{E10D5408-7CBD-11D4-9F98-0000E22085C7}" maximized="1" xWindow="2" windowWidth="814" windowHeight="473" activeSheetId="3"/>
    <customWorkbookView name="steady state mass flows (continental)" guid="{E10D5407-7CBD-11D4-9F98-0000E22085C7}" maximized="1" xWindow="2" windowWidth="814" windowHeight="473" activeSheetId="2"/>
    <customWorkbookView name="steady state mass flows (arctic)" guid="{E10D5406-7CBD-11D4-9F98-0000E22085C7}" maximized="1" xWindow="2" windowWidth="814" windowHeight="473" activeSheetId="4"/>
    <customWorkbookView name="steady state comp. box 17_32 (engine)" guid="{E10D5405-7CBD-11D4-9F98-0000E22085C7}" maximized="1" xWindow="2" windowWidth="814" windowHeight="473" activeSheetId="6"/>
    <customWorkbookView name="steady state comp. box 1_16 (engine)" guid="{E10D5404-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quasi dynamic comp. forcings (engine)" guid="{E10D53FF-7CBD-11D4-9F98-0000E22085C7}" maximized="1" xWindow="2" windowWidth="814" windowHeight="473" activeSheetId="6"/>
    <customWorkbookView name="proces half life (tropic)" guid="{E10D53FE-7CBD-11D4-9F98-0000E22085C7}" maximized="1" xWindow="2" windowWidth="814" windowHeight="473" activeSheetId="5"/>
    <customWorkbookView name="proces half life (regional)" guid="{E10D53FD-7CBD-11D4-9F98-0000E22085C7}" maximized="1" xWindow="2" windowWidth="814" windowHeight="473" activeSheetId="1"/>
    <customWorkbookView name="proces half life (moderate)" guid="{E10D53FC-7CBD-11D4-9F98-0000E22085C7}" maximized="1" xWindow="2" windowWidth="814" windowHeight="473" activeSheetId="3"/>
    <customWorkbookView name="proces half life (continental)" guid="{E10D53FB-7CBD-11D4-9F98-0000E22085C7}" maximized="1" xWindow="2" windowWidth="814" windowHeight="473" activeSheetId="2"/>
    <customWorkbookView name="proces half life (arctic)" guid="{E10D53FA-7CBD-11D4-9F98-0000E22085C7}" maximized="1" xWindow="2" windowWidth="814" windowHeight="473" activeSheetId="4"/>
    <customWorkbookView name="output analysis report (tropic)" guid="{E10D53F9-7CBD-11D4-9F98-0000E22085C7}" maximized="1" xWindow="2" windowWidth="814" windowHeight="473" activeSheetId="5"/>
    <customWorkbookView name="output analysis report (regional)" guid="{E10D53F8-7CBD-11D4-9F98-0000E22085C7}" maximized="1" xWindow="2" windowWidth="814" windowHeight="443" activeSheetId="1"/>
    <customWorkbookView name="output analysis report (moderate)" guid="{E10D53F7-7CBD-11D4-9F98-0000E22085C7}" maximized="1" xWindow="2" windowWidth="814" windowHeight="473" activeSheetId="3"/>
    <customWorkbookView name="output analysis report (continental)" guid="{E10D53F6-7CBD-11D4-9F98-0000E22085C7}" maximized="1" xWindow="2" windowWidth="814" windowHeight="473" activeSheetId="2"/>
    <customWorkbookView name="output analysis report (arctic)" guid="{E10D53F5-7CBD-11D4-9F98-0000E22085C7}" maximized="1" xWindow="2" windowWidth="814" windowHeight="473" activeSheetId="4"/>
    <customWorkbookView name="model picture (tropic)" guid="{E10D53F4-7CBD-11D4-9F98-0000E22085C7}" maximized="1" xWindow="2" windowWidth="814" windowHeight="473" activeSheetId="5"/>
    <customWorkbookView name="model picture (regional)" guid="{E10D53F3-7CBD-11D4-9F98-0000E22085C7}" maximized="1" xWindow="2" windowWidth="814" windowHeight="443" activeSheetId="1"/>
    <customWorkbookView name="model picture (moderate)" guid="{E10D53F2-7CBD-11D4-9F98-0000E22085C7}" maximized="1" xWindow="2" windowWidth="814" windowHeight="473" activeSheetId="3"/>
    <customWorkbookView name="model picture (continental)" guid="{E10D53F1-7CBD-11D4-9F98-0000E22085C7}" maximized="1" xWindow="2" windowWidth="814" windowHeight="473" activeSheetId="2"/>
    <customWorkbookView name="model picture (arctic)" guid="{E10D53F0-7CBD-11D4-9F98-0000E22085C7}" maximized="1" xWindow="2" windowWidth="814" windowHeight="473" activeSheetId="4"/>
    <customWorkbookView name="model definition (tropic)" guid="{E10D53EF-7CBD-11D4-9F98-0000E22085C7}" maximized="1" xWindow="2" windowWidth="814" windowHeight="473" activeSheetId="5"/>
    <customWorkbookView name="model definition (regional)" guid="{E10D53EE-7CBD-11D4-9F98-0000E22085C7}" maximized="1" xWindow="2" windowWidth="814" windowHeight="473" activeSheetId="1"/>
    <customWorkbookView name="model definition (moderate)" guid="{E10D53ED-7CBD-11D4-9F98-0000E22085C7}" maximized="1" xWindow="2" windowWidth="814" windowHeight="473" activeSheetId="3"/>
    <customWorkbookView name="model definition (engine)" guid="{E10D53EC-7CBD-11D4-9F98-0000E22085C7}" maximized="1" xWindow="2" windowWidth="814" windowHeight="473" activeSheetId="6"/>
    <customWorkbookView name="model definition (continental)" guid="{E10D53EB-7CBD-11D4-9F98-0000E22085C7}" maximized="1" xWindow="2" windowWidth="814" windowHeight="473" activeSheetId="2"/>
    <customWorkbookView name="model definition (arctic)" guid="{E10D53EA-7CBD-11D4-9F98-0000E22085C7}" maximized="1" xWindow="2" windowWidth="814" windowHeight="473" activeSheetId="4"/>
    <customWorkbookView name="mass balance coeff box 17_32 (engine)" guid="{E10D53E9-7CBD-11D4-9F98-0000E22085C7}" maximized="1" xWindow="2" windowWidth="814" windowHeight="473" activeSheetId="6"/>
    <customWorkbookView name="mass balance coeff box 1_16 (engine)" guid="{E10D53E8-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_16_1 (engine)" guid="{E10D53E4-7CBD-11D4-9F98-0000E22085C7}" maximized="1" xWindow="2" windowWidth="814" windowHeight="473" activeSheetId="6"/>
    <customWorkbookView name="distribution and risk (tropic)" guid="{E10D53E3-7CBD-11D4-9F98-0000E22085C7}" maximized="1" xWindow="2" windowWidth="814" windowHeight="473" activeSheetId="5"/>
    <customWorkbookView name="distribution and risk (regional)" guid="{E10D53E2-7CBD-11D4-9F98-0000E22085C7}" maximized="1" xWindow="2" windowWidth="814" windowHeight="473" activeSheetId="1"/>
    <customWorkbookView name="distribution and risk (moderate)" guid="{E10D53E1-7CBD-11D4-9F98-0000E22085C7}" maximized="1" xWindow="2" windowWidth="814" windowHeight="473" activeSheetId="3"/>
    <customWorkbookView name="distribution and risk (continental)" guid="{E10D53E0-7CBD-11D4-9F98-0000E22085C7}" maximized="1" xWindow="2" windowWidth="814" windowHeight="473" activeSheetId="2"/>
    <customWorkbookView name="distribution and risk (arctic)" guid="{E10D53DF-7CBD-11D4-9F98-0000E22085C7}" maximized="1" xWindow="2" windowWidth="814" windowHeight="473" activeSheetId="4"/>
    <customWorkbookView name="charts (charts)" guid="{E10D53DE-7CBD-11D4-9F98-0000E22085C7}" maximized="1" xWindow="2" windowWidth="814" windowHeight="473" activeSheetId="7"/>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2" i="8" l="1"/>
  <c r="J243" i="8"/>
  <c r="K238" i="8"/>
  <c r="K248" i="9"/>
  <c r="K244" i="9"/>
  <c r="K161" i="10"/>
  <c r="K156" i="10"/>
  <c r="K804" i="10"/>
  <c r="K799" i="10"/>
  <c r="K482" i="10"/>
  <c r="L482" i="10"/>
  <c r="K477" i="10"/>
  <c r="K803" i="10"/>
  <c r="CK62" i="12"/>
  <c r="CG62" i="12"/>
  <c r="CC62" i="12"/>
  <c r="CJ61" i="12"/>
  <c r="CF61" i="12"/>
  <c r="CB61" i="12"/>
  <c r="CI60" i="12"/>
  <c r="CE60" i="12"/>
  <c r="CA60" i="12"/>
  <c r="AT19" i="12"/>
  <c r="AP19" i="12"/>
  <c r="AS18" i="12"/>
  <c r="AO18" i="12"/>
  <c r="AR17" i="12"/>
  <c r="AN17" i="12"/>
  <c r="AL19" i="12"/>
  <c r="AK18" i="12"/>
  <c r="AJ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J510"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69" i="9"/>
  <c r="K148" i="9"/>
  <c r="K132" i="9"/>
  <c r="K131" i="9"/>
  <c r="K913" i="10" l="1"/>
  <c r="K912" i="10"/>
  <c r="K856" i="10"/>
  <c r="K836" i="10"/>
  <c r="K802" i="10"/>
  <c r="K797" i="10"/>
  <c r="K792" i="10"/>
  <c r="K774" i="10"/>
  <c r="K754" i="10"/>
  <c r="K745" i="10"/>
  <c r="K731" i="10"/>
  <c r="K730" i="10"/>
  <c r="K591" i="10"/>
  <c r="K590" i="10"/>
  <c r="K534" i="10"/>
  <c r="K514" i="10"/>
  <c r="K480" i="10"/>
  <c r="K475" i="10"/>
  <c r="K470" i="10"/>
  <c r="K452" i="10"/>
  <c r="K432" i="10"/>
  <c r="K423" i="10"/>
  <c r="K409" i="10"/>
  <c r="K408" i="10"/>
  <c r="K362" i="10"/>
  <c r="K270" i="10"/>
  <c r="K269" i="10"/>
  <c r="K213" i="10"/>
  <c r="K193" i="10"/>
  <c r="K159" i="10"/>
  <c r="K154" i="10"/>
  <c r="K149" i="10"/>
  <c r="K130" i="10"/>
  <c r="K11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J433" i="10"/>
  <c r="L433" i="10" s="1"/>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K550" i="10"/>
  <c r="L550" i="10" s="1"/>
  <c r="K872" i="10"/>
  <c r="L872" i="10" s="1"/>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K519" i="10"/>
  <c r="L519" i="10" s="1"/>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K229" i="10"/>
  <c r="L229" i="10" s="1"/>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K310" i="10"/>
  <c r="L310" i="10" s="1"/>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K491" i="10"/>
  <c r="L491" i="10" s="1"/>
  <c r="K230" i="10"/>
  <c r="L230" i="10" s="1"/>
  <c r="K108" i="10"/>
  <c r="L108" i="10" s="1"/>
  <c r="K305" i="10" s="1"/>
  <c r="L305" i="10" s="1"/>
  <c r="K309" i="10"/>
  <c r="L309" i="10" s="1"/>
  <c r="K365" i="10"/>
  <c r="L365" i="10" s="1"/>
  <c r="K357" i="10"/>
  <c r="L357" i="10" s="1"/>
  <c r="K631" i="10"/>
  <c r="L631" i="10" s="1"/>
  <c r="K953" i="10"/>
  <c r="L953" i="10" s="1"/>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K165" i="10"/>
  <c r="L165" i="10" s="1"/>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K952" i="10"/>
  <c r="L952" i="10" s="1"/>
  <c r="K486" i="10"/>
  <c r="L486" i="10" s="1"/>
  <c r="K170" i="10"/>
  <c r="L170" i="10" s="1"/>
  <c r="K808" i="10"/>
  <c r="L808" i="10" s="1"/>
  <c r="K813" i="10"/>
  <c r="L813" i="10" s="1"/>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K613" i="10"/>
  <c r="L613" i="10" s="1"/>
  <c r="K318" i="8"/>
  <c r="L318" i="8" s="1"/>
  <c r="K332" i="8"/>
  <c r="L332" i="8" s="1"/>
  <c r="K431" i="10"/>
  <c r="L431" i="10" s="1"/>
  <c r="K539" i="10"/>
  <c r="L539" i="10" s="1"/>
  <c r="K192" i="10"/>
  <c r="L192" i="10" s="1"/>
  <c r="K197" i="10"/>
  <c r="L197" i="10" s="1"/>
  <c r="K629" i="10"/>
  <c r="L629" i="10" s="1"/>
  <c r="K630" i="10"/>
  <c r="L630" i="10" s="1"/>
  <c r="K555" i="8"/>
  <c r="L555" i="8" s="1"/>
  <c r="K340" i="8"/>
  <c r="L340" i="8" s="1"/>
  <c r="K345" i="8"/>
  <c r="L345" i="8" s="1"/>
  <c r="K513" i="10"/>
  <c r="L513" i="10" s="1"/>
  <c r="K518" i="10"/>
  <c r="L518" i="10" s="1"/>
  <c r="K600" i="10"/>
  <c r="L600" i="10" s="1"/>
  <c r="I127" i="6"/>
  <c r="L363" i="2"/>
  <c r="L361" i="2"/>
  <c r="L343" i="2"/>
  <c r="L365" i="2"/>
  <c r="L341" i="2"/>
  <c r="L354" i="2"/>
  <c r="L367" i="2"/>
  <c r="K512" i="8" l="1"/>
  <c r="L512" i="8" s="1"/>
  <c r="K519" i="8"/>
  <c r="L519" i="8" s="1"/>
  <c r="K513" i="8"/>
  <c r="L513" i="8" s="1"/>
  <c r="K510" i="8"/>
  <c r="L510" i="8" s="1"/>
  <c r="K516" i="8"/>
  <c r="L516" i="8" s="1"/>
  <c r="K518" i="8"/>
  <c r="L518" i="8" s="1"/>
  <c r="K508" i="8"/>
  <c r="L508" i="8" s="1"/>
  <c r="K509" i="8"/>
  <c r="L509" i="8" s="1"/>
  <c r="K514" i="8"/>
  <c r="L514" i="8" s="1"/>
  <c r="K515" i="8"/>
  <c r="L515" i="8" s="1"/>
  <c r="K505" i="8"/>
  <c r="L505" i="8" s="1"/>
  <c r="K506" i="8"/>
  <c r="L506" i="8" s="1"/>
  <c r="K517" i="8"/>
  <c r="L517" i="8" s="1"/>
  <c r="K520" i="8"/>
  <c r="L520" i="8" s="1"/>
  <c r="K504" i="8"/>
  <c r="L504" i="8" s="1"/>
  <c r="K521" i="8"/>
  <c r="L521" i="8" s="1"/>
  <c r="K511" i="8"/>
  <c r="L511" i="8" s="1"/>
  <c r="K507" i="8"/>
  <c r="L507" i="8"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K163" i="8"/>
  <c r="L163" i="8" s="1"/>
  <c r="K196" i="10"/>
  <c r="L196" i="10" s="1"/>
  <c r="K938" i="10"/>
  <c r="L938" i="10" s="1"/>
  <c r="K13" i="8"/>
  <c r="L13" i="8" s="1"/>
  <c r="K14" i="8"/>
  <c r="L14" i="8" s="1"/>
  <c r="K6" i="8"/>
  <c r="L6" i="8" s="1"/>
  <c r="K468" i="8" s="1"/>
  <c r="L468" i="8" s="1"/>
  <c r="K509" i="10"/>
  <c r="L509" i="10" s="1"/>
  <c r="K188" i="10"/>
  <c r="L188" i="10" s="1"/>
  <c r="K365" i="9"/>
  <c r="L365" i="9" s="1"/>
  <c r="K368" i="9" s="1"/>
  <c r="L368" i="9" s="1"/>
  <c r="K323" i="9"/>
  <c r="L323" i="9" s="1"/>
  <c r="K318" i="9"/>
  <c r="L318" i="9" s="1"/>
  <c r="K549" i="10"/>
  <c r="L549" i="10" s="1"/>
  <c r="K363" i="10"/>
  <c r="L363" i="10" s="1"/>
  <c r="K228" i="10"/>
  <c r="L228" i="10" s="1"/>
  <c r="K165" i="9"/>
  <c r="L165" i="9" s="1"/>
  <c r="K163" i="9"/>
  <c r="L163" i="9" s="1"/>
  <c r="L285" i="9"/>
  <c r="L289" i="9"/>
  <c r="I143" i="6"/>
  <c r="K517" i="10"/>
  <c r="L517" i="10" s="1"/>
  <c r="K344" i="8"/>
  <c r="L344" i="8" s="1"/>
  <c r="K364" i="10"/>
  <c r="L364" i="10" s="1"/>
  <c r="K430" i="10"/>
  <c r="L430" i="10" s="1"/>
  <c r="K627" i="10" s="1"/>
  <c r="L627" i="10" s="1"/>
  <c r="K936" i="10"/>
  <c r="L936" i="10" s="1"/>
  <c r="K307" i="10"/>
  <c r="L307" i="10" s="1"/>
  <c r="K306" i="10"/>
  <c r="L306" i="10" s="1"/>
  <c r="K10" i="8"/>
  <c r="L10" i="8" s="1"/>
  <c r="K48" i="8"/>
  <c r="L48" i="8" s="1"/>
  <c r="K831" i="10"/>
  <c r="L831" i="10" s="1"/>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K481" i="10"/>
  <c r="L481" i="10" s="1"/>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K525" i="9"/>
  <c r="L525" i="9" s="1"/>
  <c r="K527" i="9"/>
  <c r="L527" i="9" s="1"/>
  <c r="K526" i="9"/>
  <c r="L526" i="9" s="1"/>
  <c r="K522" i="9"/>
  <c r="L522" i="9" s="1"/>
  <c r="K519" i="9"/>
  <c r="L519" i="9" s="1"/>
  <c r="K523" i="9"/>
  <c r="L523" i="9" s="1"/>
  <c r="K524" i="9"/>
  <c r="L524" i="9" s="1"/>
  <c r="K520" i="9"/>
  <c r="L520" i="9" s="1"/>
  <c r="K518" i="9"/>
  <c r="L518" i="9" s="1"/>
  <c r="K512" i="9"/>
  <c r="K516" i="9"/>
  <c r="L516" i="9" s="1"/>
  <c r="K517" i="9"/>
  <c r="K510" i="9"/>
  <c r="K513" i="9"/>
  <c r="K511"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K522" i="10"/>
  <c r="L522" i="10" s="1"/>
  <c r="K321" i="8"/>
  <c r="L321" i="8" s="1"/>
  <c r="K351" i="8"/>
  <c r="L351" i="8" s="1"/>
  <c r="K337" i="8"/>
  <c r="L337" i="8" s="1"/>
  <c r="K299" i="8"/>
  <c r="L299" i="8" s="1"/>
  <c r="K201" i="10"/>
  <c r="L201" i="10" s="1"/>
  <c r="K544" i="10"/>
  <c r="L544" i="10" s="1"/>
  <c r="K866" i="10"/>
  <c r="L866" i="10" s="1"/>
  <c r="K223" i="10"/>
  <c r="L223" i="10" s="1"/>
  <c r="K844" i="10"/>
  <c r="L844" i="10" s="1"/>
  <c r="K523" i="10"/>
  <c r="L523" i="10" s="1"/>
  <c r="K864" i="10"/>
  <c r="L864" i="10" s="1"/>
  <c r="K845" i="10"/>
  <c r="L845" i="10" s="1"/>
  <c r="K542" i="10"/>
  <c r="L542" i="10" s="1"/>
  <c r="K221" i="10"/>
  <c r="L221" i="10" s="1"/>
  <c r="K335" i="8"/>
  <c r="L335" i="8" s="1"/>
  <c r="K322" i="8"/>
  <c r="L322" i="8" s="1"/>
  <c r="K300" i="8"/>
  <c r="L300" i="8" s="1"/>
  <c r="K349" i="8"/>
  <c r="L349" i="8" s="1"/>
  <c r="K202" i="10"/>
  <c r="L202" i="10" s="1"/>
  <c r="K525" i="10"/>
  <c r="L525" i="10" s="1"/>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865" i="10"/>
  <c r="L865" i="10" s="1"/>
  <c r="K858" i="10" s="1"/>
  <c r="L858" i="10" s="1"/>
  <c r="K222" i="10"/>
  <c r="L222" i="10" s="1"/>
  <c r="K219" i="10" s="1"/>
  <c r="L219" i="10" s="1"/>
  <c r="K524" i="10"/>
  <c r="L524" i="10" s="1"/>
  <c r="K520" i="10" s="1"/>
  <c r="L520" i="10" s="1"/>
  <c r="K846" i="10"/>
  <c r="L846" i="10" s="1"/>
  <c r="K203" i="10"/>
  <c r="L203" i="10" s="1"/>
  <c r="K543" i="10"/>
  <c r="L543" i="10" s="1"/>
  <c r="K536" i="10" s="1"/>
  <c r="L536" i="10" s="1"/>
  <c r="K239" i="10"/>
  <c r="L239" i="10" s="1"/>
  <c r="K309" i="8"/>
  <c r="L309" i="8" s="1"/>
  <c r="K511" i="10"/>
  <c r="L511"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323" i="8"/>
  <c r="L323" i="8" s="1"/>
  <c r="K336" i="8"/>
  <c r="L336" i="8" s="1"/>
  <c r="K350" i="8"/>
  <c r="L350" i="8" s="1"/>
  <c r="K276" i="8"/>
  <c r="L276" i="8" s="1"/>
  <c r="K261" i="8"/>
  <c r="L261" i="8" s="1"/>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69" i="8" l="1"/>
  <c r="L369" i="8" s="1"/>
  <c r="BS25" i="3"/>
  <c r="AC49" i="3"/>
  <c r="AT51" i="12"/>
  <c r="AP47" i="12"/>
  <c r="AO46" i="12"/>
  <c r="AS50" i="12"/>
  <c r="AK42" i="12"/>
  <c r="AL43" i="12"/>
  <c r="K311" i="9"/>
  <c r="L311" i="9" s="1"/>
  <c r="CE89" i="12" s="1"/>
  <c r="K862" i="10"/>
  <c r="L862" i="10" s="1"/>
  <c r="K857" i="10" s="1"/>
  <c r="L857" i="10"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215" i="10"/>
  <c r="L215" i="10" s="1"/>
  <c r="K214" i="10" s="1"/>
  <c r="L214" i="10"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95" i="10"/>
  <c r="L195" i="10" s="1"/>
  <c r="K516" i="10"/>
  <c r="L516" i="10" s="1"/>
  <c r="K515" i="10" s="1"/>
  <c r="L515"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K299" i="9"/>
  <c r="L299" i="9" s="1"/>
  <c r="BP13" i="3"/>
  <c r="K168" i="2"/>
  <c r="K187" i="10"/>
  <c r="L187" i="10" s="1"/>
  <c r="K347" i="8"/>
  <c r="L347" i="8" s="1"/>
  <c r="K319" i="8"/>
  <c r="L319" i="8" s="1"/>
  <c r="K557" i="10"/>
  <c r="L557" i="10" s="1"/>
  <c r="K364" i="8"/>
  <c r="L364" i="8" s="1"/>
  <c r="K830" i="10"/>
  <c r="L830" i="10" s="1"/>
  <c r="K821" i="10"/>
  <c r="L821" i="10" s="1"/>
  <c r="K508" i="10"/>
  <c r="L508" i="10" s="1"/>
  <c r="K540" i="10"/>
  <c r="L540" i="10" s="1"/>
  <c r="K838" i="10"/>
  <c r="L838" i="10" s="1"/>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842" i="10"/>
  <c r="L84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K293" i="8"/>
  <c r="L293" i="8" s="1"/>
  <c r="K199" i="10"/>
  <c r="L199" i="10" s="1"/>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194" i="10"/>
  <c r="L194" i="10" s="1"/>
  <c r="K292" i="8"/>
  <c r="L292" i="8" s="1"/>
  <c r="K287" i="8" s="1"/>
  <c r="L287" i="8" s="1"/>
  <c r="K837" i="10"/>
  <c r="L837" i="10" s="1"/>
  <c r="K232" i="8"/>
  <c r="L232" i="8" s="1"/>
  <c r="U38" i="12"/>
  <c r="K328" i="8"/>
  <c r="L328" i="8" s="1"/>
  <c r="K579" i="10"/>
  <c r="L579" i="10" s="1"/>
  <c r="K572" i="10"/>
  <c r="L572" i="10" s="1"/>
  <c r="K245" i="8"/>
  <c r="L245" i="8" s="1"/>
  <c r="K895" i="10"/>
  <c r="L895" i="10" s="1"/>
  <c r="K535" i="10"/>
  <c r="L53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512" i="10"/>
  <c r="L512" i="10"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211" i="10"/>
  <c r="L211" i="10" s="1"/>
  <c r="K819" i="10"/>
  <c r="L819" i="10" s="1"/>
  <c r="K92" i="9"/>
  <c r="L92" i="9" s="1"/>
  <c r="K298" i="9"/>
  <c r="L298" i="9" s="1"/>
  <c r="K269" i="9"/>
  <c r="L269" i="9" s="1"/>
  <c r="K164" i="10"/>
  <c r="L164" i="10" s="1"/>
  <c r="K485" i="10"/>
  <c r="L485" i="10" s="1"/>
  <c r="K176" i="10"/>
  <c r="L176" i="10" s="1"/>
  <c r="K497" i="10"/>
  <c r="L497" i="10" s="1"/>
  <c r="K854" i="10"/>
  <c r="L854"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421" i="8" l="1"/>
  <c r="L421" i="8" s="1"/>
  <c r="K414" i="8" s="1"/>
  <c r="L414" i="8" s="1"/>
  <c r="K449" i="8"/>
  <c r="L449"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K392" i="8" s="1"/>
  <c r="L392" i="8" s="1"/>
  <c r="K382" i="8"/>
  <c r="L382" i="8" s="1"/>
  <c r="K381" i="8" s="1"/>
  <c r="L381"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532" i="10"/>
  <c r="L532" i="10" s="1"/>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834" i="10"/>
  <c r="L834" i="10" s="1"/>
  <c r="K191" i="10"/>
  <c r="L191"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446" i="8" l="1"/>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K460" i="8"/>
  <c r="L460" i="8" s="1"/>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371" i="10" l="1"/>
  <c r="K370" i="10"/>
  <c r="K372" i="10"/>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36" i="8"/>
  <c r="L436" i="8" s="1"/>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2" i="10"/>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K387" i="2"/>
  <c r="L387" i="2" s="1"/>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L216" i="2" l="1"/>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8" i="10"/>
  <c r="L478" i="10" s="1"/>
  <c r="K566" i="10"/>
  <c r="L566" i="10" s="1"/>
  <c r="K473" i="10"/>
  <c r="L473"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455" i="10" l="1"/>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K469" i="10"/>
  <c r="L469" i="10" s="1"/>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K479" i="10"/>
  <c r="L479" i="10" s="1"/>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EV159" i="12"/>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DY136"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DB113" i="12"/>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196" i="8" l="1"/>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DY13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B722" i="11" l="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<sst xmlns="http://schemas.openxmlformats.org/spreadsheetml/2006/main" count="26924" uniqueCount="4768">
  <si>
    <t>www.rivm.nl</t>
  </si>
  <si>
    <t>Contact</t>
  </si>
  <si>
    <t>JTK Quik</t>
  </si>
  <si>
    <t>National Institute of Public Health and the Environment (RIVM)</t>
  </si>
  <si>
    <t>Post Box 1, 3720BA Bilthoven, The Netherlands</t>
  </si>
  <si>
    <t>joris.quik@rivm.nl</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</si>
  <si>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</si>
  <si>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</si>
  <si>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</si>
  <si>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</si>
  <si>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</si>
  <si>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</si>
  <si>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</si>
  <si>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</si>
  <si>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</si>
  <si>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</si>
  <si>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</si>
  <si>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</si>
  <si>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</si>
  <si>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</si>
  <si>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</si>
  <si>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</si>
  <si>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</si>
  <si>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</si>
  <si>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</si>
  <si>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</si>
  <si>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</si>
  <si>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</si>
  <si>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</si>
  <si>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</si>
  <si>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</si>
  <si>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</si>
  <si>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</si>
  <si>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</si>
  <si>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</si>
  <si>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</si>
  <si>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</si>
  <si>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</si>
  <si>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</si>
  <si>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</si>
  <si>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</si>
  <si>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</si>
  <si>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</si>
  <si>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</si>
  <si>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</si>
  <si>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</si>
  <si>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</si>
  <si>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</si>
  <si>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</si>
  <si>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</si>
  <si>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</si>
  <si>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</si>
  <si>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</si>
  <si>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</si>
  <si>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</si>
  <si>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</si>
  <si>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</si>
  <si>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</si>
  <si>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</si>
  <si>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</si>
  <si>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</si>
  <si>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</si>
  <si>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</si>
  <si>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</si>
  <si>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</si>
  <si>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</si>
  <si>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</si>
  <si>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</si>
  <si>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</si>
  <si>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</si>
  <si>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</si>
  <si>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</si>
  <si>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</si>
  <si>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</si>
  <si>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</si>
  <si>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</si>
  <si>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</si>
  <si>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</si>
  <si>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</si>
  <si>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</si>
  <si>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</si>
  <si>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</si>
  <si>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</si>
  <si>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</si>
  <si>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</si>
  <si>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</si>
  <si>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</si>
  <si>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</si>
  <si>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</si>
  <si>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</si>
  <si>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</si>
  <si>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</si>
  <si>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</si>
  <si>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</si>
  <si>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</si>
  <si>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</si>
  <si>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</si>
  <si>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</si>
  <si>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</si>
  <si>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</si>
  <si>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</si>
  <si>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</si>
  <si>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</si>
  <si>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</si>
  <si>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</si>
  <si>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</si>
  <si>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</si>
  <si>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</si>
  <si>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</si>
  <si>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</si>
  <si>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</si>
  <si>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</si>
  <si>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</si>
  <si>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</si>
  <si>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</si>
  <si>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</si>
  <si>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</si>
  <si>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</si>
  <si>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</si>
  <si>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</si>
  <si>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</si>
  <si>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</si>
  <si>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</si>
  <si>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</si>
  <si>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</si>
  <si>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</si>
  <si>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</si>
  <si>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</si>
  <si>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</si>
  <si>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</si>
  <si>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</si>
  <si>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</si>
  <si>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</si>
  <si>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</si>
  <si>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</si>
  <si>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</si>
  <si>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</si>
  <si>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</si>
  <si>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</si>
  <si>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</si>
  <si>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</si>
  <si>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</si>
  <si>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</si>
  <si>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</si>
  <si>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</si>
  <si>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</si>
  <si>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</si>
  <si>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</si>
  <si>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</si>
  <si>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</si>
  <si>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</si>
  <si>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</si>
  <si>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</si>
  <si>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</si>
  <si>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</si>
  <si>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</si>
  <si>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</si>
  <si>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</si>
  <si>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</si>
  <si>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</si>
  <si>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</si>
  <si>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</si>
  <si>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</si>
  <si>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</si>
  <si>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</si>
  <si>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</si>
  <si>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</si>
  <si>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</si>
  <si>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</si>
  <si>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</si>
  <si>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</si>
  <si>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</si>
  <si>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</si>
  <si>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</si>
  <si>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</si>
  <si>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</si>
  <si>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</si>
  <si>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</si>
  <si>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</si>
  <si>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</si>
  <si>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</si>
  <si>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</si>
  <si>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</si>
  <si>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</si>
  <si>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</si>
  <si>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</si>
  <si>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</si>
  <si>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</si>
  <si>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</si>
  <si>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</si>
  <si>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</si>
  <si>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</si>
  <si>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</si>
  <si>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</si>
  <si>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</si>
  <si>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</si>
  <si>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</si>
  <si>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</si>
  <si>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</si>
  <si>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</si>
  <si>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</si>
  <si>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</si>
  <si>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</si>
  <si>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</si>
  <si>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</si>
  <si>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</si>
  <si>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</si>
  <si>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</si>
  <si>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</si>
  <si>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</si>
  <si>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</si>
  <si>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</si>
  <si>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</si>
  <si>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</si>
  <si>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</si>
  <si>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</si>
  <si>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</si>
  <si>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</si>
  <si>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</si>
  <si>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</si>
  <si>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</si>
  <si>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</si>
  <si>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</si>
  <si>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</si>
  <si>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</si>
  <si>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</si>
  <si>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</si>
  <si>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</si>
  <si>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</si>
  <si>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</si>
  <si>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</si>
  <si>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</si>
  <si>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</si>
  <si>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</si>
  <si>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</si>
  <si>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</si>
  <si>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</si>
  <si>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</si>
  <si>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</si>
  <si>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</si>
  <si>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</si>
  <si>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</si>
  <si>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</si>
  <si>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</si>
  <si>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</si>
  <si>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</si>
  <si>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</si>
  <si>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</si>
  <si>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</si>
  <si>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</si>
  <si>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</si>
  <si>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</si>
  <si>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</si>
  <si>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</si>
  <si>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</si>
  <si>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</si>
  <si>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</si>
  <si>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</si>
  <si>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</si>
  <si>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</si>
  <si>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</si>
  <si>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</si>
  <si>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</si>
  <si>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</si>
  <si>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</si>
  <si>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</si>
  <si>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nanoparticle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</si>
  <si>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</si>
  <si>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</si>
  <si>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</si>
  <si>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</si>
  <si>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</si>
  <si>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</si>
  <si>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</si>
  <si>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</si>
  <si>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</si>
  <si>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</si>
  <si>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</si>
  <si>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</si>
  <si>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</si>
  <si>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</si>
  <si>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</si>
  <si>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</si>
  <si>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</si>
  <si>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</si>
  <si>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</si>
  <si>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</si>
  <si>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</si>
  <si>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</si>
  <si>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</si>
  <si>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</si>
  <si>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</si>
  <si>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</si>
  <si>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</si>
  <si>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</si>
  <si>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</si>
  <si>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</si>
  <si>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</si>
  <si>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</si>
  <si>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</si>
  <si>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</si>
  <si>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</si>
  <si>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</si>
  <si>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</si>
  <si>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</si>
  <si>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</si>
  <si>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</si>
  <si>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</si>
  <si>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</si>
  <si>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</si>
  <si>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</si>
  <si>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</si>
  <si>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</si>
  <si>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</si>
  <si>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</si>
  <si>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</si>
  <si>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</si>
  <si>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</si>
  <si>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</si>
  <si>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</si>
  <si>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</si>
  <si>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</si>
  <si>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</si>
  <si>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</si>
  <si>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</si>
  <si>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</si>
  <si>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</si>
  <si>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</si>
  <si>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</si>
  <si>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</si>
  <si>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</si>
  <si>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</si>
  <si>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</si>
  <si>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</si>
  <si>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</si>
  <si>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</si>
  <si>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</si>
  <si>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</si>
  <si>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</si>
  <si>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</si>
  <si>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</si>
  <si>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</si>
  <si>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</si>
  <si>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</si>
  <si>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</si>
  <si>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</si>
  <si>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</si>
  <si>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</si>
  <si>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</si>
  <si>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</si>
  <si>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</si>
  <si>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</si>
  <si>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</si>
  <si>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</si>
  <si>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</si>
  <si>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</si>
  <si>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</si>
  <si>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</si>
  <si>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</si>
  <si>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</si>
  <si>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</si>
  <si>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</si>
  <si>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</si>
  <si>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</si>
  <si>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</si>
  <si>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</si>
  <si>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</si>
  <si>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</si>
  <si>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</si>
  <si>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</si>
  <si>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</si>
  <si>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</si>
  <si>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</si>
  <si>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</si>
  <si>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</si>
  <si>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</si>
  <si>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</si>
  <si>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</si>
  <si>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</si>
  <si>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</si>
  <si>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</si>
  <si>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</si>
  <si>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</si>
  <si>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</si>
  <si>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</si>
  <si>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</si>
  <si>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</si>
  <si>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</si>
  <si>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</si>
  <si>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</si>
  <si>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</si>
  <si>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</si>
  <si>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</si>
  <si>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</si>
  <si>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</si>
  <si>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</si>
  <si>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</si>
  <si>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</si>
  <si>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</si>
  <si>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</si>
  <si>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</si>
  <si>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</si>
  <si>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</si>
  <si>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</si>
  <si>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</si>
  <si>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</si>
  <si>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</si>
  <si>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</si>
  <si>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</si>
  <si>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</si>
  <si>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</si>
  <si>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</si>
  <si>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</si>
  <si>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</si>
  <si>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</si>
  <si>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</si>
  <si>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</si>
  <si>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</si>
  <si>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</si>
  <si>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</si>
  <si>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</si>
  <si>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</si>
  <si>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</si>
  <si>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</si>
  <si>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</si>
  <si>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</si>
  <si>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</si>
  <si>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</si>
  <si>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</si>
  <si>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</si>
  <si>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</si>
  <si>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</si>
  <si>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</si>
  <si>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</si>
  <si>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</si>
  <si>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</si>
  <si>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</si>
  <si>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</si>
  <si>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</si>
  <si>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</si>
  <si>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</si>
  <si>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</si>
  <si>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t>kdegA.a</t>
  </si>
  <si>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</si>
  <si>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</si>
  <si>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</si>
  <si>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</si>
  <si>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</si>
  <si>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</si>
  <si>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</si>
  <si>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</si>
  <si>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</si>
  <si>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</si>
  <si>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</si>
  <si>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</si>
  <si>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</si>
  <si>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</si>
  <si>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</si>
  <si>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</si>
  <si>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</si>
  <si>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</si>
  <si>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</si>
  <si>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</si>
  <si>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</si>
  <si>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</si>
  <si>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</si>
  <si>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</si>
  <si>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</si>
  <si>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</si>
  <si>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</si>
  <si>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</si>
  <si>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</si>
  <si>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</si>
  <si>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</si>
  <si>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</si>
  <si>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</si>
  <si>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</si>
  <si>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</si>
  <si>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</si>
  <si>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</si>
  <si>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</si>
  <si>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</si>
  <si>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</si>
  <si>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</si>
  <si>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</si>
  <si>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</si>
  <si>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</si>
  <si>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</si>
  <si>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</si>
  <si>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</si>
  <si>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</si>
  <si>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</si>
  <si>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</si>
  <si>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</si>
  <si>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</si>
  <si>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</si>
  <si>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</si>
  <si>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</si>
  <si>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</si>
  <si>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</si>
  <si>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</si>
  <si>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</si>
  <si>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</si>
  <si>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</si>
  <si>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</si>
  <si>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</si>
  <si>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</si>
  <si>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</si>
  <si>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</si>
  <si>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</si>
  <si>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</si>
  <si>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</si>
  <si>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</si>
  <si>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</si>
  <si>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</si>
  <si>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</si>
  <si>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</si>
  <si>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</si>
  <si>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</si>
  <si>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</si>
  <si>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</si>
  <si>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</si>
  <si>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</si>
  <si>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</si>
  <si>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</si>
  <si>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</si>
  <si>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</si>
  <si>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</si>
  <si>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</si>
  <si>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</si>
  <si>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</si>
  <si>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</si>
  <si>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</si>
  <si>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</si>
  <si>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</si>
  <si>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</si>
  <si>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</si>
  <si>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</si>
  <si>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</si>
  <si>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</si>
  <si>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</si>
  <si>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</si>
  <si>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</si>
  <si>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</si>
  <si>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</si>
  <si>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</si>
  <si>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</si>
  <si>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</si>
  <si>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</si>
  <si>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</si>
  <si>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</si>
  <si>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</si>
  <si>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</si>
  <si>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</si>
  <si>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</si>
  <si>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</si>
  <si>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</si>
  <si>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</si>
  <si>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</si>
  <si>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</si>
  <si>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</si>
  <si>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</si>
  <si>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</si>
  <si>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</si>
  <si>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</si>
  <si>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</si>
  <si>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</si>
  <si>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</si>
  <si>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</si>
  <si>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</si>
  <si>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</si>
  <si>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</si>
  <si>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</si>
  <si>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</si>
  <si>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</si>
  <si>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</si>
  <si>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</si>
  <si>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</si>
  <si>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</si>
  <si>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</si>
  <si>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</si>
  <si>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</si>
  <si>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</si>
  <si>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</si>
  <si>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</si>
  <si>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</si>
  <si>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</si>
  <si>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</si>
  <si>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</si>
  <si>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</si>
  <si>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</si>
  <si>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</si>
  <si>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</si>
  <si>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</si>
  <si>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</si>
  <si>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</si>
  <si>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</si>
  <si>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</si>
  <si>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</si>
  <si>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</si>
  <si>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</si>
  <si>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</si>
  <si>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</si>
  <si>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</si>
  <si>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</si>
  <si>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</si>
  <si>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</si>
  <si>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</si>
  <si>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</si>
  <si>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</si>
  <si>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</si>
  <si>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</si>
  <si>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</si>
  <si>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</si>
  <si>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</si>
  <si>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</si>
  <si>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</si>
  <si>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</si>
  <si>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</si>
  <si>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</si>
  <si>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</si>
  <si>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</si>
  <si>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</si>
  <si>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</si>
  <si>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</si>
  <si>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</si>
  <si>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</si>
  <si>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</si>
  <si>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</si>
  <si>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</si>
  <si>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</si>
  <si>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</si>
  <si>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</si>
  <si>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</si>
  <si>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</si>
  <si>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</si>
  <si>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</si>
  <si>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</si>
  <si>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</si>
  <si>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</si>
  <si>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</si>
  <si>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</si>
  <si>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</si>
  <si>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</si>
  <si>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</si>
  <si>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</si>
  <si>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</si>
  <si>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</si>
  <si>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</si>
  <si>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</si>
  <si>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</si>
  <si>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</si>
  <si>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</si>
  <si>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</si>
  <si>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</si>
  <si>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</si>
  <si>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</si>
  <si>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</si>
  <si>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</si>
  <si>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</si>
  <si>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</si>
  <si>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</si>
  <si>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</si>
  <si>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</si>
  <si>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</si>
  <si>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</si>
  <si>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</si>
  <si>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</si>
  <si>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</si>
  <si>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</si>
  <si>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</si>
  <si>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</si>
  <si>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</si>
  <si>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</si>
  <si>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</si>
  <si>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</si>
  <si>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</si>
  <si>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</si>
  <si>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</si>
  <si>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</si>
  <si>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</si>
  <si>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</si>
  <si>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</si>
  <si>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</si>
  <si>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</si>
  <si>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</si>
  <si>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</si>
  <si>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</si>
  <si>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</si>
  <si>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</si>
  <si>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</si>
  <si>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</si>
  <si>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</si>
  <si>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</si>
  <si>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</si>
  <si>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</si>
  <si>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</si>
  <si>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</si>
  <si>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</si>
  <si>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</si>
  <si>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</si>
  <si>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</si>
  <si>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</si>
  <si>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</si>
  <si>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</si>
  <si>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</si>
  <si>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</si>
  <si>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</si>
  <si>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</si>
  <si>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</si>
  <si>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</si>
  <si>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</si>
  <si>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</si>
  <si>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</si>
  <si>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</si>
  <si>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</si>
  <si>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</si>
  <si>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</si>
  <si>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</si>
  <si>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</si>
  <si>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</si>
  <si>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</si>
  <si>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</si>
  <si>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</si>
  <si>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</si>
  <si>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</si>
  <si>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</si>
  <si>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</si>
  <si>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</si>
  <si>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</si>
  <si>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</si>
  <si>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</si>
  <si>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</si>
  <si>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</si>
  <si>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</si>
  <si>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</si>
  <si>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</si>
  <si>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</si>
  <si>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</si>
  <si>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</si>
  <si>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</si>
  <si>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</si>
  <si>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</si>
  <si>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</si>
  <si>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</si>
  <si>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</si>
  <si>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</si>
  <si>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</si>
  <si>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</si>
  <si>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</si>
  <si>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</si>
  <si>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</si>
  <si>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</si>
  <si>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</si>
  <si>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</si>
  <si>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</si>
  <si>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</si>
  <si>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</si>
  <si>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</si>
  <si>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</si>
  <si>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</si>
  <si>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</si>
  <si>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</si>
  <si>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</si>
  <si>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</si>
  <si>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</si>
  <si>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</si>
  <si>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</si>
  <si>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</si>
  <si>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</si>
  <si>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</si>
  <si>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</si>
  <si>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</si>
  <si>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</si>
  <si>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</si>
  <si>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</si>
  <si>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</si>
  <si>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</si>
  <si>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</si>
  <si>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</si>
  <si>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</si>
  <si>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</si>
  <si>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</si>
  <si>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</si>
  <si>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</si>
  <si>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</si>
  <si>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</si>
  <si>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</si>
  <si>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</si>
  <si>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</si>
  <si>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</si>
  <si>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</si>
  <si>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</si>
  <si>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</si>
  <si>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</si>
  <si>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</si>
  <si>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</si>
  <si>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</si>
  <si>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</si>
  <si>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</si>
  <si>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</si>
  <si>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</si>
  <si>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</si>
  <si>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</si>
  <si>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</si>
  <si>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</si>
  <si>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</si>
  <si>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</si>
  <si>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</si>
  <si>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</si>
  <si>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</si>
  <si>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</si>
  <si>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</si>
  <si>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</si>
  <si>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</si>
  <si>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</si>
  <si>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</si>
  <si>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</si>
  <si>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</si>
  <si>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</si>
  <si>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</si>
  <si>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</si>
  <si>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</si>
  <si>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</si>
  <si>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</si>
  <si>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</si>
  <si>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</si>
  <si>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</si>
  <si>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</si>
  <si>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</si>
  <si>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</si>
  <si>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</si>
  <si>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</si>
  <si>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</si>
  <si>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</si>
  <si>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</si>
  <si>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</si>
  <si>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</si>
  <si>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</si>
  <si>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</si>
  <si>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</si>
  <si>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</si>
  <si>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</si>
  <si>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</si>
  <si>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</si>
  <si>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</si>
  <si>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</si>
  <si>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</si>
  <si>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</si>
  <si>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</si>
  <si>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</si>
  <si>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</si>
  <si>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</si>
  <si>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</si>
  <si>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</si>
  <si>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</si>
  <si>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</si>
  <si>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</si>
  <si>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</si>
  <si>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</si>
  <si>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</si>
  <si>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</si>
  <si>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</si>
  <si>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</si>
  <si>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</si>
  <si>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</si>
  <si>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</si>
  <si>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</si>
  <si>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</si>
  <si>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</si>
  <si>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</si>
  <si>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</si>
  <si>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</si>
  <si>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</si>
  <si>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</si>
  <si>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</si>
  <si>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</si>
  <si>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</si>
  <si>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</si>
  <si>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</si>
  <si>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</si>
  <si>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</si>
  <si>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</si>
  <si>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</si>
  <si>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</si>
  <si>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</si>
  <si>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</si>
  <si>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</si>
  <si>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</si>
  <si>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</si>
  <si>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</si>
  <si>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</si>
  <si>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</si>
  <si>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</si>
  <si>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</si>
  <si>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</si>
  <si>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</si>
  <si>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</si>
  <si>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</si>
  <si>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</si>
  <si>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</si>
  <si>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</si>
  <si>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</si>
  <si>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</si>
  <si>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</si>
  <si>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</si>
  <si>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</si>
  <si>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</si>
  <si>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</si>
  <si>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</si>
  <si>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</si>
  <si>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</si>
  <si>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</si>
  <si>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</si>
  <si>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</si>
  <si>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</si>
  <si>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</si>
  <si>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</si>
  <si>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</si>
  <si>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</si>
  <si>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</si>
  <si>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</si>
  <si>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</si>
  <si>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</si>
  <si>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</si>
  <si>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</si>
  <si>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</si>
  <si>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</si>
  <si>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</si>
  <si>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</si>
  <si>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</si>
  <si>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</si>
  <si>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</si>
  <si>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</si>
  <si>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</si>
  <si>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</si>
  <si>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</si>
  <si>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</si>
  <si>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</si>
  <si>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</si>
  <si>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</si>
  <si>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</si>
  <si>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</si>
  <si>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</si>
  <si>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</si>
  <si>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</si>
  <si>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</si>
  <si>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</si>
  <si>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</si>
  <si>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</si>
  <si>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</si>
  <si>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</si>
  <si>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</si>
  <si>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</si>
  <si>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</si>
  <si>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</si>
  <si>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</si>
  <si>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</si>
  <si>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</si>
  <si>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</si>
  <si>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</si>
  <si>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</si>
  <si>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</si>
  <si>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</si>
  <si>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</si>
  <si>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</si>
  <si>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</si>
  <si>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</si>
  <si>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</si>
  <si>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</si>
  <si>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</si>
  <si>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</si>
  <si>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</si>
  <si>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</si>
  <si>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</si>
  <si>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</si>
  <si>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</si>
  <si>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</si>
  <si>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</si>
  <si>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</si>
  <si>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</si>
  <si>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</si>
  <si>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</si>
  <si>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</si>
  <si>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</si>
  <si>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</si>
  <si>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</si>
  <si>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</si>
  <si>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</si>
  <si>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</si>
  <si>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</si>
  <si>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</si>
  <si>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</si>
  <si>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</si>
  <si>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</si>
  <si>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</si>
  <si>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</si>
  <si>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</si>
  <si>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</si>
  <si>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</si>
  <si>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</si>
  <si>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</si>
  <si>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</si>
  <si>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</si>
  <si>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</si>
  <si>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</si>
  <si>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</si>
  <si>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</si>
  <si>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</si>
  <si>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</si>
  <si>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</si>
  <si>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</si>
  <si>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</si>
  <si>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</si>
  <si>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</si>
  <si>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</si>
  <si>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</si>
  <si>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</si>
  <si>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</si>
  <si>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</si>
  <si>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</si>
  <si>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</si>
  <si>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</si>
  <si>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</si>
  <si>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</si>
  <si>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</si>
  <si>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</si>
  <si>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</si>
  <si>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</si>
  <si>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</si>
  <si>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</si>
  <si>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</si>
  <si>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</si>
  <si>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</si>
  <si>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</si>
  <si>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</si>
  <si>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</si>
  <si>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</si>
  <si>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</si>
  <si>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</si>
  <si>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</si>
  <si>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</si>
  <si>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</si>
  <si>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</si>
  <si>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</si>
  <si>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</si>
  <si>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</si>
  <si>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</si>
  <si>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</si>
  <si>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</si>
  <si>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</si>
  <si>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</si>
  <si>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</si>
  <si>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</si>
  <si>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</si>
  <si>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</si>
  <si>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</si>
  <si>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</si>
  <si>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</si>
  <si>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</si>
  <si>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</si>
  <si>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</si>
  <si>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</si>
  <si>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</si>
  <si>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</si>
  <si>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</si>
  <si>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</si>
  <si>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</si>
  <si>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</si>
  <si>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</si>
  <si>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</si>
  <si>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</si>
  <si>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</si>
  <si>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</si>
  <si>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</si>
  <si>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</si>
  <si>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</si>
  <si>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</si>
  <si>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</si>
  <si>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</si>
  <si>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</si>
  <si>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</si>
  <si>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</si>
  <si>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</si>
  <si>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</si>
  <si>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</si>
  <si>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</si>
  <si>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</si>
  <si>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</si>
  <si>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</si>
  <si>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</si>
  <si>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</si>
  <si>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</si>
  <si>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</si>
  <si>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</si>
  <si>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</si>
  <si>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</si>
  <si>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</si>
  <si>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</si>
  <si>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</si>
  <si>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</si>
  <si>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</si>
  <si>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</si>
  <si>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</si>
  <si>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</si>
  <si>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</si>
  <si>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</si>
  <si>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</si>
  <si>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</si>
  <si>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</si>
  <si>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</si>
  <si>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</si>
  <si>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</si>
  <si>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</si>
  <si>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</si>
  <si>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</si>
  <si>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</si>
  <si>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</si>
  <si>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</si>
  <si>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</si>
  <si>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</si>
  <si>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</si>
  <si>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</si>
  <si>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</si>
  <si>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</si>
  <si>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</si>
  <si>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</si>
  <si>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</si>
  <si>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</si>
  <si>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</si>
  <si>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</si>
  <si>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</si>
  <si>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</si>
  <si>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</si>
  <si>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</si>
  <si>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</si>
  <si>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</si>
  <si>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</si>
  <si>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</si>
  <si>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</si>
  <si>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</si>
  <si>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</si>
  <si>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</si>
  <si>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</si>
  <si>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</si>
  <si>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</si>
  <si>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</si>
  <si>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</si>
  <si>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</si>
  <si>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</si>
  <si>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</si>
  <si>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</si>
  <si>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</si>
  <si>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</si>
  <si>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</si>
  <si>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</si>
  <si>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</si>
  <si>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</si>
  <si>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</si>
  <si>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</si>
  <si>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</si>
  <si>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</si>
  <si>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</si>
  <si>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</si>
  <si>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</si>
  <si>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</si>
  <si>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</si>
  <si>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</si>
  <si>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</si>
  <si>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</si>
  <si>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</si>
  <si>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</si>
  <si>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</si>
  <si>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</si>
  <si>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</si>
  <si>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</si>
  <si>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</si>
  <si>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</si>
  <si>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</si>
  <si>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</si>
  <si>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</si>
  <si>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</si>
  <si>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</si>
  <si>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</si>
  <si>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</si>
  <si>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</si>
  <si>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</si>
  <si>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</si>
  <si>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</si>
  <si>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</si>
  <si>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</si>
  <si>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</si>
  <si>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</si>
  <si>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</si>
  <si>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</si>
  <si>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</si>
  <si>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</si>
  <si>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</si>
  <si>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</si>
  <si>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</si>
  <si>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</si>
  <si>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</si>
  <si>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</si>
  <si>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</si>
  <si>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</si>
  <si>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</si>
  <si>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</si>
  <si>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</si>
  <si>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</si>
  <si>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</si>
  <si>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</si>
  <si>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</si>
  <si>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</si>
  <si>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</si>
  <si>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</si>
  <si>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</si>
  <si>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</si>
  <si>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</si>
  <si>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</si>
  <si>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</si>
  <si>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</si>
  <si>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</si>
  <si>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</si>
  <si>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</si>
  <si>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</si>
  <si>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</si>
  <si>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</si>
  <si>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</si>
  <si>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</si>
  <si>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</si>
  <si>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</si>
  <si>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</si>
  <si>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</si>
  <si>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</si>
  <si>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</si>
  <si>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</si>
  <si>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</si>
  <si>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</si>
  <si>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</si>
  <si>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</si>
  <si>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</si>
  <si>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</si>
  <si>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</si>
  <si>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</si>
  <si>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</si>
  <si>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</si>
  <si>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</si>
  <si>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</si>
  <si>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</si>
  <si>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</si>
  <si>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</si>
  <si>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</si>
  <si>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</si>
  <si>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</si>
  <si>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</si>
  <si>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</si>
  <si>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</si>
  <si>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</si>
  <si>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</si>
  <si>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</si>
  <si>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</si>
  <si>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</si>
  <si>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</si>
  <si>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</si>
  <si>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</si>
  <si>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</si>
  <si>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</si>
  <si>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</si>
  <si>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</si>
  <si>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</si>
  <si>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</si>
  <si>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</si>
  <si>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</si>
  <si>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</si>
  <si>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</si>
  <si>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</si>
  <si>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</si>
  <si>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</si>
  <si>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</si>
  <si>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</si>
  <si>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</si>
  <si>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</si>
  <si>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</si>
  <si>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</si>
  <si>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</si>
  <si>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</si>
  <si>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</si>
  <si>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</si>
  <si>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</si>
  <si>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</si>
  <si>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</si>
  <si>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</si>
  <si>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</si>
  <si>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</si>
  <si>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</si>
  <si>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</si>
  <si>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</si>
  <si>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</si>
  <si>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</si>
  <si>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</si>
  <si>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</si>
  <si>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</si>
  <si>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</si>
  <si>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</si>
  <si>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</si>
  <si>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</si>
  <si>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</si>
  <si>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</si>
  <si>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</si>
  <si>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</si>
  <si>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</si>
  <si>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</si>
  <si>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</si>
  <si>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</si>
  <si>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</si>
  <si>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</si>
  <si>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</si>
  <si>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</si>
  <si>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</si>
  <si>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</si>
  <si>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</si>
  <si>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</si>
  <si>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</si>
  <si>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</si>
  <si>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</si>
  <si>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</si>
  <si>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</si>
  <si>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</si>
  <si>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</si>
  <si>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</si>
  <si>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</si>
  <si>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</si>
  <si>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</si>
  <si>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</si>
  <si>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</si>
  <si>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</si>
  <si>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</si>
  <si>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</si>
  <si>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</si>
  <si>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</si>
  <si>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</si>
  <si>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</si>
  <si>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</si>
  <si>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</si>
  <si>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</si>
  <si>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</si>
  <si>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</si>
  <si>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</si>
  <si>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</si>
  <si>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</si>
  <si>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</si>
  <si>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</si>
  <si>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</si>
  <si>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</si>
  <si>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</si>
  <si>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</si>
  <si>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</si>
  <si>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</si>
  <si>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</si>
  <si>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</si>
  <si>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</si>
  <si>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</si>
  <si>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</si>
  <si>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</si>
  <si>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</si>
  <si>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</si>
  <si>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</si>
  <si>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</si>
  <si>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</si>
  <si>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</si>
  <si>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</si>
  <si>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</si>
  <si>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</si>
  <si>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</si>
  <si>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</si>
  <si>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</si>
  <si>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</si>
  <si>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</si>
  <si>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</si>
  <si>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</si>
  <si>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</si>
  <si>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</si>
  <si>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</si>
  <si>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</si>
  <si>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</si>
  <si>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</si>
  <si>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</si>
  <si>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</si>
  <si>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</si>
  <si>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</si>
  <si>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</si>
  <si>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</si>
  <si>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</si>
  <si>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</si>
  <si>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</si>
  <si>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</si>
  <si>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</si>
  <si>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</si>
  <si>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</si>
  <si>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</si>
  <si>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</si>
  <si>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</si>
  <si>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</si>
  <si>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</si>
  <si>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</si>
  <si>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</si>
  <si>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</si>
  <si>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</si>
  <si>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</si>
  <si>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</si>
  <si>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</si>
  <si>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</si>
  <si>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</si>
  <si>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</si>
  <si>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</si>
  <si>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</si>
  <si>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</si>
  <si>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</si>
  <si>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</si>
  <si>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</si>
  <si>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</si>
  <si>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</si>
  <si>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</si>
  <si>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</si>
  <si>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</si>
  <si>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</si>
  <si>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</si>
  <si>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</si>
  <si>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</si>
  <si>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</si>
  <si>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</si>
  <si>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</si>
  <si>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</si>
  <si>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</si>
  <si>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</si>
  <si>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</si>
  <si>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</si>
  <si>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</si>
  <si>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</si>
  <si>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</si>
  <si>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</si>
  <si>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</si>
  <si>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</si>
  <si>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</si>
  <si>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</si>
  <si>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</si>
  <si>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</si>
  <si>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</si>
  <si>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</si>
  <si>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</si>
  <si>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</si>
  <si>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</si>
  <si>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</si>
  <si>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</si>
  <si>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</si>
  <si>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</si>
  <si>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</si>
  <si>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</si>
  <si>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</si>
  <si>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</si>
  <si>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</si>
  <si>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</si>
  <si>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</si>
  <si>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</si>
  <si>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</si>
  <si>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</si>
  <si>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</si>
  <si>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</si>
  <si>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</si>
  <si>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</si>
  <si>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</si>
  <si>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</si>
  <si>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</si>
  <si>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</si>
  <si>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</si>
  <si>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</si>
  <si>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</si>
  <si>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</si>
  <si>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</si>
  <si>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</si>
  <si>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</si>
  <si>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</si>
  <si>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</si>
  <si>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</si>
  <si>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</si>
  <si>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</si>
  <si>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</si>
  <si>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</si>
  <si>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</si>
  <si>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</si>
  <si>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</si>
  <si>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</si>
  <si>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</si>
  <si>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</si>
  <si>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</si>
  <si>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</si>
  <si>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</si>
  <si>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</si>
  <si>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</si>
  <si>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</si>
  <si>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</si>
  <si>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</si>
  <si>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</si>
  <si>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</si>
  <si>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</si>
  <si>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</si>
  <si>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</si>
  <si>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</si>
  <si>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</si>
  <si>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</si>
  <si>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</si>
  <si>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</si>
  <si>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</si>
  <si>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</si>
  <si>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</si>
  <si>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</si>
  <si>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</si>
  <si>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</si>
  <si>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</si>
  <si>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</si>
  <si>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</si>
  <si>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</si>
  <si>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</si>
  <si>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</si>
  <si>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</si>
  <si>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</si>
  <si>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</si>
  <si>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</si>
  <si>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</si>
  <si>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</si>
  <si>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</si>
  <si>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</si>
  <si>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</si>
  <si>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</si>
  <si>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</si>
  <si>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</si>
  <si>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</si>
  <si>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</si>
  <si>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</si>
  <si>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</si>
  <si>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</si>
  <si>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</si>
  <si>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</si>
  <si>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</si>
  <si>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</si>
  <si>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</si>
  <si>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</si>
  <si>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</si>
  <si>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</si>
  <si>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</si>
  <si>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</si>
  <si>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</si>
  <si>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</si>
  <si>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</si>
  <si>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</si>
  <si>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</si>
  <si>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</si>
  <si>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</si>
  <si>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</si>
  <si>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</si>
  <si>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</si>
  <si>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</si>
  <si>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</si>
  <si>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</si>
  <si>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</si>
  <si>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</si>
  <si>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</si>
  <si>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</si>
  <si>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</si>
  <si>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</si>
  <si>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</si>
  <si>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</si>
  <si>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</si>
  <si>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</si>
  <si>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</si>
  <si>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</si>
  <si>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</si>
  <si>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</si>
  <si>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</si>
  <si>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</si>
  <si>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</si>
  <si>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</si>
  <si>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</si>
  <si>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</si>
  <si>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</si>
  <si>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</si>
  <si>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</si>
  <si>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</si>
  <si>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</si>
  <si>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</si>
  <si>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</si>
  <si>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</si>
  <si>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</si>
  <si>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</si>
  <si>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</si>
  <si>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</si>
  <si>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</si>
  <si>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</si>
  <si>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</si>
  <si>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</si>
  <si>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</si>
  <si>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</si>
  <si>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</si>
  <si>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</si>
  <si>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</si>
  <si>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</si>
  <si>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</si>
  <si>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</si>
  <si>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</si>
  <si>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</si>
  <si>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</si>
  <si>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</si>
  <si>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</si>
  <si>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</si>
  <si>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</si>
  <si>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</si>
  <si>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</si>
  <si>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</si>
  <si>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</si>
  <si>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</si>
  <si>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</si>
  <si>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</si>
  <si>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</si>
  <si>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</si>
  <si>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</si>
  <si>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</si>
  <si>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</si>
  <si>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</si>
  <si>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</si>
  <si>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</si>
  <si>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source?</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</si>
  <si>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</si>
  <si>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</si>
  <si>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</si>
  <si>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</si>
  <si>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</si>
  <si>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</si>
  <si>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</si>
  <si>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</si>
  <si>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</si>
  <si>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</si>
  <si>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</si>
  <si>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</si>
  <si>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</si>
  <si>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</si>
  <si>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</si>
  <si>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</si>
  <si>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</si>
  <si>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</si>
  <si>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</si>
  <si>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</si>
  <si>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</si>
  <si>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</si>
  <si>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</si>
  <si>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</si>
  <si>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</si>
  <si>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</si>
  <si>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</si>
  <si>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</si>
  <si>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</si>
  <si>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</si>
  <si>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</si>
  <si>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</si>
  <si>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</si>
  <si>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</si>
  <si>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</si>
  <si>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</si>
  <si>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</si>
  <si>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</si>
  <si>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</si>
  <si>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</si>
  <si>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</si>
  <si>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</si>
  <si>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</si>
  <si>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</si>
  <si>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</si>
  <si>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</si>
  <si>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</si>
  <si>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</si>
  <si>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</si>
  <si>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</si>
  <si>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</si>
  <si>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</si>
  <si>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</si>
  <si>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</si>
  <si>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</si>
  <si>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</si>
  <si>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</si>
  <si>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</si>
  <si>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</si>
  <si>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</si>
  <si>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</si>
  <si>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</si>
  <si>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</si>
  <si>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</si>
  <si>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</si>
  <si>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</si>
  <si>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</si>
  <si>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</si>
  <si>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</si>
  <si>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</si>
  <si>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</si>
  <si>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</si>
  <si>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</si>
  <si>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</si>
  <si>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</si>
  <si>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</si>
  <si>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</si>
  <si>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</si>
  <si>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</si>
  <si>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</si>
  <si>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</si>
  <si>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</si>
  <si>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</si>
  <si>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</si>
  <si>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</si>
  <si>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</si>
  <si>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</si>
  <si>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</si>
  <si>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</si>
  <si>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</si>
  <si>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</si>
  <si>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</si>
  <si>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</si>
  <si>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</si>
  <si>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</si>
  <si>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</si>
  <si>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</si>
  <si>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</si>
  <si>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</si>
  <si>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</si>
  <si>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</si>
  <si>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</si>
  <si>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</si>
  <si>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</si>
  <si>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</si>
  <si>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</si>
  <si>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</si>
  <si>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</si>
  <si>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</si>
  <si>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</si>
  <si>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</si>
  <si>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</si>
  <si>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</si>
  <si>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</si>
  <si>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</si>
  <si>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</si>
  <si>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</si>
  <si>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</si>
  <si>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</si>
  <si>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</si>
  <si>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</si>
  <si>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</si>
  <si>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</si>
  <si>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</si>
  <si>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</si>
  <si>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</si>
  <si>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</si>
  <si>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</si>
  <si>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</si>
  <si>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</si>
  <si>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</si>
  <si>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</si>
  <si>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</si>
  <si>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</si>
  <si>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</si>
  <si>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</si>
  <si>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</si>
  <si>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</si>
  <si>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</si>
  <si>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</si>
  <si>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</si>
  <si>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</si>
  <si>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</si>
  <si>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</si>
  <si>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</si>
  <si>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</si>
  <si>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</si>
  <si>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</si>
  <si>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</si>
  <si>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</si>
  <si>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</si>
  <si>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</si>
  <si>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</si>
  <si>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</si>
  <si>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</si>
  <si>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</si>
  <si>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</si>
  <si>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</si>
  <si>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</si>
  <si>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</si>
  <si>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</si>
  <si>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</si>
  <si>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</si>
  <si>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</si>
  <si>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</si>
  <si>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</si>
  <si>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</si>
  <si>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</si>
  <si>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</si>
  <si>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</si>
  <si>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</si>
  <si>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</si>
  <si>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</si>
  <si>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</si>
  <si>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</si>
  <si>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</si>
  <si>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</si>
  <si>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</si>
  <si>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</si>
  <si>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</si>
  <si>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</si>
  <si>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</si>
  <si>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</si>
  <si>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</si>
  <si>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</si>
  <si>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</si>
  <si>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</si>
  <si>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</si>
  <si>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</si>
  <si>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</si>
  <si>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</si>
  <si>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</si>
  <si>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</si>
  <si>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</si>
  <si>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</si>
  <si>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</si>
  <si>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</si>
  <si>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</si>
  <si>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</si>
  <si>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</si>
  <si>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</si>
  <si>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</si>
  <si>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</si>
  <si>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</si>
  <si>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</si>
  <si>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</si>
  <si>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</si>
  <si>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</si>
  <si>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</si>
  <si>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</si>
  <si>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</si>
  <si>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</si>
  <si>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</si>
  <si>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</si>
  <si>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</si>
  <si>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</si>
  <si>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</si>
  <si>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</si>
  <si>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</si>
  <si>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</si>
  <si>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</si>
  <si>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</si>
  <si>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</si>
  <si>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</si>
  <si>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</si>
  <si>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</si>
  <si>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</si>
  <si>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</si>
  <si>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</si>
  <si>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</si>
  <si>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k.s1RS.w1RS</t>
  </si>
  <si>
    <t>S&amp;A run-off + erosion</t>
  </si>
  <si>
    <t>RUN-OFF of FREE ENP SPECIES (S) from AGRICULTURAL SOIL to (FRESH) WATER</t>
  </si>
  <si>
    <t>k.s2RS.w1RS</t>
  </si>
  <si>
    <t>RUN-OFF of FREE ENP SPECIES (S) from OTHER SOIL to (FRESH) WATER</t>
  </si>
  <si>
    <t>k.s3RS.w1RS</t>
  </si>
  <si>
    <t>RUN-OFF of AGGREGATED ENP SPECIES (A) from NATURAL SOIL to (FRESH) WATER</t>
  </si>
  <si>
    <t>k.s1RA.w1RA</t>
  </si>
  <si>
    <t>RUN-OFF of AGGREGATED ENP SPECIES (A) from AGRICULTURAL SOIL to (FRESH) WATER</t>
  </si>
  <si>
    <t>k.s2RA.w1RA</t>
  </si>
  <si>
    <t>RUN-OFF of AGGREGATED ENP SPECIES (A) from OTHER SOIL to (FRESH) WATER</t>
  </si>
  <si>
    <t>k.s3RA.w1RA</t>
  </si>
  <si>
    <t>EROSION of ATTACHED ENP SPECIES (P) from NATURAL SOIL to (FRESH) WATER</t>
  </si>
  <si>
    <t>k.s1RP.w1RP</t>
  </si>
  <si>
    <t>P only erosion</t>
  </si>
  <si>
    <t>EROSION of ATTACHED ENP SPECIES (P) from AGRICULTURAL SOIL to (FRESH) WATER</t>
  </si>
  <si>
    <t>k.s2RP.w1RP</t>
  </si>
  <si>
    <t>EROSION of ATTACHED ENP SPECIES (P) from OTHER SOIL to (FRESH) WATER</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</si>
  <si>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</si>
  <si>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</si>
  <si>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</si>
  <si>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</si>
  <si>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</si>
  <si>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</si>
  <si>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</si>
  <si>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</si>
  <si>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</si>
  <si>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</si>
  <si>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</si>
  <si>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</si>
  <si>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</si>
  <si>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</si>
  <si>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</si>
  <si>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</si>
  <si>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</si>
  <si>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</si>
  <si>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</si>
  <si>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</si>
  <si>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</si>
  <si>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</si>
  <si>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</si>
  <si>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</si>
  <si>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</si>
  <si>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</si>
  <si>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</si>
  <si>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</si>
  <si>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</si>
  <si>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</si>
  <si>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</si>
  <si>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</si>
  <si>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</si>
  <si>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</si>
  <si>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</si>
  <si>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</si>
  <si>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</si>
  <si>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</si>
  <si>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</si>
  <si>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</si>
  <si>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</si>
  <si>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</si>
  <si>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</si>
  <si>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</si>
  <si>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</si>
  <si>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</si>
  <si>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</si>
  <si>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</si>
  <si>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</si>
  <si>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</si>
  <si>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</si>
  <si>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</si>
  <si>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</si>
  <si>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</si>
  <si>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</si>
  <si>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</si>
  <si>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</si>
  <si>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</si>
  <si>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</si>
  <si>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</si>
  <si>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</si>
  <si>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</si>
  <si>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</si>
  <si>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</si>
  <si>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</si>
  <si>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</si>
  <si>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</si>
  <si>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</si>
  <si>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</si>
  <si>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</si>
  <si>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</si>
  <si>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</si>
  <si>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</si>
  <si>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</si>
  <si>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</si>
  <si>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</si>
  <si>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</si>
  <si>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</si>
  <si>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</si>
  <si>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</si>
  <si>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</si>
  <si>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</si>
  <si>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</si>
  <si>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</si>
  <si>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</si>
  <si>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</si>
  <si>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</si>
  <si>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</si>
  <si>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</si>
  <si>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</si>
  <si>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</si>
  <si>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</si>
  <si>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</si>
  <si>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</si>
  <si>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</si>
  <si>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</si>
  <si>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</si>
  <si>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</si>
  <si>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</si>
  <si>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</si>
  <si>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</si>
  <si>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</si>
  <si>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</si>
  <si>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</si>
  <si>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</si>
  <si>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</si>
  <si>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</si>
  <si>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</si>
  <si>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</si>
  <si>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</si>
  <si>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</si>
  <si>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</si>
  <si>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</si>
  <si>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</si>
  <si>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</si>
  <si>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</si>
  <si>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</si>
  <si>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</si>
  <si>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</si>
  <si>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</si>
  <si>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</si>
  <si>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</si>
  <si>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</si>
  <si>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</si>
  <si>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</si>
  <si>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</si>
  <si>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</si>
  <si>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</si>
  <si>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</si>
  <si>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</si>
  <si>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</si>
  <si>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</si>
  <si>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</si>
  <si>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</si>
  <si>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</si>
  <si>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</si>
  <si>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</si>
  <si>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</si>
  <si>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</si>
  <si>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</si>
  <si>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</si>
  <si>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</si>
  <si>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</si>
  <si>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</si>
  <si>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</si>
  <si>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</si>
  <si>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</si>
  <si>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</si>
  <si>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</si>
  <si>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</si>
  <si>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</si>
  <si>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</si>
  <si>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</si>
  <si>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</si>
  <si>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</si>
  <si>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</si>
  <si>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</si>
  <si>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</si>
  <si>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</si>
  <si>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</si>
  <si>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</si>
  <si>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</si>
  <si>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</si>
  <si>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</si>
  <si>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</si>
  <si>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</si>
  <si>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</si>
  <si>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</si>
  <si>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</si>
  <si>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</si>
  <si>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</si>
  <si>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</si>
  <si>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</si>
  <si>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</si>
  <si>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</si>
  <si>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</si>
  <si>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</si>
  <si>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</si>
  <si>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</si>
  <si>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</si>
  <si>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</si>
  <si>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</si>
  <si>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</si>
  <si>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</si>
  <si>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</si>
  <si>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</si>
  <si>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</si>
  <si>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</si>
  <si>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</si>
  <si>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</si>
  <si>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</si>
  <si>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</si>
  <si>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</si>
  <si>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</si>
  <si>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</si>
  <si>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</si>
  <si>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</si>
  <si>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</si>
  <si>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</si>
  <si>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</si>
  <si>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</si>
  <si>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</si>
  <si>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</si>
  <si>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</si>
  <si>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</si>
  <si>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</si>
  <si>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</si>
  <si>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</si>
  <si>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</si>
  <si>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</si>
  <si>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</si>
  <si>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</si>
  <si>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</si>
  <si>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</si>
  <si>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</si>
  <si>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</si>
  <si>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</si>
  <si>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</si>
  <si>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</si>
  <si>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</si>
  <si>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</si>
  <si>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</si>
  <si>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</si>
  <si>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</si>
  <si>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</si>
  <si>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</si>
  <si>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</si>
  <si>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</si>
  <si>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</si>
  <si>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</si>
  <si>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</si>
  <si>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</si>
  <si>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</si>
  <si>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</si>
  <si>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</si>
  <si>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</si>
  <si>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</si>
  <si>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</si>
  <si>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</si>
  <si>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</si>
  <si>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</si>
  <si>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</si>
  <si>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</si>
  <si>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</si>
  <si>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</si>
  <si>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</si>
  <si>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</si>
  <si>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</si>
  <si>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</si>
  <si>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</si>
  <si>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</si>
  <si>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</si>
  <si>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</si>
  <si>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</si>
  <si>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</si>
  <si>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</si>
  <si>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</si>
  <si>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</si>
  <si>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</si>
  <si>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</si>
  <si>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</si>
  <si>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</si>
  <si>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</si>
  <si>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</si>
  <si>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</si>
  <si>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</si>
  <si>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</si>
  <si>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</si>
  <si>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</si>
  <si>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</si>
  <si>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</si>
  <si>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</si>
  <si>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</si>
  <si>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</si>
  <si>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</si>
  <si>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TRANSFER rate natural soil - water</t>
  </si>
  <si>
    <t>k.s1C.w1C</t>
  </si>
  <si>
    <t>TRANSFER rate agricultural soil - water</t>
  </si>
  <si>
    <t>k.s2C.w1C</t>
  </si>
  <si>
    <t>TRANSFER rate other soil - water</t>
  </si>
  <si>
    <t>k.s3C.w1C</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</si>
  <si>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</si>
  <si>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</si>
  <si>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</si>
  <si>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</si>
  <si>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</si>
  <si>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</si>
  <si>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</si>
  <si>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</si>
  <si>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</si>
  <si>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</si>
  <si>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</si>
  <si>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</si>
  <si>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</si>
  <si>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</si>
  <si>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</si>
  <si>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</si>
  <si>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</si>
  <si>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</si>
  <si>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</si>
  <si>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</si>
  <si>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</si>
  <si>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</si>
  <si>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</si>
  <si>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</si>
  <si>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</si>
  <si>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</si>
  <si>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</si>
  <si>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</si>
  <si>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</si>
  <si>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</si>
  <si>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</si>
  <si>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</si>
  <si>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</si>
  <si>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</si>
  <si>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</si>
  <si>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</si>
  <si>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</si>
  <si>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</si>
  <si>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</si>
  <si>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</si>
  <si>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</si>
  <si>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</si>
  <si>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</si>
  <si>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</si>
  <si>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</si>
  <si>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</si>
  <si>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</si>
  <si>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</si>
  <si>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</si>
  <si>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</si>
  <si>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</si>
  <si>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</si>
  <si>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</si>
  <si>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</si>
  <si>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</si>
  <si>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</si>
  <si>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</si>
  <si>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</si>
  <si>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</si>
  <si>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</si>
  <si>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</si>
  <si>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</si>
  <si>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</si>
  <si>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</si>
  <si>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</si>
  <si>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</si>
  <si>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</si>
  <si>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</si>
  <si>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</si>
  <si>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</si>
  <si>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</si>
  <si>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</si>
  <si>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</si>
  <si>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</si>
  <si>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</si>
  <si>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</si>
  <si>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</si>
  <si>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</si>
  <si>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</si>
  <si>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</si>
  <si>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</si>
  <si>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</si>
  <si>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</si>
  <si>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</si>
  <si>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</si>
  <si>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</si>
  <si>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</si>
  <si>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</si>
  <si>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</si>
  <si>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</si>
  <si>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</si>
  <si>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</si>
  <si>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</si>
  <si>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Now assumed same as in water column</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</si>
  <si>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</si>
  <si>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</si>
  <si>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</si>
  <si>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</si>
  <si>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</si>
  <si>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</si>
  <si>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</si>
  <si>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</si>
  <si>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</si>
  <si>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</si>
  <si>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</si>
  <si>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</si>
  <si>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</si>
  <si>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</si>
  <si>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</si>
  <si>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</si>
  <si>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</si>
  <si>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</si>
  <si>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</si>
  <si>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</si>
  <si>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</si>
  <si>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</si>
  <si>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</si>
  <si>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</si>
  <si>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</si>
  <si>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</si>
  <si>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</si>
  <si>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</si>
  <si>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</si>
  <si>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</si>
  <si>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</si>
  <si>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</si>
  <si>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</si>
  <si>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</si>
  <si>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</si>
  <si>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</si>
  <si>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</si>
  <si>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</si>
  <si>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</si>
  <si>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</si>
  <si>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</si>
  <si>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</si>
  <si>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</si>
  <si>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</si>
  <si>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</si>
  <si>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</si>
  <si>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</si>
  <si>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</si>
  <si>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</si>
  <si>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</si>
  <si>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</si>
  <si>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</si>
  <si>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</si>
  <si>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</si>
  <si>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</si>
  <si>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</si>
  <si>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</si>
  <si>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</si>
  <si>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</si>
  <si>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</si>
  <si>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</si>
  <si>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</si>
  <si>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</si>
  <si>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</si>
  <si>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</si>
  <si>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</si>
  <si>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</si>
  <si>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</si>
  <si>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</si>
  <si>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</si>
  <si>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</si>
  <si>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</si>
  <si>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</si>
  <si>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</si>
  <si>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</si>
  <si>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</si>
  <si>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</si>
  <si>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</si>
  <si>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</si>
  <si>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</si>
  <si>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</si>
  <si>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</si>
  <si>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</si>
  <si>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</si>
  <si>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</si>
  <si>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</si>
  <si>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</si>
  <si>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</si>
  <si>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</si>
  <si>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</si>
  <si>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</si>
  <si>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</si>
  <si>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</si>
  <si>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</si>
  <si>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</si>
  <si>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</si>
  <si>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</si>
  <si>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</si>
  <si>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</si>
  <si>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</si>
  <si>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</si>
  <si>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</si>
  <si>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</si>
  <si>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</si>
  <si>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</si>
  <si>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</si>
  <si>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</si>
  <si>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</si>
  <si>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</si>
  <si>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</si>
  <si>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</si>
  <si>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</si>
  <si>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</si>
  <si>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</si>
  <si>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</si>
  <si>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</si>
  <si>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</si>
  <si>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</si>
  <si>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</si>
  <si>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</si>
  <si>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</si>
  <si>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</si>
  <si>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</si>
  <si>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</si>
  <si>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</si>
  <si>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</si>
  <si>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</si>
  <si>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</si>
  <si>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</si>
  <si>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</si>
  <si>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</si>
  <si>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</si>
  <si>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</si>
  <si>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</si>
  <si>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</si>
  <si>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</si>
  <si>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</si>
  <si>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</si>
  <si>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</si>
  <si>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</si>
  <si>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</si>
  <si>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</si>
  <si>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</si>
  <si>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</si>
  <si>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</si>
  <si>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</si>
  <si>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</si>
  <si>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</si>
  <si>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</si>
  <si>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</si>
  <si>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</si>
  <si>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</si>
  <si>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</si>
  <si>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</si>
  <si>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</si>
  <si>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</si>
  <si>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</si>
  <si>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</si>
  <si>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</si>
  <si>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</si>
  <si>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</si>
  <si>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</si>
  <si>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</si>
  <si>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</si>
  <si>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</si>
  <si>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</si>
  <si>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</si>
  <si>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</si>
  <si>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</si>
  <si>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</si>
  <si>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</si>
  <si>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</si>
  <si>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</si>
  <si>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</si>
  <si>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</si>
  <si>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</si>
  <si>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</si>
  <si>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</si>
  <si>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</si>
  <si>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</si>
  <si>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</si>
  <si>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</si>
  <si>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</si>
  <si>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</si>
  <si>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</si>
  <si>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</si>
  <si>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</si>
  <si>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</si>
  <si>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</si>
  <si>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</si>
  <si>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</si>
  <si>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</si>
  <si>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</si>
  <si>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</si>
  <si>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</si>
  <si>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</si>
  <si>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</si>
  <si>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</si>
  <si>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</si>
  <si>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</si>
  <si>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</si>
  <si>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</si>
  <si>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</si>
  <si>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</si>
  <si>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</si>
  <si>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</si>
  <si>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</si>
  <si>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</si>
  <si>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</si>
  <si>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</si>
  <si>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</si>
  <si>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</si>
  <si>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</si>
  <si>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</si>
  <si>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</si>
  <si>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</si>
  <si>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</si>
  <si>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</si>
  <si>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</si>
  <si>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</si>
  <si>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</si>
  <si>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</si>
  <si>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</si>
  <si>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</si>
  <si>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</si>
  <si>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</si>
  <si>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</si>
  <si>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</si>
  <si>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</si>
  <si>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</si>
  <si>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</si>
  <si>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</si>
  <si>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</si>
  <si>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</si>
  <si>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</si>
  <si>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</si>
  <si>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</si>
  <si>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</si>
  <si>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</si>
  <si>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</si>
  <si>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</si>
  <si>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</si>
  <si>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</si>
  <si>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</si>
  <si>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</si>
  <si>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</si>
  <si>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</si>
  <si>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</si>
  <si>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</si>
  <si>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</si>
  <si>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</si>
  <si>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</si>
  <si>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</si>
  <si>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</si>
  <si>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</si>
  <si>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</si>
  <si>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</si>
  <si>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</si>
  <si>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</si>
  <si>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</si>
  <si>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</si>
  <si>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</si>
  <si>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</si>
  <si>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</si>
  <si>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</si>
  <si>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</si>
  <si>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</si>
  <si>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</si>
  <si>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</si>
  <si>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</si>
  <si>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</si>
  <si>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</si>
  <si>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</si>
  <si>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</si>
  <si>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</si>
  <si>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</si>
  <si>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</si>
  <si>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</si>
  <si>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</si>
  <si>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</si>
  <si>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</si>
  <si>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</si>
  <si>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</si>
  <si>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</si>
  <si>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</si>
  <si>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</si>
  <si>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</si>
  <si>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</si>
  <si>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</si>
  <si>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</si>
  <si>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</si>
  <si>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</si>
  <si>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</si>
  <si>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</si>
  <si>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</si>
  <si>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</si>
  <si>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</si>
  <si>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</si>
  <si>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</si>
  <si>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</si>
  <si>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</si>
  <si>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</si>
  <si>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</si>
  <si>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</si>
  <si>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</si>
  <si>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</si>
  <si>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</si>
  <si>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</si>
  <si>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</si>
  <si>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</si>
  <si>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</si>
  <si>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</si>
  <si>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</si>
  <si>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</si>
  <si>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</si>
  <si>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</si>
  <si>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</si>
  <si>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</si>
  <si>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</si>
  <si>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</si>
  <si>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</si>
  <si>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</si>
  <si>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</si>
  <si>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</si>
  <si>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</si>
  <si>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</si>
  <si>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</si>
  <si>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</si>
  <si>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</si>
  <si>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</si>
  <si>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</si>
  <si>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</si>
  <si>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</si>
  <si>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</si>
  <si>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</si>
  <si>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</si>
  <si>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</si>
  <si>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</si>
  <si>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</si>
  <si>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</si>
  <si>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</si>
  <si>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</si>
  <si>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</si>
  <si>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</si>
  <si>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</si>
  <si>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</si>
  <si>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</si>
  <si>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</si>
  <si>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</si>
  <si>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</si>
  <si>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</si>
  <si>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</si>
  <si>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</si>
  <si>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</si>
  <si>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</si>
  <si>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</si>
  <si>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</si>
  <si>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</si>
  <si>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</si>
  <si>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</si>
  <si>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</si>
  <si>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</si>
  <si>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</si>
  <si>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</si>
  <si>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</si>
  <si>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</si>
  <si>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</si>
  <si>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</si>
  <si>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</si>
  <si>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</si>
  <si>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</si>
  <si>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</si>
  <si>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</si>
  <si>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</si>
  <si>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</si>
  <si>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</si>
  <si>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</si>
  <si>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</si>
  <si>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</si>
  <si>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</si>
  <si>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</si>
  <si>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</si>
  <si>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</si>
  <si>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</si>
  <si>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</si>
  <si>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</si>
  <si>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</si>
  <si>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</si>
  <si>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</si>
  <si>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</si>
  <si>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</si>
  <si>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</si>
  <si>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</si>
  <si>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</si>
  <si>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</si>
  <si>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</si>
  <si>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</si>
  <si>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</si>
  <si>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</si>
  <si>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</si>
  <si>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</si>
  <si>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</si>
  <si>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</si>
  <si>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</si>
  <si>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</si>
  <si>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</si>
  <si>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</si>
  <si>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</si>
  <si>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</si>
  <si>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</si>
  <si>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</si>
  <si>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</si>
  <si>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</si>
  <si>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</si>
  <si>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</si>
  <si>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</si>
  <si>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</si>
  <si>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</si>
  <si>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</si>
  <si>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</si>
  <si>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</si>
  <si>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</si>
  <si>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</si>
  <si>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</si>
  <si>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</si>
  <si>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</si>
  <si>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</si>
  <si>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</si>
  <si>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</si>
  <si>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</si>
  <si>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</si>
  <si>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</si>
  <si>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</si>
  <si>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</si>
  <si>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</si>
  <si>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</si>
  <si>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</si>
  <si>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</si>
  <si>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</si>
  <si>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</si>
  <si>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</si>
  <si>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</si>
  <si>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</si>
  <si>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</si>
  <si>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</si>
  <si>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</si>
  <si>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</si>
  <si>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</si>
  <si>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</si>
  <si>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</si>
  <si>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</si>
  <si>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</si>
  <si>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</si>
  <si>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</si>
  <si>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</si>
  <si>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</si>
  <si>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</si>
  <si>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</si>
  <si>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</si>
  <si>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</si>
  <si>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</si>
  <si>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</si>
  <si>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</si>
  <si>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</si>
  <si>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</si>
  <si>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</si>
  <si>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</si>
  <si>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</si>
  <si>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</si>
  <si>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</si>
  <si>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</si>
  <si>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</si>
  <si>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</si>
  <si>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</si>
  <si>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</si>
  <si>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</si>
  <si>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</si>
  <si>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</si>
  <si>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</si>
  <si>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</si>
  <si>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</si>
  <si>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</si>
  <si>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</si>
  <si>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</si>
  <si>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</si>
  <si>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</si>
  <si>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</si>
  <si>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</si>
  <si>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</si>
  <si>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</si>
  <si>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</si>
  <si>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</si>
  <si>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</si>
  <si>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</si>
  <si>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</si>
  <si>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</si>
  <si>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</si>
  <si>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</si>
  <si>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</si>
  <si>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</si>
  <si>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</si>
  <si>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</si>
  <si>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</si>
  <si>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</si>
  <si>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</si>
  <si>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</si>
  <si>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</si>
  <si>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</si>
  <si>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</si>
  <si>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</si>
  <si>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</si>
  <si>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</si>
  <si>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</si>
  <si>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</si>
  <si>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</si>
  <si>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</si>
  <si>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</si>
  <si>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</si>
  <si>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</si>
  <si>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</si>
  <si>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</si>
  <si>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</si>
  <si>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</si>
  <si>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</si>
  <si>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</si>
  <si>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</si>
  <si>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</si>
  <si>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</si>
  <si>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</si>
  <si>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</si>
  <si>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</si>
  <si>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</si>
  <si>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</si>
  <si>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</si>
  <si>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</si>
  <si>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</si>
  <si>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</si>
  <si>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</si>
  <si>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</si>
  <si>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</si>
  <si>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</si>
  <si>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</si>
  <si>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</si>
  <si>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</si>
  <si>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</si>
  <si>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</si>
  <si>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</si>
  <si>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</si>
  <si>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</si>
  <si>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</si>
  <si>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</si>
  <si>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</si>
  <si>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</si>
  <si>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</si>
  <si>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</si>
  <si>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</si>
  <si>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</si>
  <si>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</si>
  <si>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</si>
  <si>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</si>
  <si>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</si>
  <si>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</si>
  <si>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</si>
  <si>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</si>
  <si>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</si>
  <si>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</si>
  <si>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</si>
  <si>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</si>
  <si>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</si>
  <si>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</si>
  <si>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</si>
  <si>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</si>
  <si>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</si>
  <si>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</si>
  <si>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</si>
  <si>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</si>
  <si>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</si>
  <si>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</si>
  <si>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</si>
  <si>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</si>
  <si>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</si>
  <si>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</si>
  <si>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</si>
  <si>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</si>
  <si>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</si>
  <si>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</si>
  <si>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</si>
  <si>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</si>
  <si>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</si>
  <si>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</si>
  <si>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</si>
  <si>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</si>
  <si>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</si>
  <si>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</si>
  <si>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</si>
  <si>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</si>
  <si>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</si>
  <si>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</si>
  <si>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</si>
  <si>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</si>
  <si>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</si>
  <si>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</si>
  <si>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</si>
  <si>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</si>
  <si>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</si>
  <si>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</si>
  <si>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</si>
  <si>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</si>
  <si>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</si>
  <si>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</si>
  <si>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</si>
  <si>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</si>
  <si>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</si>
  <si>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</si>
  <si>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</si>
  <si>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</si>
  <si>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</si>
  <si>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</si>
  <si>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</si>
  <si>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</si>
  <si>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</si>
  <si>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</si>
  <si>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</si>
  <si>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</si>
  <si>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</si>
  <si>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</si>
  <si>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</si>
  <si>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</si>
  <si>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</si>
  <si>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</si>
  <si>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</si>
  <si>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</si>
  <si>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</si>
  <si>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</si>
  <si>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</si>
  <si>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</si>
  <si>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</si>
  <si>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</si>
  <si>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</si>
  <si>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</si>
  <si>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</si>
  <si>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</si>
  <si>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</si>
  <si>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</si>
  <si>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</si>
  <si>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</si>
  <si>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</si>
  <si>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</si>
  <si>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</si>
  <si>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</si>
  <si>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</si>
  <si>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</si>
  <si>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</si>
  <si>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</si>
  <si>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</si>
  <si>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</si>
  <si>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</si>
  <si>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</si>
  <si>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</si>
  <si>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</si>
  <si>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</si>
  <si>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</si>
  <si>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</si>
  <si>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</si>
  <si>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</si>
  <si>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</si>
  <si>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</si>
  <si>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</si>
  <si>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</si>
  <si>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</si>
  <si>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</si>
  <si>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</si>
  <si>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</si>
  <si>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</si>
  <si>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</si>
  <si>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</si>
  <si>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</si>
  <si>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</si>
  <si>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</si>
  <si>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</si>
  <si>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</si>
  <si>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</si>
  <si>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</si>
  <si>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</si>
  <si>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</si>
  <si>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</si>
  <si>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</si>
  <si>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</si>
  <si>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</si>
  <si>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</si>
  <si>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</si>
  <si>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</si>
  <si>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</si>
  <si>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</si>
  <si>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</si>
  <si>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</si>
  <si>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</si>
  <si>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</si>
  <si>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</si>
  <si>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</si>
  <si>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</si>
  <si>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</si>
  <si>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</si>
  <si>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</si>
  <si>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</si>
  <si>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</si>
  <si>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</si>
  <si>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</si>
  <si>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</si>
  <si>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</si>
  <si>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</si>
  <si>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</si>
  <si>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</si>
  <si>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</si>
  <si>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</si>
  <si>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</si>
  <si>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</si>
  <si>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</si>
  <si>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</si>
  <si>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</si>
  <si>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</si>
  <si>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</si>
  <si>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</si>
  <si>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</si>
  <si>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</si>
  <si>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</si>
  <si>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</si>
  <si>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</si>
  <si>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</si>
  <si>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</si>
  <si>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</si>
  <si>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</si>
  <si>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</si>
  <si>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</si>
  <si>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</si>
  <si>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</si>
  <si>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</si>
  <si>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</si>
  <si>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</si>
  <si>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</si>
  <si>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</si>
  <si>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</si>
  <si>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</si>
  <si>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</si>
  <si>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</si>
  <si>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</si>
  <si>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</si>
  <si>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</si>
  <si>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</si>
  <si>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</si>
  <si>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</si>
  <si>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</si>
  <si>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</si>
  <si>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</si>
  <si>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</si>
  <si>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</si>
  <si>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</si>
  <si>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</si>
  <si>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</si>
  <si>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</si>
  <si>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</si>
  <si>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</si>
  <si>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</si>
  <si>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</si>
  <si>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</si>
  <si>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</si>
  <si>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</si>
  <si>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</si>
  <si>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</si>
  <si>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</si>
  <si>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</si>
  <si>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</si>
  <si>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</si>
  <si>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</si>
  <si>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</si>
  <si>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</si>
  <si>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</si>
  <si>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</si>
  <si>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</si>
  <si>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</si>
  <si>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</si>
  <si>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</si>
  <si>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</si>
  <si>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</si>
  <si>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</si>
  <si>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</si>
  <si>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</si>
  <si>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</si>
  <si>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</si>
  <si>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</si>
  <si>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</si>
  <si>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</si>
  <si>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</si>
  <si>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</si>
  <si>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</si>
  <si>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</si>
  <si>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</si>
  <si>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</si>
  <si>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</si>
  <si>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</si>
  <si>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</si>
  <si>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</si>
  <si>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</si>
  <si>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</si>
  <si>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</si>
  <si>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</si>
  <si>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</si>
  <si>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</si>
  <si>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</si>
  <si>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</si>
  <si>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</si>
  <si>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</si>
  <si>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</si>
  <si>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</si>
  <si>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</si>
  <si>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</si>
  <si>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</si>
  <si>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</si>
  <si>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</si>
  <si>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</si>
  <si>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</si>
  <si>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</si>
  <si>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</si>
  <si>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</si>
  <si>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</si>
  <si>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</si>
  <si>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</si>
  <si>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</si>
  <si>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</si>
  <si>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</si>
  <si>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</si>
  <si>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</si>
  <si>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</si>
  <si>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</si>
  <si>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</si>
  <si>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</si>
  <si>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</si>
  <si>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</si>
  <si>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</si>
  <si>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</si>
  <si>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</si>
  <si>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</si>
  <si>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</si>
  <si>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</si>
  <si>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</si>
  <si>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</si>
  <si>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</si>
  <si>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</si>
  <si>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</si>
  <si>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</si>
  <si>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</si>
  <si>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</si>
  <si>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</si>
  <si>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</si>
  <si>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</si>
  <si>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</si>
  <si>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</si>
  <si>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</si>
  <si>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</si>
  <si>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</si>
  <si>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</si>
  <si>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</si>
  <si>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</si>
  <si>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</si>
  <si>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</si>
  <si>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</si>
  <si>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</si>
  <si>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</si>
  <si>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</si>
  <si>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</si>
  <si>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</si>
  <si>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</si>
  <si>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</si>
  <si>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</si>
  <si>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</si>
  <si>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</si>
  <si>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</si>
  <si>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</si>
  <si>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</si>
  <si>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</si>
  <si>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</si>
  <si>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</si>
  <si>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 Higher?</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</si>
  <si>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</si>
  <si>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</si>
  <si>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</si>
  <si>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</si>
  <si>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</si>
  <si>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</si>
  <si>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</si>
  <si>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</si>
  <si>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</si>
  <si>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</si>
  <si>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</si>
  <si>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</si>
  <si>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</si>
  <si>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</si>
  <si>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</si>
  <si>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</si>
  <si>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</si>
  <si>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</si>
  <si>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</si>
  <si>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</si>
  <si>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</si>
  <si>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</si>
  <si>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</si>
  <si>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</si>
  <si>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</si>
  <si>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</si>
  <si>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</si>
  <si>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</si>
  <si>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</si>
  <si>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</si>
  <si>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</si>
  <si>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</si>
  <si>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</si>
  <si>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</si>
  <si>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</si>
  <si>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</si>
  <si>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</si>
  <si>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</si>
  <si>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</si>
  <si>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</si>
  <si>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</si>
  <si>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</si>
  <si>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</si>
  <si>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</si>
  <si>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</si>
  <si>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</si>
  <si>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</si>
  <si>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</si>
  <si>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</si>
  <si>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</si>
  <si>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</si>
  <si>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</si>
  <si>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</si>
  <si>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</si>
  <si>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</si>
  <si>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</si>
  <si>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</si>
  <si>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</si>
  <si>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</si>
  <si>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</si>
  <si>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</si>
  <si>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</si>
  <si>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</si>
  <si>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</si>
  <si>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</si>
  <si>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</si>
  <si>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</si>
  <si>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</si>
  <si>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</si>
  <si>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</si>
  <si>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</si>
  <si>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</si>
  <si>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</si>
  <si>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</si>
  <si>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</si>
  <si>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</si>
  <si>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</si>
  <si>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</si>
  <si>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</si>
  <si>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</si>
  <si>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</si>
  <si>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</si>
  <si>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</si>
  <si>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</si>
  <si>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</si>
  <si>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</si>
  <si>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</si>
  <si>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</si>
  <si>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</si>
  <si>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</si>
  <si>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</si>
  <si>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</si>
  <si>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</si>
  <si>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</si>
  <si>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</si>
  <si>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</si>
  <si>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</si>
  <si>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</si>
  <si>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</si>
  <si>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</si>
  <si>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</si>
  <si>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</si>
  <si>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</si>
  <si>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</si>
  <si>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</si>
  <si>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</si>
  <si>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</si>
  <si>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</si>
  <si>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</si>
  <si>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</si>
  <si>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</si>
  <si>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</si>
  <si>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</si>
  <si>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</si>
  <si>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</si>
  <si>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</si>
  <si>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</si>
  <si>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</si>
  <si>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</si>
  <si>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</si>
  <si>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</si>
  <si>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</si>
  <si>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</si>
  <si>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</si>
  <si>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</si>
  <si>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</si>
  <si>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</si>
  <si>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</si>
  <si>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</si>
  <si>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</si>
  <si>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</si>
  <si>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</si>
  <si>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</si>
  <si>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</si>
  <si>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</si>
  <si>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</si>
  <si>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</si>
  <si>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</si>
  <si>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</si>
  <si>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</si>
  <si>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</si>
  <si>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</si>
  <si>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</si>
  <si>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</si>
  <si>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</si>
  <si>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</si>
  <si>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</si>
  <si>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</si>
  <si>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</si>
  <si>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</si>
  <si>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</si>
  <si>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</si>
  <si>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</si>
  <si>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</si>
  <si>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</si>
  <si>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</si>
  <si>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</si>
  <si>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</si>
  <si>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</si>
  <si>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</si>
  <si>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</si>
  <si>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</si>
  <si>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</si>
  <si>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</si>
  <si>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</si>
  <si>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</si>
  <si>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</si>
  <si>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</si>
  <si>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</si>
  <si>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</si>
  <si>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</si>
  <si>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</si>
  <si>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</si>
  <si>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</si>
  <si>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</si>
  <si>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</si>
  <si>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</si>
  <si>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</si>
  <si>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</si>
  <si>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</si>
  <si>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</si>
  <si>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</si>
  <si>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</si>
  <si>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</si>
  <si>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</si>
  <si>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</si>
  <si>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</si>
  <si>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</si>
  <si>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</si>
  <si>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</si>
  <si>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</si>
  <si>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</si>
  <si>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</si>
  <si>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</si>
  <si>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</si>
  <si>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</si>
  <si>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</si>
  <si>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</si>
  <si>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</si>
  <si>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</si>
  <si>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</si>
  <si>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</si>
  <si>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</si>
  <si>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</si>
  <si>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</si>
  <si>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</si>
  <si>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</si>
  <si>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</si>
  <si>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</si>
  <si>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</si>
  <si>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</si>
  <si>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</si>
  <si>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</si>
  <si>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</si>
  <si>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</si>
  <si>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</si>
  <si>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</si>
  <si>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</si>
  <si>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</si>
  <si>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</si>
  <si>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</si>
  <si>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</si>
  <si>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</si>
  <si>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</si>
  <si>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</si>
  <si>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</si>
  <si>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</si>
  <si>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</si>
  <si>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</si>
  <si>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</si>
  <si>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</si>
  <si>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</si>
  <si>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</si>
  <si>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</si>
  <si>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</si>
  <si>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</si>
  <si>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</si>
  <si>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</si>
  <si>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</si>
  <si>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</si>
  <si>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</si>
  <si>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</si>
  <si>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</si>
  <si>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</si>
  <si>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</si>
  <si>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</si>
  <si>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</si>
  <si>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</si>
  <si>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</si>
  <si>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</si>
  <si>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</si>
  <si>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</si>
  <si>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</si>
  <si>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</si>
  <si>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</si>
  <si>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</si>
  <si>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</si>
  <si>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</si>
  <si>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</si>
  <si>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</si>
  <si>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</si>
  <si>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</si>
  <si>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</si>
  <si>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</si>
  <si>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</si>
  <si>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</si>
  <si>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</si>
  <si>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</si>
  <si>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</si>
  <si>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</si>
  <si>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</si>
  <si>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</si>
  <si>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</si>
  <si>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</si>
  <si>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</si>
  <si>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</si>
  <si>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</si>
  <si>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</si>
  <si>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</si>
  <si>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</si>
  <si>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</si>
  <si>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</si>
  <si>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</si>
  <si>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</si>
  <si>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</si>
  <si>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</si>
  <si>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</si>
  <si>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</si>
  <si>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</si>
  <si>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</si>
  <si>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</si>
  <si>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</si>
  <si>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</si>
  <si>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</si>
  <si>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</si>
  <si>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</si>
  <si>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</si>
  <si>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</si>
  <si>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</si>
  <si>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</si>
  <si>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</si>
  <si>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</si>
  <si>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</si>
  <si>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</si>
  <si>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</si>
  <si>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</si>
  <si>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</si>
  <si>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</si>
  <si>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</si>
  <si>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</si>
  <si>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</si>
  <si>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</si>
  <si>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</si>
  <si>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</si>
  <si>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</si>
  <si>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</si>
  <si>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</si>
  <si>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</si>
  <si>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</si>
  <si>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</si>
  <si>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</si>
  <si>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</si>
  <si>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</si>
  <si>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</si>
  <si>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</si>
  <si>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</si>
  <si>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</si>
  <si>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</si>
  <si>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</si>
  <si>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</si>
  <si>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</si>
  <si>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</si>
  <si>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</si>
  <si>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</si>
  <si>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</si>
  <si>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</si>
  <si>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</si>
  <si>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</si>
  <si>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</si>
  <si>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</si>
  <si>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</si>
  <si>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</si>
  <si>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</si>
  <si>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</si>
  <si>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</si>
  <si>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</si>
  <si>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</si>
  <si>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</si>
  <si>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</si>
  <si>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</si>
  <si>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</si>
  <si>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</si>
  <si>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</si>
  <si>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</si>
  <si>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</si>
  <si>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</si>
  <si>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</si>
  <si>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</si>
  <si>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</si>
  <si>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</si>
  <si>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</si>
  <si>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</si>
  <si>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</si>
  <si>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</si>
  <si>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</si>
  <si>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</si>
  <si>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</si>
  <si>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</si>
  <si>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</si>
  <si>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</si>
  <si>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</si>
  <si>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</si>
  <si>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</si>
  <si>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</si>
  <si>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</si>
  <si>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</si>
  <si>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</si>
  <si>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</si>
  <si>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</si>
  <si>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</si>
  <si>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</si>
  <si>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</si>
  <si>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</si>
  <si>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</si>
  <si>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</si>
  <si>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</si>
  <si>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</si>
  <si>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</si>
  <si>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</si>
  <si>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</si>
  <si>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</si>
  <si>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</si>
  <si>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</si>
  <si>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</si>
  <si>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</si>
  <si>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</si>
  <si>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</si>
  <si>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</si>
  <si>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</si>
  <si>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</si>
  <si>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</si>
  <si>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</si>
  <si>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</si>
  <si>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</si>
  <si>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</si>
  <si>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</si>
  <si>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</si>
  <si>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</si>
  <si>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</si>
  <si>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</si>
  <si>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</si>
  <si>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</si>
  <si>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</si>
  <si>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</si>
  <si>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</si>
  <si>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</si>
  <si>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</si>
  <si>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</si>
  <si>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</si>
  <si>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</si>
  <si>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</si>
  <si>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</si>
  <si>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</si>
  <si>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</si>
  <si>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</si>
  <si>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</si>
  <si>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</si>
  <si>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</si>
  <si>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</si>
  <si>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</si>
  <si>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</si>
  <si>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</si>
  <si>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</si>
  <si>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</si>
  <si>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</si>
  <si>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</si>
  <si>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</si>
  <si>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</si>
  <si>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</si>
  <si>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</si>
  <si>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</si>
  <si>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</si>
  <si>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</si>
  <si>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</si>
  <si>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</si>
  <si>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</si>
  <si>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</si>
  <si>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</si>
  <si>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</si>
  <si>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</si>
  <si>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</si>
  <si>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</si>
  <si>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</si>
  <si>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</si>
  <si>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</si>
  <si>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</si>
  <si>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</si>
  <si>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</si>
  <si>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</si>
  <si>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</si>
  <si>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</si>
  <si>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</si>
  <si>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</si>
  <si>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</si>
  <si>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</si>
  <si>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</si>
  <si>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</si>
  <si>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</si>
  <si>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</si>
  <si>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</si>
  <si>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</si>
  <si>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</si>
  <si>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</si>
  <si>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</si>
  <si>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</si>
  <si>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</si>
  <si>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</si>
  <si>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</si>
  <si>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</si>
  <si>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</si>
  <si>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</si>
  <si>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</si>
  <si>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</si>
  <si>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</si>
  <si>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</si>
  <si>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</si>
  <si>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</si>
  <si>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</si>
  <si>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</si>
  <si>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</si>
  <si>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</si>
  <si>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</si>
  <si>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</si>
  <si>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</si>
  <si>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</si>
  <si>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</si>
  <si>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</si>
  <si>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</si>
  <si>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</si>
  <si>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</si>
  <si>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</si>
  <si>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</si>
  <si>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</si>
  <si>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</si>
  <si>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</si>
  <si>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</si>
  <si>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</si>
  <si>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</si>
  <si>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</si>
  <si>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</si>
  <si>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</si>
  <si>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</si>
  <si>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</si>
  <si>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</si>
  <si>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</si>
  <si>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</si>
  <si>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</si>
  <si>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</si>
  <si>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</si>
  <si>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</si>
  <si>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</si>
  <si>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</si>
  <si>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</si>
  <si>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</si>
  <si>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</si>
  <si>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</si>
  <si>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</si>
  <si>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</si>
  <si>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</si>
  <si>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</si>
  <si>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</si>
  <si>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</si>
  <si>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</si>
  <si>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</si>
  <si>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</si>
  <si>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</si>
  <si>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</si>
  <si>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</si>
  <si>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</si>
  <si>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</si>
  <si>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</si>
  <si>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</si>
  <si>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</si>
  <si>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</si>
  <si>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</si>
  <si>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</si>
  <si>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</si>
  <si>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</si>
  <si>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</si>
  <si>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</si>
  <si>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</si>
  <si>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</si>
  <si>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</si>
  <si>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</si>
  <si>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</si>
  <si>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</si>
  <si>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</si>
  <si>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</si>
  <si>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</si>
  <si>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</si>
  <si>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</si>
  <si>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</si>
  <si>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</si>
  <si>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</si>
  <si>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</si>
  <si>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</si>
  <si>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</si>
  <si>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</si>
  <si>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</si>
  <si>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</si>
  <si>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</si>
  <si>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</si>
  <si>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</si>
  <si>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</si>
  <si>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</si>
  <si>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</si>
  <si>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</si>
  <si>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</si>
  <si>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</si>
  <si>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</si>
  <si>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</si>
  <si>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</si>
  <si>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</si>
  <si>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</si>
  <si>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</si>
  <si>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</si>
  <si>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</si>
  <si>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</si>
  <si>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</si>
  <si>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</si>
  <si>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</si>
  <si>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</si>
  <si>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</si>
  <si>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</si>
  <si>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</si>
  <si>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</si>
  <si>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</si>
  <si>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</si>
  <si>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</si>
  <si>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</si>
  <si>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</si>
  <si>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</si>
  <si>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</si>
  <si>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</si>
  <si>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</si>
  <si>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</si>
  <si>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</si>
  <si>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</si>
  <si>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</si>
  <si>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</si>
  <si>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</si>
  <si>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</si>
  <si>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</si>
  <si>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</si>
  <si>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</si>
  <si>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</si>
  <si>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</si>
  <si>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</si>
  <si>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</si>
  <si>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</si>
  <si>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</si>
  <si>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</si>
  <si>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</si>
  <si>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</si>
  <si>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</si>
  <si>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</si>
  <si>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</si>
  <si>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</si>
  <si>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</si>
  <si>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</si>
  <si>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</si>
  <si>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</si>
  <si>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</si>
  <si>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</si>
  <si>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</si>
  <si>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</si>
  <si>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</si>
  <si>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</si>
  <si>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</si>
  <si>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</si>
  <si>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</si>
  <si>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</si>
  <si>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</si>
  <si>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</si>
  <si>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</si>
  <si>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</si>
  <si>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</si>
  <si>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</si>
  <si>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</si>
  <si>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</si>
  <si>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</si>
  <si>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</si>
  <si>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</si>
  <si>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</si>
  <si>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</si>
  <si>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</si>
  <si>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</si>
  <si>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</si>
  <si>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</si>
  <si>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</si>
  <si>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</si>
  <si>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</si>
  <si>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</si>
  <si>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</si>
  <si>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</si>
  <si>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</si>
  <si>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</si>
  <si>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</si>
  <si>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</si>
  <si>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</si>
  <si>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</si>
  <si>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</si>
  <si>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</si>
  <si>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</si>
  <si>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</si>
  <si>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</si>
  <si>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</si>
  <si>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</si>
  <si>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</si>
  <si>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</si>
  <si>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</si>
  <si>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</si>
  <si>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</si>
  <si>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</si>
  <si>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</si>
  <si>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</si>
  <si>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</si>
  <si>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</si>
  <si>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</si>
  <si>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</si>
  <si>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</si>
  <si>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</si>
  <si>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</si>
  <si>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</si>
  <si>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</si>
  <si>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</si>
  <si>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</si>
  <si>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</si>
  <si>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</si>
  <si>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</si>
  <si>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</si>
  <si>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</si>
  <si>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</si>
  <si>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</si>
  <si>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</si>
  <si>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</si>
  <si>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</si>
  <si>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</si>
  <si>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</si>
  <si>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</si>
  <si>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</si>
  <si>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</si>
  <si>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</si>
  <si>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</si>
  <si>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</si>
  <si>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</si>
  <si>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</si>
  <si>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</si>
  <si>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</si>
  <si>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</si>
  <si>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</si>
  <si>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</si>
  <si>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</si>
  <si>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</si>
  <si>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</si>
  <si>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</si>
  <si>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</si>
  <si>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</si>
  <si>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</si>
  <si>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</si>
  <si>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</si>
  <si>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</si>
  <si>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</si>
  <si>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</si>
  <si>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</si>
  <si>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</si>
  <si>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</si>
  <si>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</si>
  <si>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</si>
  <si>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</si>
  <si>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</si>
  <si>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</si>
  <si>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</si>
  <si>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</si>
  <si>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</si>
  <si>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</si>
  <si>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</si>
  <si>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</si>
  <si>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</si>
  <si>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</si>
  <si>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</si>
  <si>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</si>
  <si>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</si>
  <si>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</si>
  <si>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</si>
  <si>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</si>
  <si>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</si>
  <si>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</si>
  <si>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</si>
  <si>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</si>
  <si>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</si>
  <si>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</si>
  <si>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</si>
  <si>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</si>
  <si>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</si>
  <si>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</si>
  <si>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</si>
  <si>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</si>
  <si>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</si>
  <si>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</si>
  <si>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</si>
  <si>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</si>
  <si>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</si>
  <si>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</si>
  <si>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</si>
  <si>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</si>
  <si>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</si>
  <si>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</si>
  <si>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</si>
  <si>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</si>
  <si>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</si>
  <si>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</si>
  <si>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</si>
  <si>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</si>
  <si>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</si>
  <si>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</si>
  <si>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</si>
  <si>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</si>
  <si>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</si>
  <si>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</si>
  <si>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</si>
  <si>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</si>
  <si>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</si>
  <si>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</si>
  <si>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</si>
  <si>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</si>
  <si>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</si>
  <si>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</si>
  <si>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</si>
  <si>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</si>
  <si>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</si>
  <si>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</si>
  <si>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</si>
  <si>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</si>
  <si>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</si>
  <si>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</si>
  <si>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</si>
  <si>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</si>
  <si>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</si>
  <si>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</si>
  <si>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</si>
  <si>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</si>
  <si>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</si>
  <si>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</si>
  <si>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</si>
  <si>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</si>
  <si>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</si>
  <si>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</si>
  <si>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</si>
  <si>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</si>
  <si>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</si>
  <si>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</si>
  <si>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</si>
  <si>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</si>
  <si>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</si>
  <si>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</si>
  <si>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</si>
  <si>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</si>
  <si>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</si>
  <si>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</si>
  <si>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</si>
  <si>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</si>
  <si>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</si>
  <si>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</si>
  <si>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</si>
  <si>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</si>
  <si>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</si>
  <si>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</si>
  <si>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</si>
  <si>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</si>
  <si>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</si>
  <si>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</si>
  <si>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</si>
  <si>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</si>
  <si>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</si>
  <si>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</si>
  <si>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</si>
  <si>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</si>
  <si>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</si>
  <si>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</si>
  <si>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</si>
  <si>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</si>
  <si>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</si>
  <si>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</si>
  <si>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</si>
  <si>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</si>
  <si>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</si>
  <si>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</si>
  <si>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</si>
  <si>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</si>
  <si>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</si>
  <si>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</si>
  <si>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</si>
  <si>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</si>
  <si>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</si>
  <si>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</si>
  <si>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</si>
  <si>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</si>
  <si>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</si>
  <si>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</si>
  <si>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</si>
  <si>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</si>
  <si>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</si>
  <si>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</si>
  <si>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</si>
  <si>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</si>
  <si>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</si>
  <si>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</si>
  <si>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</si>
  <si>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</si>
  <si>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</si>
  <si>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</si>
  <si>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</si>
  <si>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</si>
  <si>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</si>
  <si>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</si>
  <si>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</si>
  <si>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</si>
  <si>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</si>
  <si>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</si>
  <si>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</si>
  <si>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</si>
  <si>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</si>
  <si>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</si>
  <si>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</si>
  <si>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</si>
  <si>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</si>
  <si>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</si>
  <si>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</si>
  <si>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</si>
  <si>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</si>
  <si>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</si>
  <si>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</si>
  <si>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</si>
  <si>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</si>
  <si>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</si>
  <si>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</si>
  <si>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</si>
  <si>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</si>
  <si>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</si>
  <si>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</si>
  <si>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</si>
  <si>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</si>
  <si>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</si>
  <si>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</si>
  <si>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</si>
  <si>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</si>
  <si>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</si>
  <si>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</si>
  <si>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</si>
  <si>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</si>
  <si>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</si>
  <si>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</si>
  <si>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</si>
  <si>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</si>
  <si>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</si>
  <si>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</si>
  <si>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</si>
  <si>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</si>
  <si>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</si>
  <si>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</si>
  <si>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</si>
  <si>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</si>
  <si>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</si>
  <si>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</si>
  <si>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</si>
  <si>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</si>
  <si>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</si>
  <si>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</si>
  <si>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</si>
  <si>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</si>
  <si>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</si>
  <si>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</si>
  <si>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</si>
  <si>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</si>
  <si>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</si>
  <si>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</si>
  <si>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</si>
  <si>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</si>
  <si>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</si>
  <si>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</si>
  <si>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</si>
  <si>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</si>
  <si>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</si>
  <si>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</si>
  <si>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</si>
  <si>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</si>
  <si>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</si>
  <si>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</si>
  <si>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</si>
  <si>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</si>
  <si>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</si>
  <si>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</si>
  <si>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</si>
  <si>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</si>
  <si>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</si>
  <si>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</si>
  <si>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</si>
  <si>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</si>
  <si>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</si>
  <si>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</si>
  <si>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</si>
  <si>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</si>
  <si>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</si>
  <si>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</si>
  <si>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</si>
  <si>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</si>
  <si>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</si>
  <si>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</si>
  <si>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</si>
  <si>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</si>
  <si>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</si>
  <si>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</si>
  <si>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</si>
  <si>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</si>
  <si>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</si>
  <si>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</si>
  <si>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</si>
  <si>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</si>
  <si>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</si>
  <si>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</si>
  <si>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</si>
  <si>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</si>
  <si>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</si>
  <si>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</si>
  <si>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</si>
  <si>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</si>
  <si>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</si>
  <si>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</si>
  <si>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</si>
  <si>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</si>
  <si>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</si>
  <si>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</si>
  <si>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</si>
  <si>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</si>
  <si>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</si>
  <si>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</si>
  <si>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</si>
  <si>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</si>
  <si>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</si>
  <si>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</si>
  <si>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</si>
  <si>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</si>
  <si>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</si>
  <si>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</si>
  <si>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</si>
  <si>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</si>
  <si>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</si>
  <si>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</si>
  <si>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</si>
  <si>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</si>
  <si>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</si>
  <si>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</si>
  <si>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</si>
  <si>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</si>
  <si>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</si>
  <si>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</si>
  <si>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</si>
  <si>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</si>
  <si>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</si>
  <si>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</si>
  <si>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</si>
  <si>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</si>
  <si>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</si>
  <si>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</si>
  <si>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</si>
  <si>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</si>
  <si>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</si>
  <si>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</si>
  <si>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</si>
  <si>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</si>
  <si>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</si>
  <si>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</si>
  <si>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</si>
  <si>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</si>
  <si>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</si>
  <si>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</si>
  <si>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</si>
  <si>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</si>
  <si>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</si>
  <si>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</si>
  <si>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</si>
  <si>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</si>
  <si>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</si>
  <si>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</si>
  <si>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</si>
  <si>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</si>
  <si>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</si>
  <si>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</si>
  <si>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</si>
  <si>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</si>
  <si>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</si>
  <si>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</si>
  <si>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</si>
  <si>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</si>
  <si>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</si>
  <si>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</si>
  <si>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</si>
  <si>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</si>
  <si>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</si>
  <si>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</si>
  <si>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</si>
  <si>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</si>
  <si>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</si>
  <si>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</si>
  <si>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</si>
  <si>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</si>
  <si>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</si>
  <si>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</si>
  <si>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</si>
  <si>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</si>
  <si>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</si>
  <si>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</si>
  <si>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</si>
  <si>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</si>
  <si>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</si>
  <si>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</si>
  <si>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</si>
  <si>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</si>
  <si>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</si>
  <si>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</si>
  <si>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</si>
  <si>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</si>
  <si>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</si>
  <si>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</si>
  <si>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</si>
  <si>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</si>
  <si>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</si>
  <si>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</si>
  <si>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</si>
  <si>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</si>
  <si>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</si>
  <si>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</si>
  <si>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</si>
  <si>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</si>
  <si>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</si>
  <si>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</si>
  <si>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</si>
  <si>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</si>
  <si>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</si>
  <si>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</si>
  <si>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</si>
  <si>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</si>
  <si>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</si>
  <si>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</si>
  <si>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</si>
  <si>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</si>
  <si>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</si>
  <si>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</si>
  <si>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</si>
  <si>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</si>
  <si>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</si>
  <si>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</si>
  <si>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</si>
  <si>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</si>
  <si>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</si>
  <si>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</si>
  <si>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</si>
  <si>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</si>
  <si>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</si>
  <si>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</si>
  <si>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</si>
  <si>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</si>
  <si>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</si>
  <si>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</si>
  <si>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</si>
  <si>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</si>
  <si>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</si>
  <si>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</si>
  <si>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</si>
  <si>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</si>
  <si>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</si>
  <si>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</si>
  <si>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</si>
  <si>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</si>
  <si>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</si>
  <si>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</si>
  <si>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</si>
  <si>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</si>
  <si>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</si>
  <si>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</si>
  <si>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</si>
  <si>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</si>
  <si>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</si>
  <si>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</si>
  <si>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</si>
  <si>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</si>
  <si>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</si>
  <si>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</si>
  <si>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</si>
  <si>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</si>
  <si>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</si>
  <si>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</si>
  <si>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</si>
  <si>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</si>
  <si>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</si>
  <si>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</si>
  <si>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</si>
  <si>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</si>
  <si>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</si>
  <si>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</si>
  <si>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</si>
  <si>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</si>
  <si>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</si>
  <si>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</si>
  <si>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</si>
  <si>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</si>
  <si>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</si>
  <si>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</si>
  <si>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</si>
  <si>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</si>
  <si>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</si>
  <si>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</si>
  <si>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</si>
  <si>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</si>
  <si>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</si>
  <si>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</si>
  <si>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</si>
  <si>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</si>
  <si>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</si>
  <si>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</si>
  <si>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</si>
  <si>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</si>
  <si>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</si>
  <si>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</si>
  <si>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</si>
  <si>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</si>
  <si>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</si>
  <si>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</si>
  <si>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</si>
  <si>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</si>
  <si>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</si>
  <si>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</si>
  <si>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</si>
  <si>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</si>
  <si>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</si>
  <si>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</si>
  <si>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</si>
  <si>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</si>
  <si>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</si>
  <si>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</si>
  <si>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</si>
  <si>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</si>
  <si>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</si>
  <si>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</si>
  <si>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</si>
  <si>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</si>
  <si>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</si>
  <si>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</si>
  <si>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</si>
  <si>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</si>
  <si>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</si>
  <si>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</si>
  <si>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</si>
  <si>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</si>
  <si>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</si>
  <si>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</si>
  <si>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</si>
  <si>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</si>
  <si>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</si>
  <si>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</si>
  <si>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</si>
  <si>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</si>
  <si>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</si>
  <si>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</si>
  <si>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</si>
  <si>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</si>
  <si>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</si>
  <si>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</si>
  <si>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</si>
  <si>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</si>
  <si>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</si>
  <si>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</si>
  <si>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</si>
  <si>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</si>
  <si>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</si>
  <si>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</si>
  <si>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</si>
  <si>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</si>
  <si>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</si>
  <si>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</si>
  <si>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</si>
  <si>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</si>
  <si>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</si>
  <si>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</si>
  <si>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</si>
  <si>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</si>
  <si>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</si>
  <si>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</si>
  <si>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</si>
  <si>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</si>
  <si>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</si>
  <si>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</si>
  <si>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</si>
  <si>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</si>
  <si>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</si>
  <si>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</si>
  <si>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</si>
  <si>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</si>
  <si>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</si>
  <si>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</si>
  <si>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</si>
  <si>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</si>
  <si>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</si>
  <si>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</si>
  <si>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</si>
  <si>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</si>
  <si>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</si>
  <si>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</si>
  <si>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</si>
  <si>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</si>
  <si>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</si>
  <si>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</si>
  <si>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</si>
  <si>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</si>
  <si>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</si>
  <si>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</si>
  <si>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</si>
  <si>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</si>
  <si>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</si>
  <si>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</si>
  <si>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</si>
  <si>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</si>
  <si>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</si>
  <si>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</si>
  <si>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</si>
  <si>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</si>
  <si>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</si>
  <si>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</si>
  <si>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</si>
  <si>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</si>
  <si>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</si>
  <si>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</si>
  <si>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</si>
  <si>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</si>
  <si>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</si>
  <si>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</si>
  <si>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</si>
  <si>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</si>
  <si>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</si>
  <si>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</si>
  <si>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</si>
  <si>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</si>
  <si>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</si>
  <si>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</si>
  <si>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</si>
  <si>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</si>
  <si>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</si>
  <si>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</si>
  <si>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</si>
  <si>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</si>
  <si>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</si>
  <si>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</si>
  <si>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</si>
  <si>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</si>
  <si>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</si>
  <si>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</si>
  <si>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</si>
  <si>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</si>
  <si>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</si>
  <si>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</si>
  <si>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</si>
  <si>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</si>
  <si>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</si>
  <si>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</si>
  <si>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</si>
  <si>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</si>
  <si>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</si>
  <si>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</si>
  <si>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</si>
  <si>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</si>
  <si>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</si>
  <si>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</si>
  <si>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</si>
  <si>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</si>
  <si>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</si>
  <si>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</si>
  <si>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</si>
  <si>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</si>
  <si>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</si>
  <si>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</si>
  <si>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</si>
  <si>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</si>
  <si>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</si>
  <si>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</si>
  <si>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</si>
  <si>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</si>
  <si>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</si>
  <si>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</si>
  <si>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</si>
  <si>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</si>
  <si>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</si>
  <si>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</si>
  <si>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k.s1R</t>
  </si>
  <si>
    <t>k.s1R.aR</t>
  </si>
  <si>
    <t>k.s1R.w1R</t>
  </si>
  <si>
    <t>k.s2C.aC</t>
  </si>
  <si>
    <t>k.s2R</t>
  </si>
  <si>
    <t>k.s2R.aR</t>
  </si>
  <si>
    <t>k.s2R.w1R</t>
  </si>
  <si>
    <t>k.s3C.aC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</si>
  <si>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</si>
  <si>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</si>
  <si>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</si>
  <si>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</si>
  <si>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</si>
  <si>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</si>
  <si>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</si>
  <si>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</si>
  <si>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</si>
  <si>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</si>
  <si>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</si>
  <si>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</si>
  <si>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</si>
  <si>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</si>
  <si>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</si>
  <si>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</si>
  <si>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</si>
  <si>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</si>
  <si>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</si>
  <si>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</si>
  <si>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</si>
  <si>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</si>
  <si>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</si>
  <si>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</si>
  <si>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</si>
  <si>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</si>
  <si>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</si>
  <si>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</si>
  <si>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</si>
  <si>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</si>
  <si>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</si>
  <si>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</si>
  <si>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</si>
  <si>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</si>
  <si>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</si>
  <si>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</si>
  <si>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</si>
  <si>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</si>
  <si>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</si>
  <si>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</si>
  <si>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</si>
  <si>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</si>
  <si>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</si>
  <si>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</si>
  <si>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</si>
  <si>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</si>
  <si>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</si>
  <si>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</si>
  <si>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</si>
  <si>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</si>
  <si>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</si>
  <si>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</si>
  <si>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</si>
  <si>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</si>
  <si>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</si>
  <si>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</si>
  <si>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</si>
  <si>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</si>
  <si>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</si>
  <si>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</si>
  <si>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</si>
  <si>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</si>
  <si>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</si>
  <si>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</si>
  <si>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</si>
  <si>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</si>
  <si>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</si>
  <si>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</si>
  <si>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</si>
  <si>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</si>
  <si>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</si>
  <si>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</si>
  <si>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</si>
  <si>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</si>
  <si>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</si>
  <si>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</si>
  <si>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</si>
  <si>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</si>
  <si>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</si>
  <si>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</si>
  <si>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</si>
  <si>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</si>
  <si>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</si>
  <si>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</si>
  <si>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</si>
  <si>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</si>
  <si>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</si>
  <si>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</si>
  <si>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</si>
  <si>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</si>
  <si>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</si>
  <si>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</si>
  <si>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</si>
  <si>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</si>
  <si>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</si>
  <si>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</si>
  <si>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</si>
  <si>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</si>
  <si>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</si>
  <si>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</si>
  <si>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</si>
  <si>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</si>
  <si>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</si>
  <si>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</si>
  <si>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</si>
  <si>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</si>
  <si>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</si>
  <si>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</si>
  <si>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</si>
  <si>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</si>
  <si>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</si>
  <si>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</si>
  <si>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</si>
  <si>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</si>
  <si>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</si>
  <si>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</si>
  <si>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</si>
  <si>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</si>
  <si>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</si>
  <si>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</si>
  <si>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</si>
  <si>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</si>
  <si>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</si>
  <si>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</si>
  <si>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</si>
  <si>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</si>
  <si>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</si>
  <si>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</si>
  <si>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</si>
  <si>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</si>
  <si>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</si>
  <si>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</si>
  <si>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</si>
  <si>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</si>
  <si>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</si>
  <si>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</si>
  <si>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</si>
  <si>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</si>
  <si>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</si>
  <si>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</si>
  <si>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</si>
  <si>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</si>
  <si>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</si>
  <si>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</si>
  <si>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</si>
  <si>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</si>
  <si>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</si>
  <si>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</si>
  <si>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</si>
  <si>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</si>
  <si>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</si>
  <si>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</si>
  <si>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</si>
  <si>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</si>
  <si>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</si>
  <si>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</si>
  <si>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</si>
  <si>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</si>
  <si>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</si>
  <si>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</si>
  <si>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</si>
  <si>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</si>
  <si>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</si>
  <si>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</si>
  <si>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</si>
  <si>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</si>
  <si>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</si>
  <si>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</si>
  <si>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</si>
  <si>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</si>
  <si>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</si>
  <si>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</si>
  <si>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</si>
  <si>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</si>
  <si>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</si>
  <si>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</si>
  <si>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</si>
  <si>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</si>
  <si>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</si>
  <si>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</si>
  <si>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</si>
  <si>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</si>
  <si>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</si>
  <si>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</si>
  <si>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</si>
  <si>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</si>
  <si>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</si>
  <si>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</si>
  <si>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</si>
  <si>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</si>
  <si>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</si>
  <si>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</si>
  <si>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</si>
  <si>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</si>
  <si>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</si>
  <si>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</si>
  <si>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</si>
  <si>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</si>
  <si>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</si>
  <si>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</si>
  <si>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Total Surface Area land at continental scale</t>
  </si>
  <si>
    <t>Total Surface Area sea at continental scale</t>
  </si>
  <si>
    <t>TOTAREAland.C</t>
  </si>
  <si>
    <t>TOTAREAsea.C</t>
  </si>
  <si>
    <t>[change] calculation of input arealand.C and areasea.C and SYSTEMAREA.C</t>
  </si>
  <si>
    <t>No Regional scale</t>
  </si>
  <si>
    <t>[added] case for not using regional scale (only C and global scales)</t>
  </si>
  <si>
    <t>SimpleBox4plastics</t>
  </si>
  <si>
    <t>vs 4.02-plastic</t>
  </si>
  <si>
    <t>References SimpleBox4plastic</t>
  </si>
  <si>
    <r>
      <t xml:space="preserve">Degradation rate constant of heteroagglomerates of ENPs and NCs (A) in </t>
    </r>
    <r>
      <rPr>
        <sz val="10"/>
        <rFont val="Calibri"/>
        <family val="2"/>
      </rPr>
      <t>air</t>
    </r>
  </si>
  <si>
    <r>
      <t>Degradation rate constant of heteroagglomerates of ENPs and SPM (P) in</t>
    </r>
    <r>
      <rPr>
        <sz val="10"/>
        <rFont val="Calibri"/>
        <family val="2"/>
      </rPr>
      <t xml:space="preserve"> air</t>
    </r>
  </si>
  <si>
    <r>
      <t>[km</t>
    </r>
    <r>
      <rPr>
        <vertAlign val="superscript"/>
        <sz val="10"/>
        <rFont val="Calibri"/>
        <family val="2"/>
      </rPr>
      <t>2</t>
    </r>
    <r>
      <rPr>
        <sz val="10"/>
        <rFont val="Calibri"/>
        <family val="2"/>
      </rPr>
      <t>]</t>
    </r>
  </si>
  <si>
    <r>
      <t>km</t>
    </r>
    <r>
      <rPr>
        <vertAlign val="superscript"/>
        <sz val="10"/>
        <rFont val="Calibri"/>
        <family val="2"/>
      </rPr>
      <t>2</t>
    </r>
  </si>
  <si>
    <t>ERROR with Knudsen number. Brackets</t>
  </si>
  <si>
    <t>[Known issue] surface runoff from soils to lakewater is missing</t>
  </si>
  <si>
    <t>JTK Quik et al. A multimedia model for microplastic particles. (2023) A multimedia model to estimate environmental fate of microplastic particles. Science of The Total Environment 163437. https://doi.org/10.1016/j.scitotenv.2023.163437</t>
  </si>
  <si>
    <t>[fix] Flow of w1 to w0 was not implemented in the engine</t>
  </si>
  <si>
    <t>[Fix] 'Runoff was not being input to lake water (Regional and Continental). This is now implemented based on fraction surface area of W0 and W1</t>
  </si>
  <si>
    <t>See changes for k.s1.w0C/R, k.s2.w0C/R, k.s3.w0C/R and .......w1. include the surface area correction</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</si>
  <si>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</si>
  <si>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</si>
  <si>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</si>
  <si>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</si>
  <si>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</si>
  <si>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[Fix] 'in the regional scale: calculation of runoff for agricultural soil was related to FRACrun.s1R instead of FRACrun.s2R</t>
  </si>
  <si>
    <t>vs 4.04-plastic</t>
  </si>
  <si>
    <t>Take care that the cases related to comparison to SimpleBox v3.32 are not updated</t>
  </si>
  <si>
    <t>k.s1R.w0RD</t>
  </si>
  <si>
    <t>k.s2R.w0RD</t>
  </si>
  <si>
    <t>k.s3R.w0RD</t>
  </si>
  <si>
    <t>k.s1RS.w0RS</t>
  </si>
  <si>
    <t>k.s2RS.w0RS</t>
  </si>
  <si>
    <t>k.s3RS.w0RS</t>
  </si>
  <si>
    <t>k.s1RA.w0RA</t>
  </si>
  <si>
    <t>k.s2RA.w0RA</t>
  </si>
  <si>
    <t>k.s3RA.w0RA</t>
  </si>
  <si>
    <t>k.s1RP.w0RP</t>
  </si>
  <si>
    <t>k.s2RP.w0RP</t>
  </si>
  <si>
    <t>k.s3RP.w0RP</t>
  </si>
  <si>
    <t>TRANSFER rate natural soil - lake water</t>
  </si>
  <si>
    <t>TRANSFER rate agricultural soil - lake water</t>
  </si>
  <si>
    <t>TRANSFER rate other soil - lake water</t>
  </si>
  <si>
    <t>k.s1C.w1CD</t>
  </si>
  <si>
    <t>k.s2C.w1CD</t>
  </si>
  <si>
    <t>k.s3C.w1CD</t>
  </si>
  <si>
    <t>k.s1C.w0CD</t>
  </si>
  <si>
    <t>k.s2C.w0CD</t>
  </si>
  <si>
    <t>k.s3C.w0CD</t>
  </si>
  <si>
    <t>k.s1CS.w0CS</t>
  </si>
  <si>
    <t>k.s2CS.w0CS</t>
  </si>
  <si>
    <t>k.s3CS.w0CS</t>
  </si>
  <si>
    <t>k.s1CA.w0CA</t>
  </si>
  <si>
    <t>k.s2CA.w0CA</t>
  </si>
  <si>
    <t>k.s3CA.w0CA</t>
  </si>
  <si>
    <t>k.s1CP.w0CP</t>
  </si>
  <si>
    <t>k.s2CP.w0CP</t>
  </si>
  <si>
    <t>k.s3CP.w0CP</t>
  </si>
  <si>
    <t>The all species output tables and graphics are NOT updated based on this fix, so they are not complete</t>
  </si>
  <si>
    <t>[Fix] 'Diffusivity of Coarse Aerosol Particles did not include Cunningham Slip Factor Coefficient, added on all scales'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</si>
</sst>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69"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996">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1.4545248641292405E-7</c:v>
                </c:pt>
                <c:pt idx="1">
                  <c:v>1.6976974431792335E-8</c:v>
                </c:pt>
                <c:pt idx="2">
                  <c:v>9.7848433744271594E-10</c:v>
                </c:pt>
                <c:pt idx="3">
                  <c:v>3.6788967541679859E-10</c:v>
                </c:pt>
                <c:pt idx="4">
                  <c:v>1.827915786501403E-10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6.6841127993701646E-8</c:v>
                </c:pt>
                <c:pt idx="1">
                  <c:v>2.2313626571117391E-9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6.275754549354871E-5</c:v>
                </c:pt>
                <c:pt idx="1">
                  <c:v>4.565561821066332E-8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6.5479704593500827E-7</c:v>
                </c:pt>
                <c:pt idx="1">
                  <c:v>1.101719134279917E-11</c:v>
                </c:pt>
                <c:pt idx="2">
                  <c:v>1.4533424573762292E-12</c:v>
                </c:pt>
                <c:pt idx="3">
                  <c:v>4.6034432819408787E-13</c:v>
                </c:pt>
                <c:pt idx="4">
                  <c:v>3.0564962331113837E-13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1.0239444076528505E-15</c:v>
                </c:pt>
                <c:pt idx="3">
                  <c:v>3.5046216562593227E-16</c:v>
                </c:pt>
                <c:pt idx="4">
                  <c:v>1.9655252692292125E-16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3.283418314486001E-7</c:v>
                </c:pt>
                <c:pt idx="1">
                  <c:v>1.9023348228677263E-8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1.1411248340574126E-6</c:v>
                </c:pt>
                <c:pt idx="1">
                  <c:v>4.830430387821443E-9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3.2834960092280923E-7</c:v>
                </c:pt>
                <c:pt idx="1">
                  <c:v>1.9023399379116776E-8</c:v>
                </c:pt>
                <c:pt idx="2">
                  <c:v>2.042732780651399E-9</c:v>
                </c:pt>
                <c:pt idx="3">
                  <c:v>5.5800720550108438E-10</c:v>
                </c:pt>
                <c:pt idx="4">
                  <c:v>4.6301033981374643E-10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6.2336921895272918E-7</c:v>
                </c:pt>
                <c:pt idx="1">
                  <c:v>2.0814127605557265E-8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4.8907347237323875E-4</c:v>
                </c:pt>
                <c:pt idx="1">
                  <c:v>3.5691272572273396E-7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6.9756090442205715E-8</c:v>
                </c:pt>
                <c:pt idx="1">
                  <c:v>1.1735310618496853E-12</c:v>
                </c:pt>
                <c:pt idx="2">
                  <c:v>1.0908400653803241E-16</c:v>
                </c:pt>
                <c:pt idx="3">
                  <c:v>3.7335833039311924E-17</c:v>
                </c:pt>
                <c:pt idx="4">
                  <c:v>2.0939358294160337E-17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26068371337.325058</c:v>
                </c:pt>
                <c:pt idx="1">
                  <c:v>2125084239.8725581</c:v>
                </c:pt>
                <c:pt idx="2">
                  <c:v>74576326569.546799</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8.9624714958651481E-15</c:v>
                </c:pt>
                <c:pt idx="1">
                  <c:v>2843628.1513688848</c:v>
                </c:pt>
                <c:pt idx="2">
                  <c:v>189980172.05620041</c:v>
                </c:pt>
                <c:pt idx="3">
                  <c:v>25873654470.579758</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6088.0683363256967</c:v>
                </c:pt>
                <c:pt idx="1">
                  <c:v>224.09794798152484</c:v>
                </c:pt>
                <c:pt idx="2">
                  <c:v>6.4512755972196457E-6</c:v>
                </c:pt>
                <c:pt idx="3">
                  <c:v>17.580102104515895</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27303.458969486273</c:v>
                </c:pt>
                <c:pt idx="1">
                  <c:v>1193563.9459782338</c:v>
                </c:pt>
                <c:pt idx="2">
                  <c:v>119908.73166248428</c:v>
                </c:pt>
                <c:pt idx="3">
                  <c:v>55551.417226588979</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21.911276655502284</c:v>
                </c:pt>
                <c:pt idx="1">
                  <c:v>7716.6321270830013</c:v>
                </c:pt>
                <c:pt idx="2">
                  <c:v>466175.2841621855</c:v>
                </c:pt>
                <c:pt idx="3">
                  <c:v>16495.409935401844</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6088.0683363256967</c:v>
                </c:pt>
                <c:pt idx="1">
                  <c:v>224.09794798152484</c:v>
                </c:pt>
                <c:pt idx="2">
                  <c:v>6.4512755972196457E-6</c:v>
                </c:pt>
                <c:pt idx="3">
                  <c:v>17.580102104515895</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27303.458969486273</c:v>
                </c:pt>
                <c:pt idx="1">
                  <c:v>1193563.9459782338</c:v>
                </c:pt>
                <c:pt idx="2">
                  <c:v>119908.73166248428</c:v>
                </c:pt>
                <c:pt idx="3">
                  <c:v>55551.417226588979</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21.911276655502284</c:v>
                </c:pt>
                <c:pt idx="1">
                  <c:v>7716.6321270830013</c:v>
                </c:pt>
                <c:pt idx="2">
                  <c:v>466175.2841621855</c:v>
                </c:pt>
                <c:pt idx="3">
                  <c:v>16495.409935401844</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3.5820033433236931E-14</c:v>
                </c:pt>
                <c:pt idx="1">
                  <c:v>79809558.623557612</c:v>
                </c:pt>
                <c:pt idx="2">
                  <c:v>393132191.16668552</c:v>
                </c:pt>
                <c:pt idx="3">
                  <c:v>1651989766.1880338</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1256.9250445136479</c:v>
                </c:pt>
                <c:pt idx="1">
                  <c:v>1.25576172820976</c:v>
                </c:pt>
                <c:pt idx="2">
                  <c:v>9.5180632983884788E-10</c:v>
                </c:pt>
                <c:pt idx="3">
                  <c:v>0.11799343213432149</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120964.55813355632</c:v>
                </c:pt>
                <c:pt idx="1">
                  <c:v>23255.2821054265</c:v>
                </c:pt>
                <c:pt idx="2">
                  <c:v>1341.5848927183592</c:v>
                </c:pt>
                <c:pt idx="3">
                  <c:v>5520.3807951642866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7.6666471325835897</c:v>
                </c:pt>
                <c:pt idx="1">
                  <c:v>25.405213620246116</c:v>
                </c:pt>
                <c:pt idx="2">
                  <c:v>202.96605026368209</c:v>
                </c:pt>
                <c:pt idx="3">
                  <c:v>147.75164336176505</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4.1813560741412487E-11</c:v>
                </c:pt>
                <c:pt idx="1">
                  <c:v>55735632020.871239</c:v>
                </c:pt>
                <c:pt idx="2">
                  <c:v>17344125450.820721</c:v>
                </c:pt>
                <c:pt idx="3">
                  <c:v>1496435463.6115458</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38.823341063629698</c:v>
                </c:pt>
                <c:pt idx="1">
                  <c:v>2.2761100525050988E-2</c:v>
                </c:pt>
                <c:pt idx="2">
                  <c:v>7.0996573591434519E-18</c:v>
                </c:pt>
                <c:pt idx="3">
                  <c:v>3.664311972209689E-3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114804.59880898254</c:v>
                </c:pt>
                <c:pt idx="1">
                  <c:v>9737.2327906730443</c:v>
                </c:pt>
                <c:pt idx="2">
                  <c:v>2.7501977191250358E-4</c:v>
                </c:pt>
                <c:pt idx="3">
                  <c:v>9046.1097842984709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0.29654026764396257</c:v>
                </c:pt>
                <c:pt idx="1">
                  <c:v>0.62215566480954021</c:v>
                </c:pt>
                <c:pt idx="2">
                  <c:v>2.2691778278004614E-5</c:v>
                </c:pt>
                <c:pt idx="3">
                  <c:v>6.5331480878493871</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1256.9250445136479</c:v>
                </c:pt>
                <c:pt idx="1">
                  <c:v>1.25576172820976</c:v>
                </c:pt>
                <c:pt idx="2">
                  <c:v>9.5180632983884788E-10</c:v>
                </c:pt>
                <c:pt idx="3">
                  <c:v>0.11799343213432149</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120964.55813355632</c:v>
                </c:pt>
                <c:pt idx="1">
                  <c:v>23255.2821054265</c:v>
                </c:pt>
                <c:pt idx="2">
                  <c:v>1341.5848927183592</c:v>
                </c:pt>
                <c:pt idx="3">
                  <c:v>5520.3807951642866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7.6666471325835897</c:v>
                </c:pt>
                <c:pt idx="1">
                  <c:v>25.405213620246116</c:v>
                </c:pt>
                <c:pt idx="2">
                  <c:v>202.96605026368209</c:v>
                </c:pt>
                <c:pt idx="3">
                  <c:v>147.75164336176505</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38.823341063629698</c:v>
                </c:pt>
                <c:pt idx="1">
                  <c:v>2.2761100525050988E-2</c:v>
                </c:pt>
                <c:pt idx="2">
                  <c:v>7.0996573591434519E-18</c:v>
                </c:pt>
                <c:pt idx="3">
                  <c:v>3.664311972209689E-3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114804.59880898254</c:v>
                </c:pt>
                <c:pt idx="1">
                  <c:v>9737.2327906730443</c:v>
                </c:pt>
                <c:pt idx="2">
                  <c:v>2.7501977191250358E-4</c:v>
                </c:pt>
                <c:pt idx="3">
                  <c:v>9046.1097842984709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0.29654026764396257</c:v>
                </c:pt>
                <c:pt idx="1">
                  <c:v>0.62215566480954021</c:v>
                </c:pt>
                <c:pt idx="2">
                  <c:v>2.2691778278004614E-5</c:v>
                </c:pt>
                <c:pt idx="3">
                  <c:v>6.5331480878493871</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33413.438582467475</c:v>
                </c:pt>
                <c:pt idx="1">
                  <c:v>122229.14982520255</c:v>
                </c:pt>
                <c:pt idx="2" formatCode="0.00E+00">
                  <c:v>114843.71869031386</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4045132.8274221835</c:v>
                </c:pt>
                <c:pt idx="1">
                  <c:v>79832840.566638395</c:v>
                </c:pt>
                <c:pt idx="2">
                  <c:v>55735641758.748947</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190566256.07203156</c:v>
                </c:pt>
                <c:pt idx="1">
                  <c:v>393133735.71762848</c:v>
                </c:pt>
                <c:pt idx="2">
                  <c:v>17344125450.821014</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25873726534.987022</c:v>
                </c:pt>
                <c:pt idx="1">
                  <c:v>1651995434.4384661</c:v>
                </c:pt>
                <c:pt idx="2">
                  <c:v>1496444516.2581427</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26066478270.787327</c:v>
                </c:pt>
                <c:pt idx="1">
                  <c:v>2124931515.9782772</c:v>
                </c:pt>
                <c:pt idx="2">
                  <c:v>74576192935.303497</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6329.7463928630123</c:v>
                </c:pt>
                <c:pt idx="1">
                  <c:v>1258.2987996749437</c:v>
                </c:pt>
                <c:pt idx="2">
                  <c:v>38.849766476126945</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1396327.5538367936</c:v>
                </c:pt>
                <c:pt idx="1">
                  <c:v>151081.80592686549</c:v>
                </c:pt>
                <c:pt idx="2">
                  <c:v>133587.94165897384</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490409.2375013259</c:v>
                </c:pt>
                <c:pt idx="1">
                  <c:v>383.78955437827682</c:v>
                </c:pt>
                <c:pt idx="2">
                  <c:v>7.4518667120811681</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6329.7463928630123</c:v>
                </c:pt>
                <c:pt idx="1">
                  <c:v>1258.2987996749437</c:v>
                </c:pt>
                <c:pt idx="2">
                  <c:v>38.849766476126945</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1396327.5538367936</c:v>
                </c:pt>
                <c:pt idx="1">
                  <c:v>151081.80592686549</c:v>
                </c:pt>
                <c:pt idx="2">
                  <c:v>133587.94165897384</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490409.2375013259</c:v>
                </c:pt>
                <c:pt idx="1">
                  <c:v>383.78955437827682</c:v>
                </c:pt>
                <c:pt idx="2">
                  <c:v>7.4518667120811681</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33413.438582467475</c:v>
                </c:pt>
                <c:pt idx="1">
                  <c:v>4045132.8274221835</c:v>
                </c:pt>
                <c:pt idx="2">
                  <c:v>190566256.07203156</c:v>
                </c:pt>
                <c:pt idx="3">
                  <c:v>25873726534.987022</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122229.14982520255</c:v>
                </c:pt>
                <c:pt idx="1">
                  <c:v>79832840.566638395</c:v>
                </c:pt>
                <c:pt idx="2">
                  <c:v>393133735.71762848</c:v>
                </c:pt>
                <c:pt idx="3">
                  <c:v>1651995434.4384661</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114843.71869031386</c:v>
                </c:pt>
                <c:pt idx="1">
                  <c:v>55735641758.748947</c:v>
                </c:pt>
                <c:pt idx="2">
                  <c:v>17344125450.821014</c:v>
                </c:pt>
                <c:pt idx="3">
                  <c:v>1496444516.2581427</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6329.7463928630123</c:v>
                </c:pt>
                <c:pt idx="1">
                  <c:v>1396327.5538367936</c:v>
                </c:pt>
                <c:pt idx="2">
                  <c:v>490409.2375013259</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1258.2987996749437</c:v>
                </c:pt>
                <c:pt idx="1">
                  <c:v>151081.80592686549</c:v>
                </c:pt>
                <c:pt idx="2">
                  <c:v>383.78955437827682</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38.849766476126945</c:v>
                </c:pt>
                <c:pt idx="1">
                  <c:v>133587.94165897384</c:v>
                </c:pt>
                <c:pt idx="2">
                  <c:v>7.4518667120811681</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6088.0683363256967</c:v>
                </c:pt>
                <c:pt idx="1">
                  <c:v>27303.458969486273</c:v>
                </c:pt>
                <c:pt idx="2">
                  <c:v>21.911276655502284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224.09794798152484</c:v>
                </c:pt>
                <c:pt idx="1">
                  <c:v>1193563.9459782338</c:v>
                </c:pt>
                <c:pt idx="2">
                  <c:v>7716.6321270830013</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6.4512755972196457E-6</c:v>
                </c:pt>
                <c:pt idx="1">
                  <c:v>119908.73166248428</c:v>
                </c:pt>
                <c:pt idx="2">
                  <c:v>466175.2841621855</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17.580102104515895</c:v>
                </c:pt>
                <c:pt idx="1">
                  <c:v>55551.417226588979</c:v>
                </c:pt>
                <c:pt idx="2">
                  <c:v>16495.409935401844</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38.823341063629698</c:v>
                </c:pt>
                <c:pt idx="1">
                  <c:v>114804.59880898254</c:v>
                </c:pt>
                <c:pt idx="2">
                  <c:v>0.29654026764396257</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2.2761100525050988E-2</c:v>
                </c:pt>
                <c:pt idx="1">
                  <c:v>9737.2327906730443</c:v>
                </c:pt>
                <c:pt idx="2">
                  <c:v>0.62215566480954021</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7.0996573591434519E-18</c:v>
                </c:pt>
                <c:pt idx="1">
                  <c:v>2.7501977191250358E-4</c:v>
                </c:pt>
                <c:pt idx="2">
                  <c:v>2.2691778278004614E-5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3.664311972209689E-3</c:v>
                </c:pt>
                <c:pt idx="1">
                  <c:v>9046.1097842984709</c:v>
                </c:pt>
                <c:pt idx="2">
                  <c:v>6.5331480878493871</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1256.9250445136479</c:v>
                </c:pt>
                <c:pt idx="1">
                  <c:v>120964.55813355632</c:v>
                </c:pt>
                <c:pt idx="2">
                  <c:v>7.6666471325835897</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1.25576172820976</c:v>
                </c:pt>
                <c:pt idx="1">
                  <c:v>23255.2821054265</c:v>
                </c:pt>
                <c:pt idx="2">
                  <c:v>25.405213620246116</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9.5180632983884788E-10</c:v>
                </c:pt>
                <c:pt idx="1">
                  <c:v>1341.5848927183592</c:v>
                </c:pt>
                <c:pt idx="2">
                  <c:v>202.96605026368209</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0.11799343213432149</c:v>
                </c:pt>
                <c:pt idx="1">
                  <c:v>5520.3807951642866</c:v>
                </c:pt>
                <c:pt idx="2">
                  <c:v>147.75164336176505</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18817098616.822193</c:v>
                </c:pt>
                <c:pt idx="1">
                  <c:v>11853510987.311258</c:v>
                </c:pt>
                <c:pt idx="2">
                  <c:v>43905716965.413345</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6979" y="192368"/>
          <a:ext cx="2546164"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390850" y="7245350"/>
          <a:ext cx="30797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365450" y="17103725"/>
          <a:ext cx="31115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33700" y="26184225"/>
          <a:ext cx="317500" cy="174942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17875" y="800100"/>
          <a:ext cx="1043622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17875" y="10515600"/>
          <a:ext cx="1043622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562300" y="20297775"/>
          <a:ext cx="3651250" cy="52927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19950" y="20297775"/>
          <a:ext cx="3651250" cy="52927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677600" y="20297775"/>
          <a:ext cx="3708400" cy="52927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66"/>
  <sheetViews>
    <sheetView zoomScaleNormal="100" workbookViewId="0">
      <selection activeCell="G26" sqref="G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4715</v>
      </c>
    </row>
    <row r="3" spans="2:23" ht="12.75" customHeight="1" x14ac:dyDescent="0.3">
      <c r="B3" s="690" t="str">
        <f>C39</f>
        <v>vs 4.02-plastic</v>
      </c>
      <c r="C3" s="691">
        <f>B39</f>
        <v>45338</v>
      </c>
      <c r="E3" s="16"/>
      <c r="F3" s="3"/>
    </row>
    <row r="4" spans="2:23" ht="12.75" customHeight="1" x14ac:dyDescent="0.3">
      <c r="B4" s="692" t="s">
        <v>0</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1</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2</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3</v>
      </c>
      <c r="O8" s="240"/>
    </row>
    <row r="9" spans="2:23" ht="12.75" customHeight="1" x14ac:dyDescent="0.3">
      <c r="B9" s="2" t="s">
        <v>4</v>
      </c>
      <c r="O9" s="240"/>
    </row>
    <row r="10" spans="2:23" ht="12.75" customHeight="1" x14ac:dyDescent="0.3">
      <c r="B10" s="698" t="s">
        <v>5</v>
      </c>
      <c r="D10" s="692"/>
      <c r="O10" s="240"/>
    </row>
    <row r="11" spans="2:23" ht="12.75" customHeight="1" x14ac:dyDescent="0.3">
      <c r="O11" s="240"/>
    </row>
    <row r="12" spans="2:23" ht="12.75" customHeight="1" x14ac:dyDescent="0.3">
      <c r="O12" s="240"/>
    </row>
    <row r="13" spans="2:23" ht="12.75" customHeight="1" x14ac:dyDescent="0.3">
      <c r="B13" s="3" t="s">
        <v>4717</v>
      </c>
      <c r="O13" s="240"/>
    </row>
    <row r="14" spans="2:23" ht="12.75" customHeight="1" x14ac:dyDescent="0.3">
      <c r="B14" s="75" t="s">
        <v>4724</v>
      </c>
      <c r="O14" s="240"/>
    </row>
    <row r="15" spans="2:23" ht="12.75" customHeight="1" x14ac:dyDescent="0.3">
      <c r="B15" s="17" t="s">
        <v>6</v>
      </c>
      <c r="O15" s="240"/>
    </row>
    <row r="16" spans="2:23" ht="12.75" customHeight="1" x14ac:dyDescent="0.3">
      <c r="B16" s="17" t="s">
        <v>7</v>
      </c>
      <c r="O16" s="240"/>
    </row>
    <row r="17" spans="2:15" ht="12.75" customHeight="1" x14ac:dyDescent="0.3">
      <c r="B17" s="17" t="s">
        <v>8</v>
      </c>
      <c r="C17" s="694"/>
      <c r="D17" s="694"/>
      <c r="E17" s="694"/>
      <c r="F17" s="694"/>
      <c r="G17" s="694"/>
      <c r="H17" s="694"/>
      <c r="I17" s="694"/>
      <c r="J17" s="694"/>
      <c r="O17" s="240"/>
    </row>
    <row r="18" spans="2:15" ht="12.75" customHeight="1" x14ac:dyDescent="0.3">
      <c r="B18" s="3" t="s">
        <v>9</v>
      </c>
      <c r="O18" s="240"/>
    </row>
    <row r="19" spans="2:15" ht="12.75" customHeight="1" x14ac:dyDescent="0.3">
      <c r="B19" s="17" t="s">
        <v>10</v>
      </c>
      <c r="C19" s="693"/>
      <c r="D19" s="693"/>
      <c r="E19" s="693"/>
      <c r="F19" s="693"/>
      <c r="G19" s="693"/>
      <c r="H19" s="693"/>
      <c r="I19" s="693"/>
      <c r="J19" s="693"/>
      <c r="O19" s="240"/>
    </row>
    <row r="20" spans="2:15" ht="12.75" customHeight="1" x14ac:dyDescent="0.3">
      <c r="B20" s="17" t="s">
        <v>11</v>
      </c>
      <c r="C20" s="694"/>
      <c r="D20" s="694"/>
      <c r="E20" s="694"/>
      <c r="F20" s="694"/>
      <c r="G20" s="694"/>
      <c r="H20" s="694"/>
      <c r="I20" s="694"/>
      <c r="J20" s="694"/>
      <c r="O20" s="240"/>
    </row>
    <row r="21" spans="2:15" ht="12.75" customHeight="1" x14ac:dyDescent="0.3">
      <c r="B21" s="17" t="s">
        <v>12</v>
      </c>
      <c r="O21" s="240"/>
    </row>
    <row r="22" spans="2:15" ht="12.75" customHeight="1" x14ac:dyDescent="0.3">
      <c r="B22" s="17" t="s">
        <v>13</v>
      </c>
      <c r="O22" s="240"/>
    </row>
    <row r="23" spans="2:15" ht="12.75" customHeight="1" x14ac:dyDescent="0.3">
      <c r="B23" s="2" t="s">
        <v>14</v>
      </c>
      <c r="O23" s="240"/>
    </row>
    <row r="24" spans="2:15" ht="12.75" customHeight="1" x14ac:dyDescent="0.3">
      <c r="O24" s="240"/>
    </row>
    <row r="25" spans="2:15" ht="12.5" customHeight="1" x14ac:dyDescent="0.3">
      <c r="B25" s="3" t="s">
        <v>15</v>
      </c>
      <c r="O25" s="240"/>
    </row>
    <row r="26" spans="2:15" ht="12.5" customHeight="1" x14ac:dyDescent="0.3">
      <c r="B26" s="3"/>
      <c r="O26" s="240"/>
    </row>
    <row r="27" spans="2:15" ht="12.5" customHeight="1" x14ac:dyDescent="0.3">
      <c r="B27" s="937">
        <v>45397</v>
      </c>
      <c r="C27" s="2" t="s">
        <v>4734</v>
      </c>
      <c r="D27" s="2" t="s">
        <v>4767</v>
      </c>
      <c r="O27" s="240"/>
    </row>
    <row r="28" spans="2:15" ht="12.5" customHeight="1" x14ac:dyDescent="0.3">
      <c r="B28" s="937">
        <v>45387</v>
      </c>
      <c r="C28" s="17" t="s">
        <v>4734</v>
      </c>
      <c r="D28" s="17" t="s">
        <v>4726</v>
      </c>
      <c r="E28" s="17"/>
      <c r="F28" s="17"/>
      <c r="G28" s="17"/>
      <c r="O28" s="240"/>
    </row>
    <row r="29" spans="2:15" ht="12.75" customHeight="1" x14ac:dyDescent="0.3">
      <c r="B29" s="937"/>
      <c r="C29" s="17"/>
      <c r="D29" s="17"/>
      <c r="E29" s="17" t="s">
        <v>4727</v>
      </c>
      <c r="F29" s="17"/>
      <c r="G29" s="17"/>
      <c r="O29" s="240"/>
    </row>
    <row r="30" spans="2:15" ht="12.75" customHeight="1" x14ac:dyDescent="0.3">
      <c r="B30" s="937"/>
      <c r="C30" s="17"/>
      <c r="D30" s="17"/>
      <c r="E30" s="17" t="s">
        <v>4735</v>
      </c>
      <c r="F30" s="17"/>
      <c r="G30" s="17"/>
      <c r="O30" s="240"/>
    </row>
    <row r="31" spans="2:15" ht="12.75" customHeight="1" x14ac:dyDescent="0.3">
      <c r="B31" s="937"/>
      <c r="C31" s="17"/>
      <c r="D31" s="17"/>
      <c r="E31" s="17" t="s">
        <v>4766</v>
      </c>
      <c r="F31" s="17"/>
      <c r="G31" s="17"/>
      <c r="O31" s="240"/>
    </row>
    <row r="32" spans="2:15" ht="12.75" customHeight="1" x14ac:dyDescent="0.3">
      <c r="B32" s="937"/>
      <c r="C32" s="17"/>
      <c r="D32" s="17" t="s">
        <v>4733</v>
      </c>
      <c r="E32" s="17"/>
      <c r="F32" s="17"/>
      <c r="G32" s="17"/>
      <c r="O32" s="240"/>
    </row>
    <row r="33" spans="2:15" ht="12.75" customHeight="1" x14ac:dyDescent="0.3">
      <c r="B33" s="937"/>
      <c r="C33" s="17"/>
      <c r="D33" s="17" t="s">
        <v>4728</v>
      </c>
      <c r="E33" s="17"/>
      <c r="F33" s="17"/>
      <c r="G33" s="17"/>
      <c r="O33" s="240"/>
    </row>
    <row r="34" spans="2:15" ht="12.75" customHeight="1" x14ac:dyDescent="0.3">
      <c r="B34" s="937"/>
      <c r="C34" s="17"/>
      <c r="D34" s="17" t="s">
        <v>4729</v>
      </c>
      <c r="E34" s="17"/>
      <c r="F34" s="17"/>
      <c r="G34" s="17"/>
      <c r="O34" s="240"/>
    </row>
    <row r="35" spans="2:15" ht="12.75" customHeight="1" x14ac:dyDescent="0.3">
      <c r="B35" s="937"/>
      <c r="C35" s="17"/>
      <c r="D35" s="17" t="s">
        <v>4730</v>
      </c>
      <c r="E35" s="17"/>
      <c r="F35" s="17"/>
      <c r="G35" s="17"/>
      <c r="O35" s="240"/>
    </row>
    <row r="36" spans="2:15" ht="12.75" customHeight="1" x14ac:dyDescent="0.3">
      <c r="B36" s="937"/>
      <c r="C36" s="17"/>
      <c r="D36" s="17"/>
      <c r="E36" s="17" t="s">
        <v>4731</v>
      </c>
      <c r="F36" s="17"/>
      <c r="G36" s="17"/>
      <c r="O36" s="240"/>
    </row>
    <row r="37" spans="2:15" ht="12.75" customHeight="1" x14ac:dyDescent="0.3">
      <c r="B37" s="937"/>
      <c r="C37" s="17"/>
      <c r="D37" s="17" t="s">
        <v>4732</v>
      </c>
      <c r="E37" s="17"/>
      <c r="F37" s="17"/>
      <c r="G37" s="17"/>
      <c r="O37" s="240"/>
    </row>
    <row r="38" spans="2:15" ht="12.75" customHeight="1" x14ac:dyDescent="0.3">
      <c r="B38" s="937"/>
      <c r="C38" s="17"/>
      <c r="E38" s="17"/>
      <c r="F38" s="17"/>
      <c r="G38" s="17"/>
      <c r="O38" s="240"/>
    </row>
    <row r="39" spans="2:15" s="17" customFormat="1" ht="12.75" customHeight="1" x14ac:dyDescent="0.3">
      <c r="B39" s="937">
        <v>45338</v>
      </c>
      <c r="C39" s="17" t="s">
        <v>4716</v>
      </c>
      <c r="D39" s="17" t="s">
        <v>4725</v>
      </c>
      <c r="O39" s="31"/>
    </row>
    <row r="40" spans="2:15" s="17" customFormat="1" ht="12.75" customHeight="1" x14ac:dyDescent="0.3">
      <c r="B40" s="937"/>
      <c r="D40" s="17" t="s">
        <v>4723</v>
      </c>
      <c r="O40" s="31"/>
    </row>
    <row r="41" spans="2:15" s="17" customFormat="1" ht="12.75" customHeight="1" x14ac:dyDescent="0.3">
      <c r="B41" s="937">
        <v>44876</v>
      </c>
      <c r="C41" s="17" t="s">
        <v>4716</v>
      </c>
      <c r="D41" s="17" t="s">
        <v>16</v>
      </c>
      <c r="O41" s="31"/>
    </row>
    <row r="42" spans="2:15" s="17" customFormat="1" ht="12.75" customHeight="1" x14ac:dyDescent="0.3">
      <c r="B42" s="937"/>
      <c r="D42" s="17" t="s">
        <v>17</v>
      </c>
      <c r="O42" s="31"/>
    </row>
    <row r="43" spans="2:15" s="17" customFormat="1" ht="12.75" customHeight="1" x14ac:dyDescent="0.3">
      <c r="B43" s="937"/>
      <c r="D43" s="17" t="s">
        <v>18</v>
      </c>
      <c r="O43" s="31"/>
    </row>
    <row r="44" spans="2:15" s="17" customFormat="1" ht="12.75" customHeight="1" x14ac:dyDescent="0.3">
      <c r="B44" s="937"/>
      <c r="D44" s="17" t="s">
        <v>19</v>
      </c>
      <c r="O44" s="31"/>
    </row>
    <row r="45" spans="2:15" s="17" customFormat="1" ht="12.75" customHeight="1" x14ac:dyDescent="0.3">
      <c r="B45" s="937"/>
      <c r="D45" s="17" t="s">
        <v>20</v>
      </c>
      <c r="O45" s="31"/>
    </row>
    <row r="46" spans="2:15" s="17" customFormat="1" ht="12.75" customHeight="1" x14ac:dyDescent="0.3">
      <c r="B46" s="937"/>
      <c r="D46" s="17" t="s">
        <v>21</v>
      </c>
      <c r="O46" s="31"/>
    </row>
    <row r="47" spans="2:15" s="17" customFormat="1" ht="12.75" customHeight="1" x14ac:dyDescent="0.3">
      <c r="B47" s="937"/>
      <c r="D47" s="17" t="s">
        <v>22</v>
      </c>
      <c r="O47" s="31"/>
    </row>
    <row r="48" spans="2:15" s="17" customFormat="1" ht="12.75" customHeight="1" x14ac:dyDescent="0.3">
      <c r="B48" s="937"/>
      <c r="D48" s="17" t="s">
        <v>23</v>
      </c>
      <c r="O48" s="31"/>
    </row>
    <row r="49" spans="2:20" s="17" customFormat="1" ht="12.75" customHeight="1" x14ac:dyDescent="0.3">
      <c r="B49" s="937"/>
      <c r="D49" s="17" t="s">
        <v>4712</v>
      </c>
      <c r="O49" s="31"/>
    </row>
    <row r="50" spans="2:20" s="17" customFormat="1" ht="12.75" customHeight="1" x14ac:dyDescent="0.3">
      <c r="B50" s="937"/>
      <c r="D50" s="17" t="s">
        <v>4714</v>
      </c>
      <c r="O50" s="31"/>
    </row>
    <row r="51" spans="2:20" s="17" customFormat="1" ht="12.75" customHeight="1" x14ac:dyDescent="0.3">
      <c r="B51" s="937"/>
      <c r="O51" s="31"/>
    </row>
    <row r="52" spans="2:20" s="17" customFormat="1" ht="12.75" customHeight="1" x14ac:dyDescent="0.3">
      <c r="B52" s="845">
        <v>44266</v>
      </c>
      <c r="C52" s="17" t="s">
        <v>24</v>
      </c>
      <c r="D52" s="17" t="s">
        <v>25</v>
      </c>
      <c r="O52" s="31"/>
    </row>
    <row r="53" spans="2:20" s="17" customFormat="1" ht="12.75" customHeight="1" x14ac:dyDescent="0.3">
      <c r="B53" s="845"/>
      <c r="D53" s="17" t="s">
        <v>26</v>
      </c>
      <c r="O53" s="31"/>
    </row>
    <row r="54" spans="2:20" ht="12.75" customHeight="1" x14ac:dyDescent="0.3">
      <c r="B54" s="845">
        <v>44139</v>
      </c>
      <c r="C54" s="17" t="s">
        <v>24</v>
      </c>
      <c r="D54" s="17" t="s">
        <v>27</v>
      </c>
      <c r="N54" s="141"/>
      <c r="O54" s="240"/>
      <c r="Q54" s="17"/>
    </row>
    <row r="55" spans="2:20" ht="12.75" customHeight="1" x14ac:dyDescent="0.3">
      <c r="B55" s="845">
        <v>44074</v>
      </c>
      <c r="C55" s="17" t="s">
        <v>24</v>
      </c>
      <c r="D55" s="17" t="s">
        <v>28</v>
      </c>
      <c r="N55" s="141"/>
      <c r="O55" s="240"/>
      <c r="Q55" s="17"/>
    </row>
    <row r="56" spans="2:20" ht="12.75" customHeight="1" x14ac:dyDescent="0.3">
      <c r="B56" s="845">
        <v>43738</v>
      </c>
      <c r="C56" s="17" t="s">
        <v>24</v>
      </c>
      <c r="D56" s="17" t="s">
        <v>29</v>
      </c>
      <c r="N56" s="141"/>
      <c r="O56" s="240"/>
      <c r="Q56" s="17"/>
    </row>
    <row r="57" spans="2:20" ht="12.75" customHeight="1" x14ac:dyDescent="0.3">
      <c r="B57" s="845">
        <v>43707</v>
      </c>
      <c r="C57" s="17" t="s">
        <v>24</v>
      </c>
      <c r="D57" s="17" t="s">
        <v>30</v>
      </c>
      <c r="N57" s="141"/>
      <c r="O57" s="240"/>
      <c r="Q57" s="17"/>
    </row>
    <row r="58" spans="2:20" ht="12.75" customHeight="1" x14ac:dyDescent="0.3">
      <c r="B58" s="845">
        <v>43601</v>
      </c>
      <c r="C58" s="17" t="s">
        <v>31</v>
      </c>
      <c r="D58" s="17" t="s">
        <v>32</v>
      </c>
      <c r="N58" s="141"/>
      <c r="O58" s="240"/>
      <c r="Q58" s="17"/>
    </row>
    <row r="59" spans="2:20" ht="12.75" customHeight="1" x14ac:dyDescent="0.3">
      <c r="B59" s="845">
        <v>43482</v>
      </c>
      <c r="C59" s="17" t="s">
        <v>31</v>
      </c>
      <c r="D59" s="17" t="s">
        <v>33</v>
      </c>
      <c r="N59" s="141"/>
      <c r="O59" s="240"/>
      <c r="Q59" s="17" t="s">
        <v>34</v>
      </c>
      <c r="R59" s="17"/>
      <c r="S59" s="17"/>
      <c r="T59" s="17"/>
    </row>
    <row r="60" spans="2:20" ht="12.75" customHeight="1" x14ac:dyDescent="0.3">
      <c r="B60" s="845">
        <v>43406</v>
      </c>
      <c r="C60" s="17" t="s">
        <v>31</v>
      </c>
      <c r="D60" s="17" t="s">
        <v>35</v>
      </c>
      <c r="O60" s="240"/>
      <c r="Q60" s="17"/>
      <c r="R60" s="17" t="s">
        <v>36</v>
      </c>
      <c r="S60" s="17"/>
      <c r="T60" s="17"/>
    </row>
    <row r="61" spans="2:20" ht="12.75" customHeight="1" x14ac:dyDescent="0.3">
      <c r="B61" s="777">
        <v>43178</v>
      </c>
      <c r="C61" s="17" t="s">
        <v>31</v>
      </c>
      <c r="D61" s="17" t="s">
        <v>37</v>
      </c>
      <c r="O61" s="240"/>
      <c r="Q61" s="17"/>
      <c r="R61" s="17" t="s">
        <v>38</v>
      </c>
      <c r="S61" s="17"/>
      <c r="T61" s="17"/>
    </row>
    <row r="62" spans="2:20" ht="12.75" customHeight="1" x14ac:dyDescent="0.3">
      <c r="B62" s="777">
        <v>42703</v>
      </c>
      <c r="C62" s="17" t="s">
        <v>31</v>
      </c>
      <c r="D62" s="17" t="s">
        <v>39</v>
      </c>
      <c r="O62" s="240"/>
      <c r="Q62" s="17"/>
      <c r="R62" s="17" t="s">
        <v>40</v>
      </c>
      <c r="S62" s="17"/>
      <c r="T62" s="17"/>
    </row>
    <row r="63" spans="2:20" ht="12.75" customHeight="1" x14ac:dyDescent="0.3">
      <c r="B63" s="777">
        <v>42450</v>
      </c>
      <c r="C63" s="17" t="s">
        <v>31</v>
      </c>
      <c r="D63" s="17" t="s">
        <v>41</v>
      </c>
      <c r="O63" s="240"/>
    </row>
    <row r="64" spans="2:20" ht="12.75" customHeight="1" x14ac:dyDescent="0.3">
      <c r="B64" s="738">
        <v>42094</v>
      </c>
      <c r="C64" s="17" t="s">
        <v>42</v>
      </c>
      <c r="D64" s="17" t="s">
        <v>43</v>
      </c>
      <c r="O64" s="240"/>
    </row>
    <row r="65" spans="2:15" ht="12.75" customHeight="1" x14ac:dyDescent="0.3">
      <c r="B65" s="846">
        <v>41804</v>
      </c>
      <c r="C65" s="17" t="s">
        <v>44</v>
      </c>
      <c r="D65" s="17" t="s">
        <v>45</v>
      </c>
      <c r="O65" s="240"/>
    </row>
    <row r="66" spans="2:15" ht="12.75" customHeight="1" x14ac:dyDescent="0.3">
      <c r="B66" s="846">
        <v>38152</v>
      </c>
      <c r="C66" s="2" t="s">
        <v>46</v>
      </c>
      <c r="D66" s="2" t="s">
        <v>47</v>
      </c>
      <c r="O66" s="240"/>
    </row>
    <row r="67" spans="2:15" ht="12.75" customHeight="1" x14ac:dyDescent="0.3">
      <c r="B67" s="846">
        <v>35462</v>
      </c>
      <c r="C67" s="2" t="s">
        <v>48</v>
      </c>
      <c r="D67" s="2" t="s">
        <v>49</v>
      </c>
      <c r="O67" s="240"/>
    </row>
    <row r="68" spans="2:15" ht="12.75" customHeight="1" x14ac:dyDescent="0.3">
      <c r="B68" s="846">
        <v>34182</v>
      </c>
      <c r="C68" s="2" t="s">
        <v>50</v>
      </c>
      <c r="D68" s="2" t="s">
        <v>51</v>
      </c>
      <c r="O68" s="240"/>
    </row>
    <row r="69" spans="2:15" ht="12.75" customHeight="1" x14ac:dyDescent="0.3">
      <c r="B69" s="3"/>
      <c r="O69" s="240"/>
    </row>
    <row r="70" spans="2:15" ht="12.75" customHeight="1" x14ac:dyDescent="0.3">
      <c r="O70" s="240"/>
    </row>
    <row r="71" spans="2:15" ht="12.75" customHeight="1" x14ac:dyDescent="0.3">
      <c r="B71" s="30"/>
      <c r="C71" s="17"/>
      <c r="O71" s="240"/>
    </row>
    <row r="72" spans="2:15" ht="12.75" customHeight="1" x14ac:dyDescent="0.3">
      <c r="B72" s="30"/>
      <c r="C72" s="17"/>
      <c r="D72" s="17"/>
      <c r="E72" s="17"/>
      <c r="F72" s="17"/>
      <c r="G72" s="17"/>
      <c r="H72" s="17"/>
      <c r="I72" s="17"/>
      <c r="J72" s="17"/>
      <c r="O72" s="240"/>
    </row>
    <row r="73" spans="2:15" ht="12.75" customHeight="1" x14ac:dyDescent="0.3">
      <c r="B73" s="30"/>
      <c r="C73" s="17"/>
      <c r="D73" s="31"/>
      <c r="E73" s="17"/>
      <c r="F73" s="17"/>
      <c r="G73" s="17"/>
      <c r="H73" s="17"/>
      <c r="I73" s="17"/>
      <c r="J73" s="17"/>
      <c r="K73" s="17"/>
      <c r="L73" s="17"/>
      <c r="M73" s="17"/>
      <c r="N73" s="31"/>
    </row>
    <row r="74" spans="2:15" ht="12.75" customHeight="1" x14ac:dyDescent="0.3">
      <c r="B74" s="30"/>
      <c r="C74" s="17"/>
      <c r="D74" s="17"/>
      <c r="E74" s="17"/>
      <c r="F74" s="17"/>
      <c r="G74" s="17"/>
      <c r="H74" s="17"/>
      <c r="I74" s="17"/>
      <c r="J74" s="17"/>
      <c r="K74" s="17"/>
      <c r="L74" s="17"/>
      <c r="M74" s="17"/>
      <c r="N74" s="31"/>
    </row>
    <row r="75" spans="2:15" ht="12.75" customHeight="1" x14ac:dyDescent="0.3">
      <c r="B75" s="30"/>
      <c r="C75" s="17"/>
      <c r="K75" s="17"/>
      <c r="L75" s="17"/>
      <c r="M75" s="17"/>
      <c r="N75" s="31"/>
    </row>
    <row r="76" spans="2:15" ht="12.75" customHeight="1" x14ac:dyDescent="0.3">
      <c r="B76" s="30"/>
      <c r="C76" s="17"/>
      <c r="E76" s="17"/>
      <c r="F76" s="17"/>
      <c r="G76" s="17"/>
      <c r="H76" s="17"/>
      <c r="I76" s="17"/>
      <c r="J76" s="17"/>
      <c r="K76" s="17"/>
      <c r="L76" s="17"/>
      <c r="M76" s="17"/>
      <c r="N76" s="31"/>
    </row>
    <row r="77" spans="2:15" ht="12.75" customHeight="1" x14ac:dyDescent="0.3">
      <c r="B77" s="30"/>
      <c r="C77" s="17"/>
      <c r="D77" s="17"/>
      <c r="E77" s="17"/>
      <c r="F77" s="17"/>
      <c r="G77" s="17"/>
      <c r="H77" s="17"/>
      <c r="I77" s="17"/>
      <c r="J77" s="17"/>
      <c r="K77" s="17"/>
      <c r="L77" s="17"/>
      <c r="M77" s="17"/>
      <c r="N77" s="31"/>
    </row>
    <row r="78" spans="2:15" ht="12.75" customHeight="1" x14ac:dyDescent="0.3">
      <c r="B78" s="30"/>
      <c r="C78" s="17"/>
      <c r="D78" s="17"/>
      <c r="E78" s="17"/>
      <c r="F78" s="17"/>
      <c r="G78" s="17"/>
      <c r="H78" s="17"/>
      <c r="I78" s="17"/>
      <c r="J78" s="17"/>
      <c r="K78" s="17"/>
      <c r="L78" s="17"/>
      <c r="M78" s="17"/>
      <c r="N78" s="31"/>
    </row>
    <row r="79" spans="2:15" ht="12.75" customHeight="1" x14ac:dyDescent="0.3">
      <c r="B79" s="30"/>
      <c r="C79" s="17"/>
      <c r="E79" s="17"/>
      <c r="F79" s="17"/>
      <c r="G79" s="17"/>
      <c r="H79" s="17"/>
      <c r="I79" s="17"/>
      <c r="J79" s="17"/>
      <c r="K79" s="17"/>
      <c r="L79" s="17"/>
      <c r="M79" s="17"/>
      <c r="N79" s="31"/>
    </row>
    <row r="80" spans="2:15" ht="12.75" customHeight="1" x14ac:dyDescent="0.3">
      <c r="B80" s="30"/>
      <c r="C80" s="17"/>
      <c r="E80" s="17"/>
      <c r="F80" s="17"/>
      <c r="G80" s="17"/>
      <c r="H80" s="17"/>
      <c r="I80" s="17"/>
      <c r="J80" s="17"/>
      <c r="K80" s="17"/>
      <c r="L80" s="17"/>
      <c r="M80" s="17"/>
      <c r="N80" s="17"/>
      <c r="O80" s="31"/>
    </row>
    <row r="81" spans="2:18" ht="12.75" customHeight="1" x14ac:dyDescent="0.3">
      <c r="B81" s="30"/>
      <c r="C81" s="17"/>
      <c r="E81" s="17"/>
      <c r="F81" s="17"/>
      <c r="G81" s="17"/>
      <c r="H81" s="17"/>
      <c r="I81" s="17"/>
      <c r="J81" s="17"/>
      <c r="K81" s="17"/>
      <c r="L81" s="17"/>
      <c r="M81" s="17"/>
      <c r="N81" s="17"/>
      <c r="O81" s="31"/>
    </row>
    <row r="82" spans="2:18" ht="12.75" customHeight="1" x14ac:dyDescent="0.3">
      <c r="B82" s="30"/>
      <c r="C82" s="17"/>
      <c r="D82" s="31"/>
      <c r="E82" s="17"/>
      <c r="F82" s="17"/>
      <c r="G82" s="17"/>
      <c r="H82" s="17"/>
      <c r="I82" s="17"/>
      <c r="J82" s="17"/>
      <c r="K82" s="17"/>
      <c r="L82" s="17"/>
      <c r="M82" s="17"/>
      <c r="N82" s="17"/>
      <c r="O82" s="31"/>
    </row>
    <row r="83" spans="2:18" ht="12.75" customHeight="1" x14ac:dyDescent="0.3">
      <c r="B83" s="30"/>
      <c r="C83" s="17"/>
      <c r="D83" s="31"/>
      <c r="E83" s="17"/>
      <c r="F83" s="17"/>
      <c r="G83" s="17"/>
      <c r="H83" s="17"/>
      <c r="I83" s="17"/>
      <c r="J83" s="17"/>
      <c r="K83" s="17"/>
      <c r="L83" s="17"/>
      <c r="M83" s="17"/>
      <c r="N83" s="17"/>
      <c r="O83" s="31"/>
    </row>
    <row r="84" spans="2:18" ht="12.75" customHeight="1" x14ac:dyDescent="0.3">
      <c r="B84" s="30"/>
      <c r="C84" s="17"/>
      <c r="D84" s="31"/>
      <c r="E84" s="17"/>
      <c r="F84" s="17"/>
      <c r="G84" s="17"/>
      <c r="H84" s="17"/>
      <c r="I84" s="17"/>
      <c r="J84" s="17"/>
      <c r="K84" s="17"/>
      <c r="L84" s="17"/>
      <c r="M84" s="17"/>
      <c r="N84" s="17"/>
      <c r="O84" s="31"/>
    </row>
    <row r="85" spans="2:18" ht="12.75" customHeight="1" x14ac:dyDescent="0.3">
      <c r="B85" s="30"/>
      <c r="C85" s="17"/>
      <c r="D85" s="31"/>
      <c r="E85" s="17"/>
      <c r="F85" s="17"/>
      <c r="G85" s="17"/>
      <c r="H85" s="17"/>
      <c r="I85" s="17"/>
      <c r="J85" s="17"/>
      <c r="K85" s="17"/>
      <c r="L85" s="17"/>
      <c r="M85" s="17"/>
      <c r="N85" s="17"/>
      <c r="O85" s="31"/>
    </row>
    <row r="86" spans="2:18" ht="12.75" customHeight="1" x14ac:dyDescent="0.3">
      <c r="B86" s="30"/>
      <c r="C86" s="17"/>
      <c r="D86" s="31"/>
      <c r="E86" s="17"/>
      <c r="F86" s="17"/>
      <c r="G86" s="17"/>
      <c r="H86" s="17"/>
      <c r="I86" s="17"/>
      <c r="J86" s="17"/>
      <c r="K86" s="17"/>
      <c r="L86" s="17"/>
      <c r="M86" s="17"/>
      <c r="N86" s="17"/>
      <c r="O86" s="31"/>
    </row>
    <row r="87" spans="2:18" ht="12.75" customHeight="1" x14ac:dyDescent="0.3">
      <c r="B87" s="30"/>
      <c r="C87" s="17"/>
      <c r="D87" s="146"/>
      <c r="E87" s="17"/>
      <c r="F87" s="141"/>
      <c r="G87" s="141"/>
      <c r="H87" s="141"/>
      <c r="I87" s="141"/>
      <c r="K87" s="17"/>
      <c r="L87" s="17"/>
      <c r="M87" s="17"/>
      <c r="N87" s="17"/>
      <c r="O87" s="31"/>
    </row>
    <row r="88" spans="2:18" ht="12.75" customHeight="1" x14ac:dyDescent="0.3">
      <c r="B88" s="30"/>
      <c r="C88" s="17"/>
      <c r="D88" s="17"/>
      <c r="F88" s="141"/>
      <c r="G88" s="141"/>
      <c r="H88" s="141"/>
      <c r="I88" s="141"/>
      <c r="O88" s="240"/>
      <c r="P88" s="17"/>
      <c r="Q88" s="17"/>
      <c r="R88" s="17"/>
    </row>
    <row r="89" spans="2:18" ht="12.75" customHeight="1" x14ac:dyDescent="0.3">
      <c r="B89" s="6"/>
      <c r="C89" s="17"/>
      <c r="D89" s="38"/>
      <c r="E89" s="17"/>
      <c r="F89" s="17"/>
      <c r="G89" s="17"/>
      <c r="H89" s="17"/>
      <c r="I89" s="17"/>
      <c r="J89" s="17"/>
      <c r="O89" s="240"/>
      <c r="P89" s="17"/>
      <c r="Q89" s="17"/>
      <c r="R89" s="17"/>
    </row>
    <row r="90" spans="2:18" s="17" customFormat="1" ht="12.75" customHeight="1" x14ac:dyDescent="0.3">
      <c r="B90" s="6"/>
      <c r="D90" s="31"/>
      <c r="E90" s="2"/>
      <c r="F90" s="2"/>
      <c r="G90" s="2"/>
      <c r="H90" s="2"/>
      <c r="I90" s="2"/>
      <c r="J90" s="2"/>
      <c r="O90" s="31"/>
    </row>
    <row r="91" spans="2:18" ht="12.75" customHeight="1" x14ac:dyDescent="0.3">
      <c r="D91" s="31"/>
      <c r="P91" s="17"/>
      <c r="Q91" s="17"/>
      <c r="R91" s="17"/>
    </row>
    <row r="92" spans="2:18" ht="12.75" customHeight="1" x14ac:dyDescent="0.3">
      <c r="D92" s="31"/>
      <c r="P92" s="17"/>
      <c r="Q92" s="17"/>
      <c r="R92" s="17"/>
    </row>
    <row r="93" spans="2:18" ht="12.75" customHeight="1" x14ac:dyDescent="0.3">
      <c r="D93" s="31"/>
      <c r="P93" s="17"/>
      <c r="Q93" s="17"/>
      <c r="R93" s="17"/>
    </row>
    <row r="94" spans="2:18" ht="12.75" customHeight="1" x14ac:dyDescent="0.3">
      <c r="D94" s="31"/>
      <c r="P94" s="17"/>
      <c r="Q94" s="17"/>
      <c r="R94" s="17"/>
    </row>
    <row r="95" spans="2:18" ht="12.75" customHeight="1" x14ac:dyDescent="0.3">
      <c r="D95" s="31"/>
      <c r="P95" s="17"/>
      <c r="Q95" s="17"/>
      <c r="R95" s="17"/>
    </row>
    <row r="96" spans="2:18" ht="12.75" customHeight="1" x14ac:dyDescent="0.3">
      <c r="B96" s="6"/>
      <c r="C96" s="17"/>
      <c r="D96" s="31"/>
    </row>
    <row r="97" spans="1:15" ht="12.75" customHeight="1" x14ac:dyDescent="0.3">
      <c r="D97" s="31"/>
    </row>
    <row r="98" spans="1:15" ht="12.75" customHeight="1" x14ac:dyDescent="0.3">
      <c r="B98" s="288"/>
      <c r="C98" s="141"/>
      <c r="D98" s="935"/>
      <c r="E98" s="141"/>
      <c r="F98" s="141"/>
      <c r="G98" s="141"/>
      <c r="H98" s="141"/>
      <c r="I98" s="141"/>
      <c r="J98" s="141"/>
    </row>
    <row r="99" spans="1:15" s="141" customFormat="1" ht="12.75" customHeight="1" x14ac:dyDescent="0.3">
      <c r="B99" s="288"/>
      <c r="D99" s="935"/>
    </row>
    <row r="100" spans="1:15" s="141" customFormat="1" ht="12.75" customHeight="1" x14ac:dyDescent="0.3">
      <c r="B100" s="288"/>
      <c r="D100" s="935"/>
    </row>
    <row r="101" spans="1:15" s="141" customFormat="1" ht="12.75" customHeight="1" x14ac:dyDescent="0.3">
      <c r="B101" s="288"/>
      <c r="D101" s="935"/>
    </row>
    <row r="102" spans="1:15" s="141" customFormat="1" ht="12.75" customHeight="1" x14ac:dyDescent="0.3">
      <c r="B102" s="288"/>
      <c r="D102" s="935"/>
    </row>
    <row r="103" spans="1:15" s="141" customFormat="1" ht="12.75" customHeight="1" x14ac:dyDescent="0.3">
      <c r="B103" s="2"/>
      <c r="C103" s="2"/>
      <c r="D103" s="2"/>
      <c r="E103" s="2"/>
      <c r="F103" s="2"/>
      <c r="G103" s="2"/>
      <c r="H103" s="2"/>
      <c r="I103" s="2"/>
      <c r="J103" s="2"/>
    </row>
    <row r="104" spans="1:15" s="141" customFormat="1" ht="12.75" customHeight="1" x14ac:dyDescent="0.3">
      <c r="A104" s="2"/>
      <c r="B104" s="35"/>
      <c r="C104" s="36"/>
      <c r="D104" s="34"/>
      <c r="E104" s="17"/>
      <c r="J104" s="2"/>
      <c r="K104" s="2"/>
      <c r="L104" s="2"/>
      <c r="M104" s="2"/>
      <c r="N104" s="2"/>
    </row>
    <row r="105" spans="1:15" s="141" customFormat="1" ht="12.75" customHeight="1" x14ac:dyDescent="0.3">
      <c r="A105" s="2"/>
      <c r="B105" s="35"/>
      <c r="C105" s="36"/>
      <c r="D105" s="34"/>
      <c r="E105" s="36"/>
      <c r="F105" s="36"/>
      <c r="G105" s="36"/>
      <c r="H105" s="2"/>
      <c r="I105" s="2"/>
      <c r="J105" s="2"/>
      <c r="K105" s="2"/>
      <c r="L105" s="2"/>
      <c r="M105" s="2"/>
      <c r="N105" s="2"/>
    </row>
    <row r="106" spans="1:15" ht="12.75" customHeight="1" x14ac:dyDescent="0.3">
      <c r="B106" s="35"/>
      <c r="C106" s="36"/>
      <c r="D106" s="34"/>
      <c r="E106" s="36"/>
      <c r="F106" s="36"/>
      <c r="G106" s="36"/>
    </row>
    <row r="107" spans="1:15" ht="12.75" customHeight="1" x14ac:dyDescent="0.3">
      <c r="B107" s="35"/>
      <c r="C107" s="36"/>
      <c r="D107" s="34"/>
      <c r="E107" s="36"/>
      <c r="F107" s="36"/>
      <c r="G107" s="36"/>
      <c r="O107" s="240"/>
    </row>
    <row r="108" spans="1:15" ht="12.75" customHeight="1" x14ac:dyDescent="0.3">
      <c r="B108" s="35"/>
      <c r="C108" s="36"/>
      <c r="D108" s="37"/>
      <c r="E108" s="36"/>
      <c r="F108" s="36"/>
      <c r="G108" s="36"/>
      <c r="O108" s="240"/>
    </row>
    <row r="109" spans="1:15" ht="12.75" customHeight="1" x14ac:dyDescent="0.3">
      <c r="B109" s="35"/>
      <c r="C109" s="36"/>
      <c r="D109" s="37"/>
      <c r="E109" s="36"/>
      <c r="F109" s="36"/>
      <c r="G109" s="36"/>
      <c r="O109" s="240"/>
    </row>
    <row r="110" spans="1:15" ht="12.75" customHeight="1" x14ac:dyDescent="0.3">
      <c r="B110" s="35"/>
      <c r="C110" s="36"/>
      <c r="D110" s="37"/>
      <c r="E110" s="36"/>
      <c r="F110" s="36"/>
      <c r="G110" s="36"/>
      <c r="O110" s="240"/>
    </row>
    <row r="111" spans="1:15" ht="12.75" customHeight="1" x14ac:dyDescent="0.3">
      <c r="B111" s="35"/>
      <c r="C111" s="36"/>
      <c r="D111" s="37"/>
      <c r="E111" s="36"/>
      <c r="F111" s="36"/>
      <c r="G111" s="36"/>
      <c r="O111" s="240"/>
    </row>
    <row r="112" spans="1:15" ht="12.75" customHeight="1" x14ac:dyDescent="0.3">
      <c r="B112" s="35"/>
      <c r="C112" s="36"/>
      <c r="D112" s="37"/>
      <c r="E112" s="36"/>
      <c r="F112" s="36"/>
      <c r="G112" s="36"/>
      <c r="O112" s="240"/>
    </row>
    <row r="113" spans="2:15" ht="12.75" customHeight="1" x14ac:dyDescent="0.3">
      <c r="B113" s="6"/>
      <c r="D113" s="37"/>
      <c r="E113" s="36"/>
      <c r="F113" s="36"/>
      <c r="G113" s="36"/>
      <c r="O113" s="240"/>
    </row>
    <row r="114" spans="2:15" ht="12.75" customHeight="1" x14ac:dyDescent="0.3">
      <c r="B114" s="6"/>
      <c r="D114" s="37"/>
      <c r="E114" s="36"/>
      <c r="F114" s="36"/>
      <c r="O114" s="240"/>
    </row>
    <row r="115" spans="2:15" ht="12.75" customHeight="1" x14ac:dyDescent="0.3">
      <c r="B115" s="6"/>
      <c r="D115" s="37"/>
      <c r="O115" s="240"/>
    </row>
    <row r="116" spans="2:15" ht="12.75" customHeight="1" x14ac:dyDescent="0.3">
      <c r="B116" s="6"/>
      <c r="D116" s="37"/>
      <c r="O116" s="240"/>
    </row>
    <row r="117" spans="2:15" ht="12.75" customHeight="1" x14ac:dyDescent="0.3">
      <c r="B117" s="6"/>
      <c r="D117" s="37"/>
      <c r="O117" s="240"/>
    </row>
    <row r="118" spans="2:15" ht="12.75" customHeight="1" x14ac:dyDescent="0.3">
      <c r="B118" s="6"/>
      <c r="D118" s="37"/>
      <c r="O118" s="240"/>
    </row>
    <row r="119" spans="2:15" ht="12.75" customHeight="1" x14ac:dyDescent="0.3">
      <c r="B119" s="6"/>
      <c r="E119" s="7"/>
      <c r="F119" s="7"/>
      <c r="G119" s="7"/>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E122" s="7"/>
      <c r="F122" s="7"/>
      <c r="G122" s="7"/>
      <c r="O122" s="240"/>
    </row>
    <row r="123" spans="2:15" ht="12.75" customHeight="1" x14ac:dyDescent="0.3">
      <c r="B123" s="6"/>
      <c r="E123" s="7"/>
      <c r="F123" s="7"/>
      <c r="G123" s="7"/>
      <c r="O123" s="240"/>
    </row>
    <row r="124" spans="2:15" ht="12.75" customHeight="1" x14ac:dyDescent="0.3">
      <c r="B124" s="6"/>
      <c r="E124" s="7"/>
      <c r="F124" s="7"/>
      <c r="G124" s="7"/>
      <c r="O124" s="240"/>
    </row>
    <row r="125" spans="2:15" ht="12.75" customHeight="1" x14ac:dyDescent="0.3">
      <c r="B125" s="6"/>
      <c r="O125" s="240"/>
    </row>
    <row r="126" spans="2:15" ht="12.75" customHeight="1" x14ac:dyDescent="0.3">
      <c r="B126" s="6"/>
      <c r="E126" s="7"/>
      <c r="F126" s="7"/>
      <c r="G126" s="7"/>
      <c r="O126" s="240"/>
    </row>
    <row r="127" spans="2:15" ht="12.75" customHeight="1" x14ac:dyDescent="0.3">
      <c r="B127" s="6"/>
      <c r="E127" s="7"/>
      <c r="F127" s="7"/>
      <c r="G127" s="7"/>
      <c r="O127" s="240"/>
    </row>
    <row r="128" spans="2:15" ht="12.75" customHeight="1" x14ac:dyDescent="0.3">
      <c r="O128" s="240"/>
    </row>
    <row r="129" spans="2:15" ht="12.75" customHeight="1" x14ac:dyDescent="0.3">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D132" s="7"/>
      <c r="E132" s="7"/>
      <c r="F132" s="7"/>
      <c r="G132" s="7"/>
      <c r="O132" s="240"/>
    </row>
    <row r="133" spans="2:15" ht="12.75" customHeight="1" x14ac:dyDescent="0.3">
      <c r="B133" s="6"/>
      <c r="O133" s="240"/>
    </row>
    <row r="134" spans="2:15" ht="12.75" customHeight="1" x14ac:dyDescent="0.3">
      <c r="B134" s="6"/>
      <c r="D134" s="18"/>
      <c r="E134" s="7"/>
      <c r="F134" s="7"/>
      <c r="G134" s="7"/>
      <c r="O134" s="240"/>
    </row>
    <row r="135" spans="2:15" ht="12.75" customHeight="1" x14ac:dyDescent="0.3">
      <c r="B135" s="6"/>
      <c r="D135" s="7"/>
      <c r="F135" s="7"/>
      <c r="G135" s="7"/>
      <c r="O135" s="240"/>
    </row>
    <row r="136" spans="2:15" ht="12.75" customHeight="1" x14ac:dyDescent="0.3">
      <c r="B136" s="6"/>
      <c r="F136" s="7"/>
      <c r="G136" s="7"/>
      <c r="O136" s="240"/>
    </row>
    <row r="137" spans="2:15" ht="12.75" customHeight="1" x14ac:dyDescent="0.3">
      <c r="O137" s="240"/>
    </row>
    <row r="138" spans="2:15" ht="12.75" customHeight="1" x14ac:dyDescent="0.3">
      <c r="O138" s="240"/>
    </row>
    <row r="139" spans="2:15" ht="12.75" customHeight="1" x14ac:dyDescent="0.3">
      <c r="B139" s="6"/>
      <c r="G139" s="7"/>
      <c r="O139" s="240"/>
    </row>
    <row r="140" spans="2:15" ht="12.75" customHeight="1" x14ac:dyDescent="0.3">
      <c r="B140" s="6"/>
      <c r="D140" s="7"/>
      <c r="F140" s="7"/>
      <c r="G140" s="7"/>
      <c r="O140" s="240"/>
    </row>
    <row r="141" spans="2:15" ht="12.75" customHeight="1" x14ac:dyDescent="0.3">
      <c r="B141" s="6"/>
      <c r="D141" s="7"/>
      <c r="F141" s="7"/>
      <c r="G141" s="7"/>
      <c r="O141" s="240"/>
    </row>
    <row r="142" spans="2:15" ht="12.75" customHeight="1" x14ac:dyDescent="0.3">
      <c r="B142" s="6"/>
      <c r="D142" s="18"/>
      <c r="F142" s="7"/>
      <c r="G142" s="7"/>
      <c r="O142" s="240"/>
    </row>
    <row r="143" spans="2:15" ht="12.75" customHeight="1" x14ac:dyDescent="0.3">
      <c r="B143" s="6"/>
      <c r="D143" s="7"/>
      <c r="F143" s="7"/>
      <c r="O143" s="240"/>
    </row>
    <row r="144" spans="2:15" ht="12.75" customHeight="1" x14ac:dyDescent="0.3">
      <c r="B144" s="6"/>
      <c r="F144" s="7"/>
      <c r="O144" s="240"/>
    </row>
    <row r="145" spans="2:15" ht="12.75" customHeight="1" x14ac:dyDescent="0.3">
      <c r="O145" s="240"/>
    </row>
    <row r="148" spans="2:15" ht="12.75" customHeight="1" x14ac:dyDescent="0.3">
      <c r="B148" s="6"/>
    </row>
    <row r="149" spans="2:15" ht="12.75" customHeight="1" x14ac:dyDescent="0.3">
      <c r="B149" s="6"/>
      <c r="D149" s="8"/>
      <c r="O149" s="240"/>
    </row>
    <row r="150" spans="2:15" ht="12.75" customHeight="1" x14ac:dyDescent="0.3">
      <c r="B150" s="6"/>
      <c r="D150" s="8"/>
      <c r="E150" s="8"/>
    </row>
    <row r="151" spans="2:15" ht="12.75" customHeight="1" x14ac:dyDescent="0.3">
      <c r="B151" s="6"/>
      <c r="D151" s="8"/>
      <c r="E151" s="8"/>
    </row>
    <row r="152" spans="2:15" ht="12.75" customHeight="1" x14ac:dyDescent="0.3">
      <c r="B152" s="6"/>
      <c r="D152" s="8"/>
      <c r="E152" s="8"/>
    </row>
    <row r="153" spans="2:15" ht="12.75" customHeight="1" x14ac:dyDescent="0.3">
      <c r="B153" s="6"/>
      <c r="D153" s="8"/>
    </row>
    <row r="154" spans="2:15" ht="12.75" customHeight="1" x14ac:dyDescent="0.3">
      <c r="B154" s="6"/>
      <c r="D154" s="7"/>
    </row>
    <row r="155" spans="2:15" ht="12.75" customHeight="1" x14ac:dyDescent="0.3">
      <c r="B155" s="6"/>
      <c r="D155" s="7"/>
    </row>
    <row r="156" spans="2:15" ht="12.75" customHeight="1" x14ac:dyDescent="0.3">
      <c r="B156" s="6"/>
    </row>
    <row r="157" spans="2:15" ht="12.75" customHeight="1" x14ac:dyDescent="0.3">
      <c r="B157" s="6"/>
    </row>
    <row r="158" spans="2:15" ht="12.75" customHeight="1" x14ac:dyDescent="0.3">
      <c r="B158" s="6"/>
      <c r="C158" s="4"/>
    </row>
    <row r="159" spans="2:15" ht="12.75" customHeight="1" x14ac:dyDescent="0.3">
      <c r="B159" s="9"/>
    </row>
    <row r="160" spans="2:15" ht="12.75" customHeight="1" x14ac:dyDescent="0.3">
      <c r="B160" s="6"/>
    </row>
    <row r="161" spans="1:15" ht="12.75" customHeight="1" x14ac:dyDescent="0.3">
      <c r="B161" s="6"/>
      <c r="O161" s="240"/>
    </row>
    <row r="162" spans="1:15" ht="12.75" customHeight="1" x14ac:dyDescent="0.3">
      <c r="B162" s="6"/>
      <c r="O162" s="240"/>
    </row>
    <row r="163" spans="1:15" ht="12.75" customHeight="1" x14ac:dyDescent="0.3">
      <c r="B163" s="6"/>
      <c r="O163" s="240"/>
    </row>
    <row r="164" spans="1:15" ht="12.75" customHeight="1" x14ac:dyDescent="0.3">
      <c r="B164" s="6"/>
      <c r="O164" s="240"/>
    </row>
    <row r="165" spans="1:15" ht="12.75" customHeight="1" x14ac:dyDescent="0.3">
      <c r="A165" s="7"/>
      <c r="O165" s="240"/>
    </row>
    <row r="166" spans="1:15" ht="12.75" customHeight="1" x14ac:dyDescent="0.3">
      <c r="D166"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zoomScaleNormal="100" workbookViewId="0"/>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52</v>
      </c>
      <c r="C2" s="38"/>
      <c r="D2" s="38"/>
      <c r="E2" s="38"/>
      <c r="F2" s="38"/>
      <c r="G2" s="38"/>
      <c r="H2" s="38"/>
      <c r="I2" s="38"/>
      <c r="J2" s="38"/>
      <c r="K2" s="38"/>
      <c r="L2" s="38"/>
      <c r="M2" s="38"/>
      <c r="N2" s="38"/>
      <c r="O2" s="38"/>
      <c r="P2" s="38"/>
      <c r="Q2" s="38"/>
      <c r="R2" s="38"/>
      <c r="S2" s="38"/>
      <c r="T2" s="38"/>
      <c r="U2" s="38"/>
      <c r="V2" s="38"/>
      <c r="W2" s="38"/>
      <c r="X2" s="17"/>
      <c r="Y2" s="156"/>
      <c r="Z2" s="17"/>
      <c r="AA2" s="47" t="s">
        <v>53</v>
      </c>
      <c r="AB2" s="17"/>
      <c r="AC2" s="17"/>
      <c r="AD2" s="17"/>
      <c r="AE2" s="17"/>
      <c r="AF2" s="17"/>
      <c r="AG2" s="17"/>
      <c r="AH2" s="17"/>
      <c r="AI2" s="17"/>
      <c r="AJ2" s="17"/>
      <c r="AK2" s="17"/>
      <c r="AL2" s="17"/>
      <c r="AM2" s="17"/>
      <c r="AN2" s="17"/>
      <c r="AO2" s="17"/>
      <c r="AP2" s="17"/>
      <c r="AQ2" s="17"/>
      <c r="AR2" s="46"/>
      <c r="AS2" s="2"/>
      <c r="AT2" s="47" t="s">
        <v>54</v>
      </c>
      <c r="AU2" s="2"/>
      <c r="AV2" s="2"/>
      <c r="AW2" s="2"/>
      <c r="AX2" s="2"/>
      <c r="AY2" s="2"/>
      <c r="AZ2" s="2"/>
      <c r="BA2" s="2"/>
      <c r="BB2" s="2"/>
      <c r="BC2" s="2"/>
      <c r="BD2" s="2"/>
      <c r="BE2" s="2"/>
      <c r="BF2" s="2"/>
      <c r="BG2" s="2"/>
      <c r="BH2" s="2"/>
      <c r="BI2" s="2"/>
      <c r="BJ2" s="2"/>
      <c r="BK2" s="2"/>
      <c r="BL2" s="46"/>
      <c r="BM2" s="2"/>
      <c r="BN2" s="47" t="s">
        <v>55</v>
      </c>
      <c r="BO2" s="2"/>
      <c r="BP2" s="2"/>
      <c r="BQ2" s="2"/>
      <c r="BR2" s="2"/>
      <c r="BS2" s="215"/>
      <c r="BT2" s="2" t="s">
        <v>56</v>
      </c>
      <c r="BU2" s="111" t="str">
        <f>ChemName</f>
        <v>nAg_10nm</v>
      </c>
      <c r="BV2" s="2"/>
      <c r="BW2" s="2" t="s">
        <v>57</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58</v>
      </c>
      <c r="BO3" s="2"/>
      <c r="BP3" s="2"/>
      <c r="BQ3" s="2"/>
      <c r="BR3" s="2"/>
      <c r="BS3" s="215"/>
      <c r="BT3" s="2"/>
      <c r="BU3" s="45"/>
      <c r="BV3" s="2"/>
      <c r="BW3" s="2" t="s">
        <v>59</v>
      </c>
      <c r="BX3" s="6">
        <f ca="1">TODAY()</f>
        <v>45397</v>
      </c>
      <c r="BY3" s="2"/>
      <c r="BZ3" s="2"/>
      <c r="CA3" s="2"/>
      <c r="CB3" s="2"/>
      <c r="CC3" s="2"/>
      <c r="CD3" s="2"/>
      <c r="CE3" s="2"/>
    </row>
    <row r="4" spans="1:83" ht="12.75" customHeight="1" x14ac:dyDescent="0.3">
      <c r="A4" s="17"/>
      <c r="B4" s="21" t="s">
        <v>57</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57</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57</v>
      </c>
      <c r="AU4" s="9" t="s">
        <v>60</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3.2831852740824264E-24</v>
      </c>
      <c r="CE4" s="2"/>
    </row>
    <row r="5" spans="1:83" ht="12.75" customHeight="1" x14ac:dyDescent="0.45">
      <c r="A5" s="17"/>
      <c r="B5" s="21" t="s">
        <v>61</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61</v>
      </c>
      <c r="AB5" s="918" t="str">
        <f>ChemName</f>
        <v>nAg_10nm</v>
      </c>
      <c r="AC5" s="38"/>
      <c r="AD5" s="38"/>
      <c r="AE5" s="38"/>
      <c r="AF5" s="21"/>
      <c r="AG5" s="21"/>
      <c r="AH5" s="21"/>
      <c r="AI5" s="21"/>
      <c r="AJ5" s="21"/>
      <c r="AK5" s="38"/>
      <c r="AL5" s="919"/>
      <c r="AM5" s="917"/>
      <c r="AN5" s="17"/>
      <c r="AO5" s="17"/>
      <c r="AP5" s="17"/>
      <c r="AQ5" s="17"/>
      <c r="AR5" s="46"/>
      <c r="AS5" s="2"/>
      <c r="AT5" s="21" t="s">
        <v>61</v>
      </c>
      <c r="AU5" s="56" t="s">
        <v>62</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63</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63</v>
      </c>
      <c r="AB6" s="934" t="str">
        <f>ScenarioName</f>
        <v>default scenario</v>
      </c>
      <c r="AC6" s="38"/>
      <c r="AD6" s="38"/>
      <c r="AE6" s="38"/>
      <c r="AF6" s="21"/>
      <c r="AG6" s="21"/>
      <c r="AH6" s="21"/>
      <c r="AI6" s="21"/>
      <c r="AJ6" s="21"/>
      <c r="AK6" s="38"/>
      <c r="AL6" s="919"/>
      <c r="AM6" s="917"/>
      <c r="AN6" s="17"/>
      <c r="AO6" s="17"/>
      <c r="AP6" s="17"/>
      <c r="AQ6" s="17"/>
      <c r="AR6" s="46"/>
      <c r="AS6" s="2"/>
      <c r="AT6" s="21" t="s">
        <v>63</v>
      </c>
      <c r="AU6" s="56" t="s">
        <v>64</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65</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65</v>
      </c>
      <c r="AB7" s="934" t="str">
        <f>CaseName</f>
        <v>defaults only</v>
      </c>
      <c r="AC7" s="38"/>
      <c r="AD7" s="38"/>
      <c r="AE7" s="932"/>
      <c r="AF7" s="933"/>
      <c r="AG7" s="933"/>
      <c r="AH7" s="21"/>
      <c r="AI7" s="21"/>
      <c r="AJ7" s="21"/>
      <c r="AK7" s="38"/>
      <c r="AL7" s="919"/>
      <c r="AM7" s="917"/>
      <c r="AN7" s="17"/>
      <c r="AO7" s="17"/>
      <c r="AP7" s="17"/>
      <c r="AQ7" s="17"/>
      <c r="AR7" s="46"/>
      <c r="AS7" s="2"/>
      <c r="AT7" s="21" t="s">
        <v>65</v>
      </c>
      <c r="AU7" s="56" t="s">
        <v>66</v>
      </c>
      <c r="AV7" s="9"/>
      <c r="AW7" s="9"/>
      <c r="AX7" s="9"/>
      <c r="AY7" s="21"/>
      <c r="AZ7" s="21"/>
      <c r="BA7" s="21"/>
      <c r="BB7" s="21"/>
      <c r="BC7" s="9"/>
      <c r="BD7" s="57"/>
      <c r="BE7" s="54"/>
      <c r="BF7" s="2"/>
      <c r="BG7" s="2"/>
      <c r="BH7" s="2"/>
      <c r="BI7" s="2"/>
      <c r="BJ7" s="2"/>
      <c r="BK7" s="2"/>
      <c r="BL7" s="46"/>
      <c r="BM7" s="2"/>
      <c r="BN7" s="2"/>
      <c r="BO7" s="2"/>
      <c r="BP7" s="2"/>
      <c r="BQ7" s="113"/>
      <c r="BR7" s="84"/>
      <c r="BS7" s="76" t="s">
        <v>67</v>
      </c>
      <c r="BT7" s="77">
        <f>IF(ISERROR(D12),0,D12)</f>
        <v>3.4380634600799001E-25</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68</v>
      </c>
      <c r="D9" s="79"/>
      <c r="E9" s="79"/>
      <c r="F9" s="79"/>
      <c r="G9" s="79"/>
      <c r="H9" s="79"/>
      <c r="I9" s="79"/>
      <c r="J9" s="79"/>
      <c r="K9" s="79"/>
      <c r="L9" s="102"/>
      <c r="M9" s="105" t="s">
        <v>69</v>
      </c>
      <c r="N9" s="79"/>
      <c r="O9" s="79"/>
      <c r="P9" s="79"/>
      <c r="Q9" s="79"/>
      <c r="R9" s="102"/>
      <c r="S9" s="105" t="s">
        <v>70</v>
      </c>
      <c r="T9" s="79"/>
      <c r="U9" s="79"/>
      <c r="V9" s="79"/>
      <c r="W9" s="102"/>
      <c r="X9" s="17"/>
      <c r="Y9" s="156"/>
      <c r="Z9" s="17"/>
      <c r="AA9" s="936" t="s">
        <v>71</v>
      </c>
      <c r="AB9" s="920"/>
      <c r="AC9" s="921" t="s">
        <v>72</v>
      </c>
      <c r="AD9" s="922" t="s">
        <v>73</v>
      </c>
      <c r="AE9" s="922" t="s">
        <v>74</v>
      </c>
      <c r="AF9" s="922" t="s">
        <v>75</v>
      </c>
      <c r="AG9" s="922" t="s">
        <v>76</v>
      </c>
      <c r="AH9" s="923" t="s">
        <v>77</v>
      </c>
      <c r="AI9" s="922" t="s">
        <v>78</v>
      </c>
      <c r="AJ9" s="922" t="s">
        <v>79</v>
      </c>
      <c r="AK9" s="922" t="s">
        <v>80</v>
      </c>
      <c r="AL9" s="922" t="s">
        <v>81</v>
      </c>
      <c r="AM9" s="922" t="s">
        <v>82</v>
      </c>
      <c r="AN9" s="922" t="s">
        <v>83</v>
      </c>
      <c r="AO9" s="923" t="s">
        <v>84</v>
      </c>
      <c r="AP9" s="921" t="s">
        <v>85</v>
      </c>
      <c r="AQ9" s="17"/>
      <c r="AR9" s="46"/>
      <c r="AS9" s="2"/>
      <c r="AT9" s="58"/>
      <c r="AU9" s="48" t="s">
        <v>86</v>
      </c>
      <c r="AV9" s="48" t="s">
        <v>87</v>
      </c>
      <c r="AW9" s="48" t="s">
        <v>88</v>
      </c>
      <c r="AX9" s="48" t="s">
        <v>89</v>
      </c>
      <c r="AY9" s="48" t="s">
        <v>90</v>
      </c>
      <c r="AZ9" s="48" t="s">
        <v>91</v>
      </c>
      <c r="BA9" s="48" t="s">
        <v>92</v>
      </c>
      <c r="BB9" s="50" t="s">
        <v>93</v>
      </c>
      <c r="BC9" s="49" t="s">
        <v>94</v>
      </c>
      <c r="BD9" s="48" t="s">
        <v>95</v>
      </c>
      <c r="BE9" s="48" t="s">
        <v>96</v>
      </c>
      <c r="BF9" s="48" t="s">
        <v>97</v>
      </c>
      <c r="BG9" s="48" t="s">
        <v>98</v>
      </c>
      <c r="BH9" s="48" t="s">
        <v>99</v>
      </c>
      <c r="BI9" s="48" t="s">
        <v>100</v>
      </c>
      <c r="BJ9" s="50" t="s">
        <v>101</v>
      </c>
      <c r="BK9" s="2"/>
      <c r="BL9" s="46"/>
      <c r="BM9" s="2"/>
      <c r="BN9" s="128" t="s">
        <v>102</v>
      </c>
      <c r="BO9" s="129"/>
      <c r="BP9" s="130">
        <f>AD12</f>
        <v>1.075997716240354E-20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103</v>
      </c>
      <c r="D10" s="43"/>
      <c r="E10" s="43" t="s">
        <v>104</v>
      </c>
      <c r="F10" s="43"/>
      <c r="G10" s="43" t="s">
        <v>105</v>
      </c>
      <c r="H10" s="43"/>
      <c r="I10" s="43" t="s">
        <v>106</v>
      </c>
      <c r="J10" s="43"/>
      <c r="K10" s="43" t="s">
        <v>107</v>
      </c>
      <c r="L10" s="44"/>
      <c r="M10" s="81" t="s">
        <v>103</v>
      </c>
      <c r="N10" s="81" t="s">
        <v>104</v>
      </c>
      <c r="O10" s="81" t="s">
        <v>105</v>
      </c>
      <c r="P10" s="81" t="s">
        <v>106</v>
      </c>
      <c r="Q10" s="81" t="s">
        <v>107</v>
      </c>
      <c r="R10" s="103"/>
      <c r="S10" s="81" t="s">
        <v>103</v>
      </c>
      <c r="T10" s="81" t="s">
        <v>104</v>
      </c>
      <c r="U10" s="81" t="s">
        <v>105</v>
      </c>
      <c r="V10" s="81" t="s">
        <v>106</v>
      </c>
      <c r="W10" s="103" t="s">
        <v>107</v>
      </c>
      <c r="X10" s="17"/>
      <c r="Y10" s="156"/>
      <c r="Z10" s="17"/>
      <c r="AA10" s="924"/>
      <c r="AB10" s="925"/>
      <c r="AC10" s="908"/>
      <c r="AD10" s="357"/>
      <c r="AE10" s="357"/>
      <c r="AF10" s="357"/>
      <c r="AG10" s="357"/>
      <c r="AH10" s="839"/>
      <c r="AI10" s="357" t="s">
        <v>108</v>
      </c>
      <c r="AJ10" s="357" t="s">
        <v>108</v>
      </c>
      <c r="AK10" s="357" t="s">
        <v>108</v>
      </c>
      <c r="AL10" s="357" t="s">
        <v>108</v>
      </c>
      <c r="AM10" s="357" t="s">
        <v>108</v>
      </c>
      <c r="AN10" s="357" t="s">
        <v>108</v>
      </c>
      <c r="AO10" s="839" t="s">
        <v>108</v>
      </c>
      <c r="AP10" s="908" t="s">
        <v>109</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8.4427760791086413E-20</v>
      </c>
      <c r="BO10" s="132"/>
      <c r="BP10" s="132" t="s">
        <v>110</v>
      </c>
      <c r="BQ10" s="113"/>
      <c r="BR10" s="113"/>
      <c r="BS10" s="113"/>
      <c r="BT10" s="113"/>
      <c r="BU10" s="2"/>
      <c r="BV10" s="113"/>
      <c r="BW10" s="113"/>
      <c r="BX10" s="2"/>
      <c r="BY10" s="17" t="s">
        <v>111</v>
      </c>
      <c r="BZ10" s="2"/>
      <c r="CA10" s="2"/>
      <c r="CB10" s="113"/>
      <c r="CC10" s="113"/>
      <c r="CD10" s="113"/>
      <c r="CE10" s="2"/>
    </row>
    <row r="11" spans="1:83" ht="12.75" customHeight="1" x14ac:dyDescent="0.3">
      <c r="A11" s="17"/>
      <c r="B11" s="452" t="s">
        <v>112</v>
      </c>
      <c r="C11" s="453">
        <f>SUM(C12,C15:C17)</f>
        <v>33413.438582467475</v>
      </c>
      <c r="D11" s="446">
        <f t="shared" ref="D11:D17" si="0">C11/$C$103</f>
        <v>1.2817616470970569E-6</v>
      </c>
      <c r="E11" s="453">
        <f>SUM(E12,E15:E17)</f>
        <v>122229.14982520255</v>
      </c>
      <c r="F11" s="446">
        <f t="shared" ref="F11:F17" si="1">E11/$E$103</f>
        <v>5.7517319799300124E-5</v>
      </c>
      <c r="G11" s="445">
        <f>SUM(G12,G15:G17)</f>
        <v>75902.47163171065</v>
      </c>
      <c r="H11" s="446">
        <f t="shared" ref="H11:H17" si="2">G11/$G$103</f>
        <v>4.0336968614202312E-6</v>
      </c>
      <c r="I11" s="445">
        <f>SUM(I12,I15:I17)</f>
        <v>15635.318261719507</v>
      </c>
      <c r="J11" s="446">
        <f t="shared" ref="J11:J17" si="3">I11/$I$103</f>
        <v>1.3190453257652127E-6</v>
      </c>
      <c r="K11" s="445">
        <f>SUM(K12,K15:K17)</f>
        <v>23305.928796883698</v>
      </c>
      <c r="L11" s="461">
        <f t="shared" ref="L11:L17" si="4">K11/$K$103</f>
        <v>5.3081763395967105E-7</v>
      </c>
      <c r="M11" s="459">
        <f xml:space="preserve"> (M.aRG+M.aRS+M.aRA+M.aRP+M.cwRS+M.cwRA+M.cwRP)*(Molweight*1000)/(VOLUME.aR+VOLUME.cwR)</f>
        <v>1.4554793127355696E-7</v>
      </c>
      <c r="N11" s="459">
        <f xml:space="preserve"> (M.aCG+M.aCS+M.aCA+M.aCP+M.cwCS+M.cwCA+M.cwCP)*Molweight*1000/(VOLUME.aC+VOLUME.cwC)</f>
        <v>1.6978039354823568E-8</v>
      </c>
      <c r="O11" s="459">
        <f xml:space="preserve"> (M.aMG+M.aMS+M.aMA+M.aMP+M.cwMS+M.cwMA+M.cwMP)*Molweight*1000/(VOLUME.aM+VOLUME.cwM)</f>
        <v>9.7848803681621796E-10</v>
      </c>
      <c r="P11" s="459">
        <f xml:space="preserve"> (M.aAG+M.aAS+M.aAA+M.aAP+M.cwAS+M.cwAA+M.cwAP)*Molweight*1000/(VOLUME.aA+VOLUME.cwA)</f>
        <v>3.6788984145225667E-10</v>
      </c>
      <c r="Q11" s="459">
        <f xml:space="preserve"> (M.aTG+M.aTS+M.aTA+M.aTP+M.cwTS+M.cwTA+M.cwTP)*Molweight*1000/(VOLUME.aT+VOLUME.cwT)</f>
        <v>1.8279159840694745E-10</v>
      </c>
      <c r="R11" s="160" t="s">
        <v>113</v>
      </c>
      <c r="S11" s="442"/>
      <c r="T11" s="21"/>
      <c r="U11" s="21"/>
      <c r="V11" s="21"/>
      <c r="W11" s="21"/>
      <c r="X11" s="17"/>
      <c r="Y11" s="156"/>
      <c r="Z11" s="17"/>
      <c r="AA11" s="907" t="s">
        <v>114</v>
      </c>
      <c r="AB11" s="304"/>
      <c r="AC11" s="909"/>
      <c r="AD11" s="910"/>
      <c r="AE11" s="910"/>
      <c r="AF11" s="910"/>
      <c r="AG11" s="910"/>
      <c r="AH11" s="911"/>
      <c r="AI11" s="38"/>
      <c r="AJ11" s="38"/>
      <c r="AK11" s="38"/>
      <c r="AL11" s="38"/>
      <c r="AM11" s="38"/>
      <c r="AN11" s="38"/>
      <c r="AO11" s="160"/>
      <c r="AP11" s="926"/>
      <c r="AQ11" s="17"/>
      <c r="AR11" s="46"/>
      <c r="AS11" s="2"/>
      <c r="AT11" s="58" t="s">
        <v>72</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115</v>
      </c>
      <c r="BZ11" s="2"/>
      <c r="CA11" s="2"/>
      <c r="CB11" s="113"/>
      <c r="CC11" s="113"/>
      <c r="CD11" s="113"/>
      <c r="CE11" s="2"/>
    </row>
    <row r="12" spans="1:83" ht="12.75" customHeight="1" thickBot="1" x14ac:dyDescent="0.35">
      <c r="A12" s="17"/>
      <c r="B12" s="443" t="s">
        <v>116</v>
      </c>
      <c r="C12" s="295">
        <f>(M.aRG)*Molweight</f>
        <v>8.9624714958651481E-15</v>
      </c>
      <c r="D12" s="446">
        <f t="shared" si="0"/>
        <v>3.4380634600799001E-25</v>
      </c>
      <c r="E12" s="296">
        <f>(M.aCG)*Molweight</f>
        <v>3.5820033433236931E-14</v>
      </c>
      <c r="F12" s="446">
        <f t="shared" si="1"/>
        <v>1.6855818118243194E-23</v>
      </c>
      <c r="G12" s="296">
        <f>(M.aMG)*Molweight</f>
        <v>1.7906379440700514E-12</v>
      </c>
      <c r="H12" s="446">
        <f t="shared" si="2"/>
        <v>9.516015091026036E-23</v>
      </c>
      <c r="I12" s="296">
        <f>(M.aAG)*Molweight</f>
        <v>7.7986473842876308E-14</v>
      </c>
      <c r="J12" s="446">
        <f t="shared" si="3"/>
        <v>6.5791877129365234E-24</v>
      </c>
      <c r="K12" s="296">
        <f>(M.aTG)*Molweight</f>
        <v>3.9944936323499558E-11</v>
      </c>
      <c r="L12" s="461">
        <f t="shared" si="4"/>
        <v>9.0978895424862588E-22</v>
      </c>
      <c r="M12" s="124">
        <f>(M.aRG)*(Molweight*1000)/(VOLUME.aR + VOLUME.cwR)</f>
        <v>3.9040255677422808E-26</v>
      </c>
      <c r="N12" s="124">
        <f>(M.aCG)*(Molweight*1000)/(VOLUME.aC + VOLUME.cwC)</f>
        <v>4.9755229271438211E-27</v>
      </c>
      <c r="O12" s="124">
        <f>(M.aMG)*(Molweight*1000)/(VOLUME.aM + VOLUME.cwM)</f>
        <v>2.3083804372580285E-26</v>
      </c>
      <c r="P12" s="124">
        <f>(M.aAG)*(Molweight*1000)/(VOLUME.aA + VOLUME.cwA)</f>
        <v>1.8349758551266665E-27</v>
      </c>
      <c r="Q12" s="124">
        <f>(M.aTG)*(Molweight*1000)/(VOLUME.aT + VOLUME.cwT)</f>
        <v>3.1329361822355413E-25</v>
      </c>
      <c r="R12" s="160" t="s">
        <v>113</v>
      </c>
      <c r="S12" s="163">
        <f>F.aR</f>
        <v>8.5756487602433668E-25</v>
      </c>
      <c r="T12" s="163">
        <f>F.aC</f>
        <v>1.0929318028621078E-25</v>
      </c>
      <c r="U12" s="163">
        <f>F.aM</f>
        <v>5.0706276102566379E-25</v>
      </c>
      <c r="V12" s="163">
        <f>F.aA</f>
        <v>3.7195943069918691E-26</v>
      </c>
      <c r="W12" s="162">
        <f>F.aT</f>
        <v>7.1957701784705322E-24</v>
      </c>
      <c r="X12" s="17"/>
      <c r="Y12" s="156"/>
      <c r="Z12" s="17"/>
      <c r="AA12" s="312" t="s">
        <v>117</v>
      </c>
      <c r="AB12" s="162" t="s">
        <v>86</v>
      </c>
      <c r="AC12" s="161">
        <f>E.aRG*Molweight</f>
        <v>0</v>
      </c>
      <c r="AD12" s="163">
        <f>k.aC.aR*M.aC*Molweight</f>
        <v>1.075997716240354E-20</v>
      </c>
      <c r="AE12" s="163">
        <f>k.aR.aC*M.aR*Molweight</f>
        <v>8.4427760791086413E-20</v>
      </c>
      <c r="AF12" s="163">
        <f>kesc.aR*VOLUME.aR*C.aRG*Molweight</f>
        <v>3.2831852740824264E-24</v>
      </c>
      <c r="AG12" s="163"/>
      <c r="AH12" s="162">
        <f>KDEG.aR*VOLUME.aR*C.aR*Molweight</f>
        <v>3.4132374404439391E-47</v>
      </c>
      <c r="AI12" s="163">
        <f>SUM(AI13:AI15,AK18:AK20)</f>
        <v>6.1534690522325146E-20</v>
      </c>
      <c r="AJ12" s="163">
        <f>SUM(AJ13:AJ15,AL18:AL20)</f>
        <v>1.3520575733628212E-19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3.4132374404439391E-47</v>
      </c>
      <c r="BS12" s="113"/>
      <c r="BT12" s="113"/>
      <c r="BU12" s="113"/>
      <c r="BV12" s="113"/>
      <c r="BW12" s="113"/>
      <c r="BX12" s="2"/>
      <c r="BY12" s="2"/>
      <c r="BZ12" s="2"/>
      <c r="CA12" s="2"/>
      <c r="CB12" s="113"/>
      <c r="CC12" s="113"/>
      <c r="CD12" s="113"/>
      <c r="CE12" s="2"/>
    </row>
    <row r="13" spans="1:83" ht="12.75" customHeight="1" x14ac:dyDescent="0.3">
      <c r="A13" s="17"/>
      <c r="B13" s="159" t="s">
        <v>118</v>
      </c>
      <c r="C13" s="295">
        <f>FRgas.aR*C12</f>
        <v>3.7935679684226597E-27</v>
      </c>
      <c r="D13" s="446">
        <f t="shared" si="0"/>
        <v>1.4552378126480715E-37</v>
      </c>
      <c r="E13" s="296">
        <f>FRgas.aC*E12</f>
        <v>1.5161636109286092E-26</v>
      </c>
      <c r="F13" s="446">
        <f t="shared" si="1"/>
        <v>7.1346047487488499E-36</v>
      </c>
      <c r="G13" s="296">
        <f>FRgas.aC*G12</f>
        <v>7.5792784956697182E-25</v>
      </c>
      <c r="H13" s="446">
        <f t="shared" si="2"/>
        <v>4.0278677653811947E-35</v>
      </c>
      <c r="I13" s="296">
        <f>FRgas.aC*I12</f>
        <v>3.3009531944068852E-26</v>
      </c>
      <c r="J13" s="446">
        <f t="shared" si="3"/>
        <v>2.7847894163513517E-36</v>
      </c>
      <c r="K13" s="296">
        <f>FRgas.aC*K12</f>
        <v>1.6907594183972705E-23</v>
      </c>
      <c r="L13" s="461">
        <f t="shared" si="4"/>
        <v>3.8508867073715329E-34</v>
      </c>
      <c r="M13" s="124">
        <f>FRgas.aR*M12</f>
        <v>1.652466771974997E-38</v>
      </c>
      <c r="N13" s="124">
        <f>FRgas.aC*N12</f>
        <v>2.1060021681824436E-39</v>
      </c>
      <c r="O13" s="124">
        <f>FRgas.aM*O12</f>
        <v>9.7707402358329466E-39</v>
      </c>
      <c r="P13" s="124">
        <f>FRgas.aA*P12</f>
        <v>4.0371193049870349E-44</v>
      </c>
      <c r="Q13" s="124">
        <f>FRgas.aT*Q12</f>
        <v>5.25669114039015E-37</v>
      </c>
      <c r="R13" s="160" t="s">
        <v>113</v>
      </c>
      <c r="S13" s="163">
        <f>S12*FRgas.aR</f>
        <v>3.6298365311746391E-37</v>
      </c>
      <c r="T13" s="163">
        <f>T12*FRgas.aC</f>
        <v>4.6260800728023924E-38</v>
      </c>
      <c r="U13" s="163">
        <f>U12*FRgas.aM</f>
        <v>2.1462573678414013E-37</v>
      </c>
      <c r="V13" s="163">
        <f>V12*FRgas.aA</f>
        <v>8.1834569874709199E-43</v>
      </c>
      <c r="W13" s="162">
        <f>W12*FRgas.aT</f>
        <v>1.2073639278045741E-35</v>
      </c>
      <c r="X13" s="17"/>
      <c r="Y13" s="156"/>
      <c r="Z13" s="17"/>
      <c r="AA13" s="312" t="s">
        <v>119</v>
      </c>
      <c r="AB13" s="162" t="s">
        <v>120</v>
      </c>
      <c r="AC13" s="938">
        <f>E.w0RD*Molweight</f>
        <v>0</v>
      </c>
      <c r="AD13" s="163">
        <f>k.w1R.w0R*M.w1RD*Molweight</f>
        <v>0</v>
      </c>
      <c r="AE13" s="163">
        <f>(k.w0R.w1R+k.w0R.w2R)*M.w0RD*Molweight</f>
        <v>4.5110232652798999E-3</v>
      </c>
      <c r="AF13" s="163"/>
      <c r="AG13" s="163">
        <f>(kdis.w0S.w0D*M.w0RS+kdis.w0A.w0D*M.w0RA+kdis.w0P.w0D*M.w0RP)*Molweight</f>
        <v>5.0504451756351978E-4</v>
      </c>
      <c r="AH13" s="162">
        <f>KDEG.w0R*M.w0RD*Molweight</f>
        <v>7.2941661179565417E-15</v>
      </c>
      <c r="AI13" s="163">
        <f>k.aRG.w0RD*M.aRG*Molweight</f>
        <v>1.5316661816320857E-22</v>
      </c>
      <c r="AJ13" s="163">
        <f>k.w0RD.aRG*M.w0R*Molweight</f>
        <v>1.0035462826538918E-21</v>
      </c>
      <c r="AK13" s="163"/>
      <c r="AL13" s="163"/>
      <c r="AM13" s="163"/>
      <c r="AN13" s="163">
        <f>k.w0RD.sd0RD*M.w0RD*Molweight</f>
        <v>2.520671745128944E-2</v>
      </c>
      <c r="AO13" s="162">
        <f>k.sd0RD.w0RD*M.sd0RD*Molweight</f>
        <v>0</v>
      </c>
      <c r="AP13" s="909">
        <f>SUM(AC13,AD13,AI13,AM13,AO13,AG13)-SUM(AF13,AE13,AH13,AJ13,AN13)</f>
        <v>-2.9212696199013115E-2</v>
      </c>
      <c r="AQ13" s="17"/>
      <c r="AR13" s="46"/>
      <c r="AS13" s="2"/>
      <c r="AT13" s="58" t="s">
        <v>73</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121</v>
      </c>
      <c r="C14" s="295">
        <f>(1-FRgas.aR)*C12</f>
        <v>8.9624714958613552E-15</v>
      </c>
      <c r="D14" s="446">
        <f t="shared" si="0"/>
        <v>3.438063460078445E-25</v>
      </c>
      <c r="E14" s="296">
        <f>(1-FRgas.aC)*E12</f>
        <v>3.5820033433221772E-14</v>
      </c>
      <c r="F14" s="446">
        <f t="shared" si="1"/>
        <v>1.6855818118236062E-23</v>
      </c>
      <c r="G14" s="296">
        <f>(1-FRgas.aC)*G12</f>
        <v>1.7906379440692935E-12</v>
      </c>
      <c r="H14" s="446">
        <f t="shared" si="2"/>
        <v>9.5160150910220087E-23</v>
      </c>
      <c r="I14" s="296">
        <f>(1-FRgas.aC)*I12</f>
        <v>7.7986473842843302E-14</v>
      </c>
      <c r="J14" s="446">
        <f t="shared" si="3"/>
        <v>6.5791877129337389E-24</v>
      </c>
      <c r="K14" s="296">
        <f>(1-FRgas.aC)*K12</f>
        <v>3.9944936323482652E-11</v>
      </c>
      <c r="L14" s="461">
        <f t="shared" si="4"/>
        <v>9.0978895424824088E-22</v>
      </c>
      <c r="M14" s="124">
        <f>(1-FRgas.aR)*M12</f>
        <v>3.9040255677406284E-26</v>
      </c>
      <c r="N14" s="124">
        <f>(1-FRgas.aC)*N12</f>
        <v>4.9755229271417153E-27</v>
      </c>
      <c r="O14" s="124">
        <f>(1-FRgas.aM)*O12</f>
        <v>2.3083804372570516E-26</v>
      </c>
      <c r="P14" s="124">
        <f>(1-FRgas.aA)*P12</f>
        <v>1.8349758551266665E-27</v>
      </c>
      <c r="Q14" s="124">
        <f>(1-FRgas.aT)*Q12</f>
        <v>3.1329361822302846E-25</v>
      </c>
      <c r="R14" s="160" t="s">
        <v>113</v>
      </c>
      <c r="S14" s="163">
        <f>S12*(1-FRgas.aR)</f>
        <v>8.5756487602397374E-25</v>
      </c>
      <c r="T14" s="163">
        <f>T12*(1-FRgas.aC)</f>
        <v>1.0929318028616452E-25</v>
      </c>
      <c r="U14" s="163">
        <f>U12*(1-FRgas.aM)</f>
        <v>5.0706276102544917E-25</v>
      </c>
      <c r="V14" s="163">
        <f>V12*(1-FRgas.aA)</f>
        <v>3.7195943069918691E-26</v>
      </c>
      <c r="W14" s="162">
        <f>W12*(1-FRgas.aT)</f>
        <v>7.1957701784584584E-24</v>
      </c>
      <c r="X14" s="17"/>
      <c r="Y14" s="156"/>
      <c r="Z14" s="17"/>
      <c r="AA14" s="312" t="s">
        <v>122</v>
      </c>
      <c r="AB14" s="162" t="s">
        <v>87</v>
      </c>
      <c r="AC14" s="161">
        <f>E.w1RD*Molweight</f>
        <v>0</v>
      </c>
      <c r="AD14" s="163">
        <f>(WATERflow.w0R.w1R*C.w0R+WATERflow.w1C.w1R*C.w1C)*Molweight</f>
        <v>4.511023265279899E-3</v>
      </c>
      <c r="AE14" s="163">
        <f>(WATERflow.w1R.w0R+WATERflow.w1R.w2R)*C.w1R*Molweight</f>
        <v>6.2804291853587102E-2</v>
      </c>
      <c r="AF14" s="163"/>
      <c r="AG14" s="163">
        <f>(kdis.w1S.w1D*M.w1RS+kdis.w1A.w1D*M.w1RA+kdis.w1P.w1D*M.w1RP)*Molweight</f>
        <v>0.15722462149166275</v>
      </c>
      <c r="AH14" s="162">
        <f>KDEG.w1R*VOLUME.w1R*C.w1R*Molweight</f>
        <v>1.447764552398944E-15</v>
      </c>
      <c r="AI14" s="163">
        <f>k.aRG.w1RD*M.aRG*Molweight</f>
        <v>1.6848327997952945E-21</v>
      </c>
      <c r="AJ14" s="163">
        <f>k.w1RD.aRG*M.w1R*Molweight</f>
        <v>6.639546870849462E-21</v>
      </c>
      <c r="AK14" s="163"/>
      <c r="AL14" s="163"/>
      <c r="AM14" s="163">
        <f>(k.s1RD.w1RD*M.s1R+k.s2RD.w1RD*M.s2R+k.s3RD.w1RD*M.s3R)*Molweight</f>
        <v>0.32133965818914439</v>
      </c>
      <c r="AN14" s="163">
        <f>k.w1RD.sd1RD*M.w1R*Molweight</f>
        <v>4.9840648670012673</v>
      </c>
      <c r="AO14" s="162">
        <f>k.sd1RD.w1RD*M.sd1R*Molweight</f>
        <v>4.5637938559087692</v>
      </c>
      <c r="AP14" s="909">
        <f>SUM(AC14,AD14,AI14,AM14,AO14,AG14)-SUM(AF14,AE14,AH14,AJ14,AN14)</f>
        <v>0</v>
      </c>
      <c r="AQ14" s="17"/>
      <c r="AR14" s="46"/>
      <c r="AS14" s="2"/>
      <c r="AT14" s="64" t="s">
        <v>74</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3.707408121432409E-21</v>
      </c>
      <c r="BY14" s="113"/>
      <c r="BZ14" s="138">
        <f>IF(AL20&lt;0,"",AL20)</f>
        <v>1.3731133422980331E-21</v>
      </c>
      <c r="CA14" s="113"/>
      <c r="CB14" s="136">
        <f>IF(AL19&lt;0,"",AL19)</f>
        <v>1.2211345206184742E-19</v>
      </c>
      <c r="CC14" s="140"/>
      <c r="CD14" s="113"/>
      <c r="CE14" s="2"/>
    </row>
    <row r="15" spans="1:83" ht="12.75" customHeight="1" x14ac:dyDescent="0.35">
      <c r="A15" s="17"/>
      <c r="B15" s="159" t="s">
        <v>123</v>
      </c>
      <c r="C15" s="295">
        <f>(M.aRS+M.cwRS)*Molweight</f>
        <v>6088.0683363256967</v>
      </c>
      <c r="D15" s="446">
        <f t="shared" si="0"/>
        <v>2.3354233594212752E-7</v>
      </c>
      <c r="E15" s="296">
        <f>(M.aCS+M.cwCS)*Molweight</f>
        <v>1256.9250445136479</v>
      </c>
      <c r="F15" s="446">
        <f t="shared" si="1"/>
        <v>5.9147069134022948E-7</v>
      </c>
      <c r="G15" s="296">
        <f>(M.aMS+M.cwMS)*Molweight</f>
        <v>37.972348907731359</v>
      </c>
      <c r="H15" s="446">
        <f t="shared" si="2"/>
        <v>2.0179704470371788E-9</v>
      </c>
      <c r="I15" s="296">
        <f>(M.aAS+M.cwAS)*Molweight</f>
        <v>0.33326386307473155</v>
      </c>
      <c r="J15" s="446">
        <f t="shared" si="3"/>
        <v>2.8115202612245273E-11</v>
      </c>
      <c r="K15" s="296">
        <f>(M.aTS+M.cwTS)*Molweight</f>
        <v>0.51772829282360511</v>
      </c>
      <c r="L15" s="461">
        <f t="shared" si="4"/>
        <v>1.1791819576285355E-11</v>
      </c>
      <c r="M15" s="124">
        <f>(M.aRS+M.cwRS)*(Molweight*1000)/(VOLUME.aR + VOLUME.cwR)</f>
        <v>2.6519442158497383E-8</v>
      </c>
      <c r="N15" s="124">
        <f>(M.aCS+M.cwCS)*(Molweight*1000)/(VOLUME.aC + VOLUME.cwC)</f>
        <v>1.7459110942303167E-10</v>
      </c>
      <c r="O15" s="124">
        <f>(M.aMS+M.cwMS)*(Molweight*1000)/(VOLUME.aM + VOLUME.cwM)</f>
        <v>4.8951619541864356E-13</v>
      </c>
      <c r="P15" s="124">
        <f>(M.aAS+M.cwAS)*(Molweight*1000)/(VOLUME.aA + VOLUME.cwA)</f>
        <v>7.8415026605826247E-15</v>
      </c>
      <c r="Q15" s="124">
        <f>(M.aTS+M.cwTS)*(Molweight*1000)/(VOLUME.aT + VOLUME.cwT)</f>
        <v>4.0606140613619743E-15</v>
      </c>
      <c r="R15" s="160" t="s">
        <v>113</v>
      </c>
      <c r="S15" s="163"/>
      <c r="T15" s="163"/>
      <c r="U15" s="163"/>
      <c r="V15" s="163"/>
      <c r="W15" s="162"/>
      <c r="X15" s="17"/>
      <c r="Y15" s="156"/>
      <c r="Z15" s="17"/>
      <c r="AA15" s="312" t="s">
        <v>124</v>
      </c>
      <c r="AB15" s="162" t="s">
        <v>88</v>
      </c>
      <c r="AC15" s="161">
        <f>E.w2RD*Molweight</f>
        <v>0</v>
      </c>
      <c r="AD15" s="163">
        <f>(k.w1R.w2R*M.w1R+k.w2C.w2R*M.w2C)*Molweight</f>
        <v>6.4125705416497841E-2</v>
      </c>
      <c r="AE15" s="163">
        <f>k.w2R.w2C*M.w2R*Molweight</f>
        <v>0.13334311218805653</v>
      </c>
      <c r="AF15" s="163"/>
      <c r="AG15" s="163">
        <f>(kdis.w2S.w2D*M.w2RS+kdis.w2A.w2D*M.w2RA+kdis.w2P.w2D*M.w2RP)*Molweight</f>
        <v>7.7678973573845844E-2</v>
      </c>
      <c r="AH15" s="162">
        <f>KDEG.w2R*M.w2RD*Molweight</f>
        <v>2.6797876154251351E-16</v>
      </c>
      <c r="AI15" s="163">
        <f>k.aRG.w2RD*M.aRG*Molweight</f>
        <v>2.6804325705597197E-22</v>
      </c>
      <c r="AJ15" s="163">
        <f>k.w2RD.aRG*M.w2R*Molweight</f>
        <v>3.6869065720088565E-22</v>
      </c>
      <c r="AK15" s="163"/>
      <c r="AL15" s="163"/>
      <c r="AM15" s="163"/>
      <c r="AN15" s="163">
        <f>k.w2RD.sd2RD*M.w2R*Molweight</f>
        <v>9.2403649885452049E-2</v>
      </c>
      <c r="AO15" s="162">
        <f>k.sd2RD.w2RD*M.sd2R*Molweight</f>
        <v>8.3942083083165128E-2</v>
      </c>
      <c r="AP15" s="909">
        <f>SUM(AC15,AD15,AI15,AM15,AO15,AG15)-SUM(AF15,AE15,AH15,AJ15,AN15)</f>
        <v>0</v>
      </c>
      <c r="AQ15" s="17"/>
      <c r="AR15" s="46"/>
      <c r="AS15" s="2"/>
      <c r="AT15" s="64" t="s">
        <v>125</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1.0035462826538918E-21</v>
      </c>
      <c r="BW15" s="2"/>
      <c r="BX15" s="137"/>
      <c r="BY15" s="113"/>
      <c r="BZ15" s="113"/>
      <c r="CA15" s="113"/>
      <c r="CB15" s="2"/>
      <c r="CC15" s="137"/>
      <c r="CD15" s="113"/>
      <c r="CE15" s="2"/>
    </row>
    <row r="16" spans="1:83" ht="12.75" customHeight="1" thickBot="1" x14ac:dyDescent="0.35">
      <c r="A16" s="17"/>
      <c r="B16" s="159" t="s">
        <v>126</v>
      </c>
      <c r="C16" s="295">
        <f>(M.aRA+M.cwRA)*Molweight</f>
        <v>27303.458969486273</v>
      </c>
      <c r="D16" s="446">
        <f t="shared" si="0"/>
        <v>1.0473787800618292E-6</v>
      </c>
      <c r="E16" s="296">
        <f>(M.aCA+M.cwCA)*Molweight</f>
        <v>120964.55813355632</v>
      </c>
      <c r="F16" s="446">
        <f t="shared" si="1"/>
        <v>5.6922241417032295E-5</v>
      </c>
      <c r="G16" s="296">
        <f>(M.aMA+M.cwMA)*Molweight</f>
        <v>75864.212318035119</v>
      </c>
      <c r="H16" s="446">
        <f t="shared" si="2"/>
        <v>4.0316636407598827E-6</v>
      </c>
      <c r="I16" s="296">
        <f>(M.aAA+M.cwAA)*Molweight</f>
        <v>15634.97794134946</v>
      </c>
      <c r="J16" s="446">
        <f t="shared" si="3"/>
        <v>1.3190166152531619E-6</v>
      </c>
      <c r="K16" s="296">
        <f>(M.aTA+M.cwTA)*Molweight</f>
        <v>23305.408549597967</v>
      </c>
      <c r="L16" s="461">
        <f t="shared" si="4"/>
        <v>5.308057847673177E-7</v>
      </c>
      <c r="M16" s="124">
        <f>(M.aRA+M.cwRA)*(Molweight*1000)/(VOLUME.aR + VOLUME.cwR)</f>
        <v>1.1893304425442666E-7</v>
      </c>
      <c r="N16" s="124">
        <f>(M.aCA+M.cwCA)*(Molweight*1000)/(VOLUME.aC + VOLUME.cwC)</f>
        <v>1.6802383322369305E-8</v>
      </c>
      <c r="O16" s="124">
        <f>(M.aMA+M.cwMA)*(Molweight*1000)/(VOLUME.aM + VOLUME.cwM)</f>
        <v>9.7799482124729739E-10</v>
      </c>
      <c r="P16" s="124">
        <f>(M.aAA+M.cwAA)*(Molweight*1000)/(VOLUME.aA + VOLUME.cwA)</f>
        <v>3.6788183391413802E-10</v>
      </c>
      <c r="Q16" s="124">
        <f>(M.aTA+M.cwTA)*(Molweight*1000)/(VOLUME.aT + VOLUME.cwT)</f>
        <v>1.8278751803607893E-10</v>
      </c>
      <c r="R16" s="160" t="s">
        <v>113</v>
      </c>
      <c r="S16" s="163"/>
      <c r="T16" s="163"/>
      <c r="U16" s="163"/>
      <c r="V16" s="163"/>
      <c r="W16" s="162"/>
      <c r="X16" s="17"/>
      <c r="Y16" s="156"/>
      <c r="Z16" s="17"/>
      <c r="AA16" s="312" t="s">
        <v>127</v>
      </c>
      <c r="AB16" s="162" t="s">
        <v>89</v>
      </c>
      <c r="AC16" s="161"/>
      <c r="AD16" s="163"/>
      <c r="AE16" s="163"/>
      <c r="AF16" s="163">
        <f>NETsedrate.w1R*SYSTEMAREA.R*AREAFRAC.w1R*C.sd1R*Molweight</f>
        <v>0.49762885118044409</v>
      </c>
      <c r="AG16" s="163">
        <f>(kdis.sd1S.sd1D*M.sd1RS+kdis.sd1A.sd1D*M.sd1RA+kdis.sd1P.sd1D*M.sd1RP)*Molweight</f>
        <v>7.7357840088644172E-2</v>
      </c>
      <c r="AH16" s="162">
        <f>KDEG.sd1R*VOLUME.sd1R*C.sd1R*Molweight</f>
        <v>6.9801177445401171E-13</v>
      </c>
      <c r="AI16" s="163"/>
      <c r="AJ16" s="163"/>
      <c r="AK16" s="163"/>
      <c r="AL16" s="163"/>
      <c r="AM16" s="163"/>
      <c r="AN16" s="163">
        <f>k.w1RD.sd1RD*M.w1R*Molweight</f>
        <v>4.9840648670012673</v>
      </c>
      <c r="AO16" s="162">
        <f>k.sd1RD.w1RD*M.sd1R*Molweight</f>
        <v>4.5637938559087692</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3.6869065720088565E-22</v>
      </c>
      <c r="BR16" s="113"/>
      <c r="BS16" s="113"/>
      <c r="BT16" s="138">
        <f>IF(AJ14&lt;0,"",AJ14)</f>
        <v>6.639546870849462E-21</v>
      </c>
      <c r="BU16" s="113"/>
      <c r="BV16" s="113"/>
      <c r="BW16" s="2"/>
      <c r="BX16" s="137"/>
      <c r="BY16" s="113"/>
      <c r="BZ16" s="113"/>
      <c r="CA16" s="113"/>
      <c r="CB16" s="2"/>
      <c r="CC16" s="137"/>
      <c r="CD16" s="113"/>
      <c r="CE16" s="2"/>
    </row>
    <row r="17" spans="1:83" ht="12.75" customHeight="1" x14ac:dyDescent="0.3">
      <c r="A17" s="17"/>
      <c r="B17" s="159" t="s">
        <v>128</v>
      </c>
      <c r="C17" s="295">
        <f>(M.aRP+M.cwRP)*Molweight</f>
        <v>21.911276655502284</v>
      </c>
      <c r="D17" s="446">
        <f t="shared" si="0"/>
        <v>8.4053109310014368E-10</v>
      </c>
      <c r="E17" s="296">
        <f>(M.aCP+M.cwCP)*Molweight</f>
        <v>7.6666471325835897</v>
      </c>
      <c r="F17" s="446">
        <f t="shared" si="1"/>
        <v>3.6076909276045265E-9</v>
      </c>
      <c r="G17" s="296">
        <f>(M.aMP+M.cwMP)*Molweight</f>
        <v>0.2869647678032779</v>
      </c>
      <c r="H17" s="446">
        <f t="shared" si="2"/>
        <v>1.5250213311139043E-11</v>
      </c>
      <c r="I17" s="296">
        <f>(M.aAP+M.cwAP)*Molweight</f>
        <v>7.0565069728663948E-3</v>
      </c>
      <c r="J17" s="446">
        <f t="shared" si="3"/>
        <v>5.9530943873255131E-13</v>
      </c>
      <c r="K17" s="296">
        <f>(M.aTP+M.cwTP)*Molweight</f>
        <v>2.5189928678182355E-3</v>
      </c>
      <c r="L17" s="461">
        <f t="shared" si="4"/>
        <v>5.7372776073844049E-14</v>
      </c>
      <c r="M17" s="124">
        <f>(M.aRP+M.cwRP)*(Molweight*1000)/(VOLUME.aR + VOLUME.cwR)</f>
        <v>9.5444860632940946E-11</v>
      </c>
      <c r="N17" s="124">
        <f>(M.aCP+M.cwCP)*(Molweight*1000)/(VOLUME.aC + VOLUME.cwC)</f>
        <v>1.0649230312302365E-12</v>
      </c>
      <c r="O17" s="124">
        <f>(M.aMP+M.cwMP)*(Molweight*1000)/(VOLUME.aM + VOLUME.cwM)</f>
        <v>3.6993735019024289E-15</v>
      </c>
      <c r="P17" s="124">
        <f>(M.aAP+M.cwAP)*(Molweight*1000)/(VOLUME.aA + VOLUME.cwA)</f>
        <v>1.6603545818510658E-16</v>
      </c>
      <c r="Q17" s="124">
        <f>(M.aTP+M.cwTP)*(Molweight*1000)/(VOLUME.aT + VOLUME.cwT)</f>
        <v>1.9756806806419309E-17</v>
      </c>
      <c r="R17" s="160" t="s">
        <v>113</v>
      </c>
      <c r="S17" s="163"/>
      <c r="T17" s="163"/>
      <c r="U17" s="163"/>
      <c r="V17" s="163"/>
      <c r="W17" s="162"/>
      <c r="X17" s="17"/>
      <c r="Y17" s="156"/>
      <c r="Z17" s="17"/>
      <c r="AA17" s="312" t="s">
        <v>129</v>
      </c>
      <c r="AB17" s="162" t="s">
        <v>90</v>
      </c>
      <c r="AC17" s="161"/>
      <c r="AD17" s="163"/>
      <c r="AE17" s="163"/>
      <c r="AF17" s="163">
        <f>NETsedrate.w2R*SYSTEMAREA.R*AREAFRAC.w2R*C.sd2R*Molweight</f>
        <v>8.5965001907703509E-3</v>
      </c>
      <c r="AG17" s="163">
        <f>(kdis.sd2S.sd2D*M.sd2RS+kdis.sd2A.sd2D*M.sd2RA+kdis.sd2P.sd2D*M.sd2RP)*Molweight</f>
        <v>1.3493338852163081E-4</v>
      </c>
      <c r="AH17" s="162">
        <f>KDEG.sd2R*VOLUME.sd2R*C.sd2R*Molweight</f>
        <v>3.8185384965297362E-14</v>
      </c>
      <c r="AI17" s="163"/>
      <c r="AJ17" s="163"/>
      <c r="AK17" s="163"/>
      <c r="AL17" s="163"/>
      <c r="AM17" s="163"/>
      <c r="AN17" s="163">
        <f>k.w2RD.sd2RD*M.w2R*Molweight</f>
        <v>9.2403649885452049E-2</v>
      </c>
      <c r="AO17" s="162">
        <f>k.sd2RD.w2RD*M.sd2R*Molweight</f>
        <v>8.3942083083165128E-2</v>
      </c>
      <c r="AP17" s="909">
        <f>SUM(AC17,AD17,AN17,AG17)-SUM(AE17,AF17,AH17,AO17)</f>
        <v>0</v>
      </c>
      <c r="AQ17" s="17"/>
      <c r="AR17" s="46"/>
      <c r="AS17" s="2"/>
      <c r="AT17" s="58" t="s">
        <v>130</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131</v>
      </c>
      <c r="AB18" s="162" t="s">
        <v>91</v>
      </c>
      <c r="AC18" s="161">
        <f>E.s1RD*Molweight</f>
        <v>0</v>
      </c>
      <c r="AD18" s="163"/>
      <c r="AE18" s="163"/>
      <c r="AF18" s="163">
        <f>(FRACinf.s1R*RAINrate.R/Ks1w.R*SYSTEMAREA.R*AREAFRAC.s1R*CORRleach.s1R)*C.s1R*Molweight</f>
        <v>1.1697219376463162E-5</v>
      </c>
      <c r="AG18" s="163">
        <f>(kdis.s1S.s1D*M.s1RS+kdis.s1A.s1D*M.s1RA+kdis.s1P.s1D*M.s1RP)*Molweight</f>
        <v>1.0229481991748394E-2</v>
      </c>
      <c r="AH18" s="162">
        <f>KDEG.s1R*VOLUME.s1R*C.s1R*Molweight</f>
        <v>1.4247655750206848E-12</v>
      </c>
      <c r="AI18" s="163"/>
      <c r="AJ18" s="163"/>
      <c r="AK18" s="163">
        <f>k.aRG.s1RD*M.aR*Molweight</f>
        <v>1.654199476162256E-20</v>
      </c>
      <c r="AL18" s="163">
        <f>k.s1RD.aRG*M.s1R*Molweight</f>
        <v>3.707408121432409E-21</v>
      </c>
      <c r="AM18" s="163">
        <f>k.s1RD.w1RD*M.s1R*Molweight</f>
        <v>9.3663027067015688E-3</v>
      </c>
      <c r="AN18" s="163"/>
      <c r="AO18" s="162"/>
      <c r="AP18" s="909">
        <f>SUM(AC18,AD18,AK18,AG18)-SUM(AE18,AF18,AH18,AL18,AM18,AP17)</f>
        <v>8.5148206424559558E-4</v>
      </c>
      <c r="AQ18" s="17"/>
      <c r="AR18" s="46"/>
      <c r="AS18" s="2"/>
      <c r="AT18" s="64" t="s">
        <v>132</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133</v>
      </c>
      <c r="C19" s="295">
        <f>SUM(C20,C23:C25)</f>
        <v>1885567.2283467851</v>
      </c>
      <c r="D19" s="446">
        <f t="shared" ref="D19:D25" si="5">C19/$C$103</f>
        <v>7.2331608444099597E-5</v>
      </c>
      <c r="E19" s="295">
        <f>SUM(E20,E23:E25)</f>
        <v>165948.36835367838</v>
      </c>
      <c r="F19" s="446">
        <f t="shared" ref="F19:F25" si="6">E19/$E$103</f>
        <v>7.8090254136763235E-5</v>
      </c>
      <c r="G19" s="296"/>
      <c r="H19" s="446"/>
      <c r="I19" s="296"/>
      <c r="J19" s="446"/>
      <c r="K19" s="296"/>
      <c r="L19" s="461"/>
      <c r="M19" s="459">
        <f>(M.w0RD+M.w0RS+M.w0RA+M.w0RP)*Molweight/(VOLUME.w0R)</f>
        <v>3.2997632731273316E-5</v>
      </c>
      <c r="N19" s="459">
        <f>(M.w0CD+M.w0CS+M.w0CA+M.w0CP)*Molweight/(VOLUME.w0C)</f>
        <v>1.9042568603685582E-7</v>
      </c>
      <c r="O19" s="124"/>
      <c r="P19" s="124"/>
      <c r="Q19" s="124"/>
      <c r="R19" s="160" t="s">
        <v>134</v>
      </c>
      <c r="S19" s="163"/>
      <c r="T19" s="163"/>
      <c r="U19" s="163"/>
      <c r="V19" s="163"/>
      <c r="W19" s="162"/>
      <c r="X19" s="17"/>
      <c r="Y19" s="156"/>
      <c r="Z19" s="17"/>
      <c r="AA19" s="312" t="s">
        <v>135</v>
      </c>
      <c r="AB19" s="162" t="s">
        <v>92</v>
      </c>
      <c r="AC19" s="161">
        <f>E.s2RD*Molweight</f>
        <v>0</v>
      </c>
      <c r="AD19" s="163"/>
      <c r="AE19" s="163"/>
      <c r="AF19" s="163">
        <f>(FRACinf.s2R*RAINrate.R/Ks2w.R*SYSTEMAREA.R*AREAFRAC.s2R*CORRleach.s2R)*C.s2R*Molweight</f>
        <v>3.8527936250858981E-4</v>
      </c>
      <c r="AG19" s="163">
        <f>(kdis.s2S.s2D*M.s2RS+kdis.s2A.s2D*M.s2RA+kdis.s2P.s2D*M.s2RP)*Molweight</f>
        <v>0.33693548649362676</v>
      </c>
      <c r="AH19" s="162">
        <f>KDEG.s2R*VOLUME.s2R*C.s2R*Molweight</f>
        <v>1.0312723300088333E-10</v>
      </c>
      <c r="AI19" s="163"/>
      <c r="AJ19" s="163"/>
      <c r="AK19" s="163">
        <f>k.aRG.s2RD*M.aR*Molweight</f>
        <v>3.6759988359161236E-20</v>
      </c>
      <c r="AL19" s="163">
        <f>k.s2RD.aRG*M.s2R*Molweight</f>
        <v>1.2211345206184742E-19</v>
      </c>
      <c r="AM19" s="163">
        <f>k.s2RD.w1RD*M.s2R*Molweight</f>
        <v>0.30850435644232499</v>
      </c>
      <c r="AN19" s="163"/>
      <c r="AO19" s="162"/>
      <c r="AP19" s="909">
        <f>SUM(AC19,AD19,AK19,AG19)-SUM(AE19,AF19,AH19,AL19,AM19,AP18)</f>
        <v>2.7194368521420376E-2</v>
      </c>
      <c r="AQ19" s="17"/>
      <c r="AR19" s="46"/>
      <c r="AS19" s="2"/>
      <c r="AT19" s="64" t="s">
        <v>75</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0.32133965818914439</v>
      </c>
      <c r="BU19" s="137"/>
      <c r="BV19" s="140"/>
      <c r="BW19" s="113"/>
      <c r="BX19" s="2"/>
      <c r="BY19" s="113"/>
      <c r="BZ19" s="140"/>
      <c r="CA19" s="137"/>
      <c r="CB19" s="2"/>
      <c r="CC19" s="2"/>
      <c r="CD19" s="78"/>
      <c r="CE19" s="2"/>
    </row>
    <row r="20" spans="1:83" ht="12.75" customHeight="1" x14ac:dyDescent="0.3">
      <c r="A20" s="17"/>
      <c r="B20" s="443" t="s">
        <v>116</v>
      </c>
      <c r="C20" s="295">
        <f>M.w0RD*Molweight</f>
        <v>1881741.1335167584</v>
      </c>
      <c r="D20" s="446">
        <f t="shared" si="5"/>
        <v>7.2184836910868121E-5</v>
      </c>
      <c r="E20" s="295">
        <f>M.w0CD*Molweight</f>
        <v>164002.82845348647</v>
      </c>
      <c r="F20" s="446">
        <f t="shared" si="6"/>
        <v>7.7174742241428398E-5</v>
      </c>
      <c r="G20" s="296"/>
      <c r="H20" s="446"/>
      <c r="I20" s="296"/>
      <c r="J20" s="446"/>
      <c r="K20" s="296"/>
      <c r="L20" s="461"/>
      <c r="M20" s="124">
        <f>C.w0R*Molweight</f>
        <v>3.2930675653266101E-5</v>
      </c>
      <c r="N20" s="124">
        <f>C.w0C*Molweight</f>
        <v>1.881931797827628E-7</v>
      </c>
      <c r="O20" s="124"/>
      <c r="P20" s="124"/>
      <c r="Q20" s="124"/>
      <c r="R20" s="160" t="s">
        <v>134</v>
      </c>
      <c r="S20" s="163">
        <f>F.w0R</f>
        <v>8.1816431616066438E-24</v>
      </c>
      <c r="T20" s="163">
        <f>F.w0C</f>
        <v>4.6756691500738737E-26</v>
      </c>
      <c r="U20" s="163"/>
      <c r="V20" s="163"/>
      <c r="W20" s="162"/>
      <c r="X20" s="17"/>
      <c r="Y20" s="156"/>
      <c r="Z20" s="17"/>
      <c r="AA20" s="312" t="s">
        <v>136</v>
      </c>
      <c r="AB20" s="162" t="s">
        <v>93</v>
      </c>
      <c r="AC20" s="161">
        <f>E.s3RD*Molweight</f>
        <v>0</v>
      </c>
      <c r="AD20" s="163"/>
      <c r="AE20" s="163"/>
      <c r="AF20" s="163">
        <f>(FRACinf.s3R*RAINrate.R/Ks3w.R*SYSTEMAREA.R*AREAFRAC.s3R*CORRleach.s3R)*C.s3R*Molweight</f>
        <v>4.3323010220420566E-6</v>
      </c>
      <c r="AG20" s="163">
        <f>(kdis.s3S.s3D*M.s3RS+kdis.s3A.s3D*M.s3RA+kdis.s3P.s3D*M.s3RP)*Molweight</f>
        <v>3.7886948907691932E-3</v>
      </c>
      <c r="AH20" s="162">
        <f>KDEG.s3R*VOLUME.s3R*C.s3R*Molweight</f>
        <v>5.2769065520414373E-13</v>
      </c>
      <c r="AI20" s="163"/>
      <c r="AJ20" s="163"/>
      <c r="AK20" s="163">
        <f>k.aRG.s3RD*M.aR*Molweight</f>
        <v>6.1266647265268737E-21</v>
      </c>
      <c r="AL20" s="163">
        <f>k.s3RD.aRG*M.s3R*Molweight</f>
        <v>1.3731133422980331E-21</v>
      </c>
      <c r="AM20" s="163">
        <f>k.s3RD.w1RD*M.s3R*Molweight</f>
        <v>3.4689990401178383E-3</v>
      </c>
      <c r="AN20" s="163"/>
      <c r="AO20" s="162"/>
      <c r="AP20" s="909">
        <f>SUM(AC20,AD20,AK20,AG20)-SUM(AE20,AF20,AH20,AL20,AM20,AP19)</f>
        <v>-2.6879004972318755E-2</v>
      </c>
      <c r="AQ20" s="17"/>
      <c r="AR20" s="46"/>
      <c r="AS20" s="2"/>
      <c r="AT20" s="64" t="s">
        <v>77</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2.6804325705597197E-22</v>
      </c>
      <c r="BR20" s="113"/>
      <c r="BS20" s="113"/>
      <c r="BT20" s="138">
        <f>IF(AI14&lt;0,"",AI14)</f>
        <v>1.6848327997952945E-21</v>
      </c>
      <c r="BU20" s="137"/>
      <c r="BV20" s="136">
        <f>IF(AI13&lt;0,"",AI13)</f>
        <v>1.5316661816320857E-22</v>
      </c>
      <c r="BW20" s="114"/>
      <c r="BX20" s="299">
        <f>IF(AK18&lt;0,"",AK18)</f>
        <v>1.654199476162256E-20</v>
      </c>
      <c r="BY20" s="113"/>
      <c r="BZ20" s="138">
        <f>IF(AK20&lt;0,"",AK20)</f>
        <v>6.1266647265268737E-21</v>
      </c>
      <c r="CA20" s="137"/>
      <c r="CB20" s="136">
        <f>IF(AK19&lt;0,"",AK19)</f>
        <v>3.6759988359161236E-20</v>
      </c>
      <c r="CC20" s="140"/>
      <c r="CD20" s="2"/>
      <c r="CE20" s="2"/>
    </row>
    <row r="21" spans="1:83" ht="12.75" customHeight="1" thickBot="1" x14ac:dyDescent="0.35">
      <c r="A21" s="17"/>
      <c r="B21" s="159" t="s">
        <v>137</v>
      </c>
      <c r="C21" s="295">
        <f>FRwD.w0R*C20</f>
        <v>1796034.3732263946</v>
      </c>
      <c r="D21" s="446">
        <f t="shared" si="5"/>
        <v>6.8897068788290874E-5</v>
      </c>
      <c r="E21" s="295">
        <f>FRw.w0C*E20</f>
        <v>156533.07033700458</v>
      </c>
      <c r="F21" s="446">
        <f t="shared" si="6"/>
        <v>7.3659701295602245E-5</v>
      </c>
      <c r="G21" s="296"/>
      <c r="H21" s="446"/>
      <c r="I21" s="296"/>
      <c r="J21" s="446"/>
      <c r="K21" s="296"/>
      <c r="L21" s="461"/>
      <c r="M21" s="124">
        <f>M20*FRwD.w0R</f>
        <v>3.1430797973949236E-5</v>
      </c>
      <c r="N21" s="124">
        <f>N20*FRw.w0C</f>
        <v>1.796216353441404E-7</v>
      </c>
      <c r="O21" s="124"/>
      <c r="P21" s="124"/>
      <c r="Q21" s="124"/>
      <c r="R21" s="160" t="s">
        <v>134</v>
      </c>
      <c r="S21" s="163">
        <f>S20*FRwD.w0R</f>
        <v>7.8089977872013917E-24</v>
      </c>
      <c r="T21" s="163">
        <f>T20*FRw.w0C</f>
        <v>4.4627086913238965E-26</v>
      </c>
      <c r="U21" s="163"/>
      <c r="V21" s="163"/>
      <c r="W21" s="162"/>
      <c r="X21" s="17"/>
      <c r="Y21" s="156"/>
      <c r="Z21" s="17"/>
      <c r="AA21" s="907" t="s">
        <v>138</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4.5110232652798999E-3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139</v>
      </c>
      <c r="C22" s="295">
        <f>(1-FRwD.w0R)*C20</f>
        <v>85706.760290363818</v>
      </c>
      <c r="D22" s="446">
        <f t="shared" si="5"/>
        <v>3.2877681225772507E-6</v>
      </c>
      <c r="E22" s="295">
        <f>(1-FRw.w0C)*E20</f>
        <v>7469.7581164818821</v>
      </c>
      <c r="F22" s="446">
        <f t="shared" si="6"/>
        <v>3.5150409458261502E-6</v>
      </c>
      <c r="G22" s="296"/>
      <c r="H22" s="446"/>
      <c r="I22" s="296"/>
      <c r="J22" s="446"/>
      <c r="K22" s="296"/>
      <c r="L22" s="461"/>
      <c r="M22" s="124">
        <f>M21*Kp.susp1R</f>
        <v>2.9859258075251773</v>
      </c>
      <c r="N22" s="124">
        <f>N21*Kp.susp1C</f>
        <v>1.7064055357693338E-2</v>
      </c>
      <c r="O22" s="124"/>
      <c r="P22" s="124"/>
      <c r="Q22" s="124"/>
      <c r="R22" s="160" t="s">
        <v>140</v>
      </c>
      <c r="S22" s="163">
        <f>S20*(1-FRwD.w0R)</f>
        <v>3.7264537440525159E-25</v>
      </c>
      <c r="T22" s="163">
        <f>T20*(1-FRw.w0C)</f>
        <v>2.1296045874997702E-27</v>
      </c>
      <c r="U22" s="163"/>
      <c r="V22" s="163"/>
      <c r="W22" s="162"/>
      <c r="X22" s="17"/>
      <c r="Y22" s="156"/>
      <c r="Z22" s="17"/>
      <c r="AA22" s="312" t="s">
        <v>117</v>
      </c>
      <c r="AB22" s="162" t="s">
        <v>94</v>
      </c>
      <c r="AC22" s="161">
        <f>E.aCG*Molweight</f>
        <v>0</v>
      </c>
      <c r="AD22" s="163">
        <f>(k.aR.aC*M.aR+k.aM.aC*M.aM)*Molweight</f>
        <v>3.1406136402777783E-19</v>
      </c>
      <c r="AE22" s="163">
        <f>(k.aC.aM+k.aC.aR)*M.aC*Molweight</f>
        <v>6.0255599257692185E-20</v>
      </c>
      <c r="AF22" s="163">
        <f>kesc.aC*VOLUME.aC*C.aC*Molweight</f>
        <v>1.3121805334544201E-23</v>
      </c>
      <c r="AG22" s="163"/>
      <c r="AH22" s="162">
        <f>KDEG.aC*VOLUME.aC*C.aC*Molweight</f>
        <v>1.3641580817153377E-46</v>
      </c>
      <c r="AI22" s="163">
        <f>SUM(AI23:AI25,AK28:AK30)</f>
        <v>2.7929316238917349E-19</v>
      </c>
      <c r="AJ22" s="163">
        <f>SUM(AJ23:AJ25,AL28:AL30)</f>
        <v>2.550051942442225E-20</v>
      </c>
      <c r="AK22" s="163"/>
      <c r="AL22" s="163"/>
      <c r="AM22" s="163"/>
      <c r="AN22" s="163"/>
      <c r="AO22" s="162"/>
      <c r="AP22" s="909">
        <f>SUM(AC22,AD22,AJ22,AL22)-SUM(AE22,AF22,AH22,AI22,AK22)</f>
        <v>0</v>
      </c>
      <c r="AQ22" s="17"/>
      <c r="AR22" s="46"/>
      <c r="AS22" s="2"/>
      <c r="AT22" s="58" t="s">
        <v>141</v>
      </c>
      <c r="AU22" s="11"/>
      <c r="AV22" s="11"/>
      <c r="AW22" s="11"/>
      <c r="AX22" s="11"/>
      <c r="AY22" s="11"/>
      <c r="AZ22" s="11"/>
      <c r="BA22" s="11"/>
      <c r="BB22" s="11"/>
      <c r="BC22" s="11"/>
      <c r="BD22" s="11"/>
      <c r="BE22" s="11"/>
      <c r="BF22" s="11"/>
      <c r="BG22" s="11"/>
      <c r="BH22" s="11"/>
      <c r="BI22" s="11"/>
      <c r="BJ22" s="11"/>
      <c r="BK22" s="2"/>
      <c r="BL22" s="62"/>
      <c r="BM22" s="2"/>
      <c r="BN22" s="134">
        <f>AE14</f>
        <v>6.2804291853587102E-2</v>
      </c>
      <c r="BO22" s="113"/>
      <c r="BP22" s="113"/>
      <c r="BQ22" s="137"/>
      <c r="BR22" s="113"/>
      <c r="BS22" s="130">
        <f>AD14</f>
        <v>4.511023265279899E-3</v>
      </c>
      <c r="BT22" s="113"/>
      <c r="BU22" s="137"/>
      <c r="BV22" s="137"/>
      <c r="BW22" s="113"/>
      <c r="BX22" s="137"/>
      <c r="BY22" s="113"/>
      <c r="BZ22" s="137"/>
      <c r="CA22" s="137"/>
      <c r="CB22" s="113"/>
      <c r="CC22" s="137"/>
      <c r="CD22" s="113"/>
      <c r="CE22" s="2"/>
    </row>
    <row r="23" spans="1:83" ht="12.75" customHeight="1" x14ac:dyDescent="0.3">
      <c r="A23" s="17"/>
      <c r="B23" s="159" t="s">
        <v>123</v>
      </c>
      <c r="C23" s="295">
        <f>M.w0RS*Molweight</f>
        <v>0.20211887102730647</v>
      </c>
      <c r="D23" s="446">
        <f t="shared" si="5"/>
        <v>7.7534138367098462E-12</v>
      </c>
      <c r="E23" s="295">
        <f>M.w0CS*Molweight</f>
        <v>2.0276656051959958E-2</v>
      </c>
      <c r="F23" s="446">
        <f t="shared" si="6"/>
        <v>9.5415775391454384E-12</v>
      </c>
      <c r="G23" s="296"/>
      <c r="H23" s="446"/>
      <c r="I23" s="296"/>
      <c r="J23" s="446"/>
      <c r="K23" s="296"/>
      <c r="L23" s="461"/>
      <c r="M23" s="124">
        <f>C.w0RS*Molweight</f>
        <v>3.5371023498675498E-12</v>
      </c>
      <c r="N23" s="124">
        <f>C.w0CS*Molweight</f>
        <v>2.3267454676014914E-14</v>
      </c>
      <c r="O23" s="124"/>
      <c r="P23" s="124"/>
      <c r="Q23" s="124"/>
      <c r="R23" s="160" t="s">
        <v>134</v>
      </c>
      <c r="S23" s="163"/>
      <c r="T23" s="163"/>
      <c r="U23" s="163"/>
      <c r="V23" s="163"/>
      <c r="W23" s="162"/>
      <c r="X23" s="17"/>
      <c r="Y23" s="156"/>
      <c r="Z23" s="17"/>
      <c r="AA23" s="312" t="s">
        <v>119</v>
      </c>
      <c r="AB23" s="162" t="s">
        <v>142</v>
      </c>
      <c r="AC23" s="161">
        <f>E.w0CD*Molweight</f>
        <v>0</v>
      </c>
      <c r="AD23" s="163">
        <f>k.w1C.w0C*M.w1C*Molweight</f>
        <v>0</v>
      </c>
      <c r="AE23" s="163">
        <f>(k.w0C.w1C+k.w0C.w2C)*M.w0C*Molweight</f>
        <v>3.9315746547068678E-4</v>
      </c>
      <c r="AF23" s="163"/>
      <c r="AG23" s="163">
        <f>(kdis.w0S.w0D*M.w0CS+kdis.w0A.w0D*M.w0CA+kdis.w0P.w0D*M.w0CP)*Molweight</f>
        <v>2.5681126682533208E-4</v>
      </c>
      <c r="AH23" s="162">
        <f>KDEG.w0C*VOLUME.w0C*C.w0C*Molweight</f>
        <v>6.3572180745115568E-16</v>
      </c>
      <c r="AI23" s="163">
        <f>k.aC.w0C*M.aC*Molweight</f>
        <v>3.380807991050363E-22</v>
      </c>
      <c r="AJ23" s="163">
        <f>k.w0C.aC*M.w0C*Molweight</f>
        <v>8.7463905586009477E-23</v>
      </c>
      <c r="AK23" s="163"/>
      <c r="AL23" s="163"/>
      <c r="AM23" s="163"/>
      <c r="AN23" s="163">
        <f>k.w0C.sd0C*M.w0CD*Molweight</f>
        <v>2.1613883438894332E-3</v>
      </c>
      <c r="AO23" s="162">
        <f>k.sd0C.w0C*M.sd0CD*Molweight</f>
        <v>0</v>
      </c>
      <c r="AP23" s="909">
        <f>SUM(AC23,AD23,AI23,AM23,AO23,AG23)-SUM(AF23,AE23,AH23,AJ23,AN23)</f>
        <v>-2.2977345425354233E-3</v>
      </c>
      <c r="AQ23" s="17"/>
      <c r="AR23" s="46"/>
      <c r="AS23" s="2"/>
      <c r="AT23" s="64" t="s">
        <v>143</v>
      </c>
      <c r="AU23" s="11"/>
      <c r="AV23" s="11"/>
      <c r="AW23" s="11"/>
      <c r="AX23" s="11"/>
      <c r="AY23" s="11"/>
      <c r="AZ23" s="11"/>
      <c r="BA23" s="11"/>
      <c r="BB23" s="11"/>
      <c r="BC23" s="11"/>
      <c r="BD23" s="11"/>
      <c r="BE23" s="11"/>
      <c r="BF23" s="11"/>
      <c r="BG23" s="11"/>
      <c r="BH23" s="11"/>
      <c r="BI23" s="11"/>
      <c r="BJ23" s="11"/>
      <c r="BK23" s="2"/>
      <c r="BL23" s="62"/>
      <c r="BM23" s="2"/>
      <c r="BN23" s="134">
        <f>AE15</f>
        <v>0.13334311218805653</v>
      </c>
      <c r="BO23" s="132"/>
      <c r="BP23" s="130">
        <f>AD15</f>
        <v>6.4125705416497841E-2</v>
      </c>
      <c r="BQ23" s="301"/>
      <c r="BR23" s="134"/>
      <c r="BS23" s="135"/>
      <c r="BT23" s="55">
        <f>AH14</f>
        <v>1.447764552398944E-15</v>
      </c>
      <c r="BU23" s="113"/>
      <c r="BV23" s="940">
        <f>AH13</f>
        <v>7.2941661179565417E-15</v>
      </c>
      <c r="BW23" s="113"/>
      <c r="BX23" s="137"/>
      <c r="BY23" s="113"/>
      <c r="BZ23" s="2"/>
      <c r="CA23" s="113"/>
      <c r="CB23" s="2"/>
      <c r="CC23" s="141"/>
      <c r="CD23" s="113"/>
      <c r="CE23" s="2"/>
    </row>
    <row r="24" spans="1:83" ht="12.75" customHeight="1" thickBot="1" x14ac:dyDescent="0.4">
      <c r="A24" s="17"/>
      <c r="B24" s="159" t="s">
        <v>126</v>
      </c>
      <c r="C24" s="295">
        <f>M.w0RA*Molweight</f>
        <v>3819.2670375090693</v>
      </c>
      <c r="D24" s="446">
        <f t="shared" si="5"/>
        <v>1.4650961458572554E-7</v>
      </c>
      <c r="E24" s="295">
        <f>M.w0CA*Molweight</f>
        <v>1944.5230245105445</v>
      </c>
      <c r="F24" s="446">
        <f t="shared" si="6"/>
        <v>9.1503338457169028E-7</v>
      </c>
      <c r="G24" s="296"/>
      <c r="H24" s="446"/>
      <c r="I24" s="296"/>
      <c r="J24" s="446"/>
      <c r="K24" s="296"/>
      <c r="L24" s="461"/>
      <c r="M24" s="124">
        <f>C.w0RA*Molweight</f>
        <v>6.6837590891351777E-8</v>
      </c>
      <c r="N24" s="124">
        <f>C.w0CA*Molweight</f>
        <v>2.2313393896570632E-9</v>
      </c>
      <c r="O24" s="124"/>
      <c r="P24" s="124"/>
      <c r="Q24" s="124"/>
      <c r="R24" s="160" t="s">
        <v>134</v>
      </c>
      <c r="S24" s="163"/>
      <c r="T24" s="163"/>
      <c r="U24" s="163"/>
      <c r="V24" s="163"/>
      <c r="W24" s="162"/>
      <c r="X24" s="17"/>
      <c r="Y24" s="156"/>
      <c r="Z24" s="17"/>
      <c r="AA24" s="312" t="s">
        <v>122</v>
      </c>
      <c r="AB24" s="162" t="s">
        <v>95</v>
      </c>
      <c r="AC24" s="161">
        <f>E.w1CD*Molweight</f>
        <v>0</v>
      </c>
      <c r="AD24" s="163">
        <f>k.w0C.w1C*M.w0C*Molweight</f>
        <v>3.9315746547068678E-4</v>
      </c>
      <c r="AE24" s="163">
        <f>(k.w1C.w0C+k.w1C.w1R+k.w1C.w2C)*M.w1C*Molweight</f>
        <v>3.1541737600832335E-3</v>
      </c>
      <c r="AF24" s="163"/>
      <c r="AG24" s="163">
        <f>(kdis.w1S.w1D*M.w1CS+kdis.w1A.w1D*M.w1CA+kdis.w1P.w1D*M.w1CP)*Molweight</f>
        <v>1.7335582164592939E-3</v>
      </c>
      <c r="AH24" s="162">
        <f>KDEG.w1C*VOLUME.w1C*C.w1C*Molweight</f>
        <v>7.2710014350628771E-17</v>
      </c>
      <c r="AI24" s="163">
        <f>k.aC.w1C*M.aC*Molweight</f>
        <v>3.7188887901553986E-21</v>
      </c>
      <c r="AJ24" s="163">
        <f>k.w1C.aC*M.w1C*Molweight</f>
        <v>3.3345307941211955E-22</v>
      </c>
      <c r="AK24" s="163"/>
      <c r="AL24" s="163"/>
      <c r="AM24" s="163">
        <f>(k.s1C.w1C*M.s1C+k.s2C.w1C*M.s2C+k.s3C.w1C*M.s3C)*Molweight</f>
        <v>2.5275079967889663E-2</v>
      </c>
      <c r="AN24" s="163">
        <f>k.w1C.sd1C*M.w1C*Molweight</f>
        <v>0.2462689772482394</v>
      </c>
      <c r="AO24" s="162">
        <f>k.sd1C.w1C*M.sd1C*Molweight</f>
        <v>0.22202135535850309</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128</v>
      </c>
      <c r="C25" s="295">
        <f>M.w0RP*Molweight</f>
        <v>6.6256736465689618</v>
      </c>
      <c r="D25" s="446">
        <f t="shared" si="5"/>
        <v>2.5416523191390285E-10</v>
      </c>
      <c r="E25" s="295">
        <f>M.w0CP*Molweight</f>
        <v>0.99659902531361388</v>
      </c>
      <c r="F25" s="446">
        <f t="shared" si="6"/>
        <v>4.6896918560432231E-10</v>
      </c>
      <c r="G25" s="296"/>
      <c r="H25" s="446"/>
      <c r="I25" s="296"/>
      <c r="J25" s="446"/>
      <c r="K25" s="296"/>
      <c r="L25" s="461"/>
      <c r="M25" s="124">
        <f>C.w0RP*Molweight</f>
        <v>1.1595001350254124E-10</v>
      </c>
      <c r="N25" s="124">
        <f>C.w0CP*Molweight</f>
        <v>1.1435969812884285E-12</v>
      </c>
      <c r="O25" s="124"/>
      <c r="P25" s="124"/>
      <c r="Q25" s="124"/>
      <c r="R25" s="160" t="s">
        <v>134</v>
      </c>
      <c r="S25" s="163"/>
      <c r="T25" s="163"/>
      <c r="U25" s="163"/>
      <c r="V25" s="163"/>
      <c r="W25" s="162"/>
      <c r="X25" s="17"/>
      <c r="Y25" s="156"/>
      <c r="Z25" s="17"/>
      <c r="AA25" s="312" t="s">
        <v>124</v>
      </c>
      <c r="AB25" s="162" t="s">
        <v>96</v>
      </c>
      <c r="AC25" s="161">
        <f>E.w2CD*Molweight</f>
        <v>0</v>
      </c>
      <c r="AD25" s="163">
        <f>(k.w2M.w2C*M.w2M+k.w2R.w2C*M.w2R+k.w1C.w2C*M.w1C)*Molweight</f>
        <v>2.7778193625750891</v>
      </c>
      <c r="AE25" s="163">
        <f>(k.w2C.w2M+k.w2C.w2R)*M.w2C*Molweight</f>
        <v>2.5240203610854541</v>
      </c>
      <c r="AF25" s="163"/>
      <c r="AG25" s="163">
        <f>(kdis.w2S.w2D*M.w2CS+kdis.w2A.w2D*M.w2CA+kdis.w2P.w2D*M.w2CP)*Molweight</f>
        <v>9.6799959392852117E-2</v>
      </c>
      <c r="AH25" s="162">
        <f>KDEG.w2C*VOLUME.w2C*C.w2C*Molweight</f>
        <v>2.1914367347750468E-13</v>
      </c>
      <c r="AI25" s="163">
        <f>k.aC.w2C*M.aC*Molweight</f>
        <v>1.4406084274718664E-19</v>
      </c>
      <c r="AJ25" s="163">
        <f>k.w2C.aC*M.w2C*Molweight</f>
        <v>1.5075117246375433E-20</v>
      </c>
      <c r="AK25" s="163"/>
      <c r="AL25" s="163"/>
      <c r="AM25" s="163"/>
      <c r="AN25" s="163">
        <f>k.w2C.sd2C*M.w2C*Molweight</f>
        <v>3.7172926531290233</v>
      </c>
      <c r="AO25" s="162">
        <f>k.sd2C.w2C*M.sd2C*Molweight</f>
        <v>3.3666936922467556</v>
      </c>
      <c r="AP25" s="909">
        <f>SUM(AC25,AD25,AI25,AM25,AO25,AG25)-SUM(AF25,AE25,AH25,AJ25,AN25)</f>
        <v>0</v>
      </c>
      <c r="AQ25" s="17"/>
      <c r="AR25" s="46"/>
      <c r="AS25" s="2"/>
      <c r="AT25" s="58" t="s">
        <v>144</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145</v>
      </c>
      <c r="BU25" s="140"/>
      <c r="BV25" s="98" t="s">
        <v>146</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127</v>
      </c>
      <c r="AB26" s="162" t="s">
        <v>97</v>
      </c>
      <c r="AC26" s="161"/>
      <c r="AD26" s="163"/>
      <c r="AE26" s="163"/>
      <c r="AF26" s="163">
        <f>(NETsedrate.w1C*SYSTEMAREA.C*AREAFRAC.w1C)*C.sd1C*Molweight</f>
        <v>2.4450224834713399E-2</v>
      </c>
      <c r="AG26" s="163">
        <f>(kdis.sd1S.sd1D*M.sd1CS+kdis.sd1A.sd1D*M.sd1CA+kdis.sd1P.sd1D*M.sd1CP)*Molweight</f>
        <v>2.0260294501162369E-4</v>
      </c>
      <c r="AH26" s="162">
        <f>KDEG.sd1C*VOLUME.sd1C*C.sd1C*Molweight</f>
        <v>3.4547974244029533E-14</v>
      </c>
      <c r="AI26" s="163"/>
      <c r="AJ26" s="163"/>
      <c r="AK26" s="163"/>
      <c r="AL26" s="163"/>
      <c r="AM26" s="163"/>
      <c r="AN26" s="163">
        <f>k.w1C.sd1C*M.w1C*Molweight</f>
        <v>0.2462689772482394</v>
      </c>
      <c r="AO26" s="162">
        <f>k.sd1C.w1C*M.sd1C*Molweight</f>
        <v>0.22202135535850309</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4.5637938559087692</v>
      </c>
      <c r="BT26" s="82">
        <f>IF(ISERROR(D36),0,D36)</f>
        <v>3.3164555099582473E-5</v>
      </c>
      <c r="BU26" s="113"/>
      <c r="BV26" s="82">
        <f>IF(ISERROR(F36),0,D20)</f>
        <v>7.2184836910868121E-5</v>
      </c>
      <c r="BW26" s="2"/>
      <c r="BX26" s="76" t="s">
        <v>147</v>
      </c>
      <c r="BY26" s="42"/>
      <c r="BZ26" s="76" t="s">
        <v>148</v>
      </c>
      <c r="CA26" s="113"/>
      <c r="CB26" s="113"/>
      <c r="CC26" s="76" t="s">
        <v>149</v>
      </c>
      <c r="CD26" s="94"/>
      <c r="CE26" s="2"/>
    </row>
    <row r="27" spans="1:83" ht="12.75" customHeight="1" x14ac:dyDescent="0.35">
      <c r="A27" s="17"/>
      <c r="B27" s="104" t="s">
        <v>150</v>
      </c>
      <c r="C27" s="295">
        <f>SUM(C28,C31:C33)</f>
        <v>8707196.4060070366</v>
      </c>
      <c r="D27" s="446">
        <f t="shared" ref="D27:D33" si="7">C27/$C$103</f>
        <v>3.3401382439032356E-4</v>
      </c>
      <c r="E27" s="295">
        <f>SUM(E28,E31:E33)</f>
        <v>752423.0027627676</v>
      </c>
      <c r="F27" s="446">
        <f t="shared" ref="F27:F33" si="8">E27/$E$103</f>
        <v>3.5406737702214133E-4</v>
      </c>
      <c r="G27" s="296"/>
      <c r="H27" s="446"/>
      <c r="I27" s="296"/>
      <c r="J27" s="446"/>
      <c r="K27" s="296"/>
      <c r="L27" s="461"/>
      <c r="M27" s="459">
        <f>((M.sd0RD+M.sd0RS+M.sd0RA+M.sd0RP)*Molweight*1000/(VOLUME.sd0R))/(FRACw.sdR*1000+FRACs.sdR*RHOsolid)</f>
        <v>0.39070997297610843</v>
      </c>
      <c r="N27" s="459">
        <f>((M.sd0CD+M.sd0CS+M.sd0CA+M.sd0CP)*Molweight*1000/(VOLUME.sd0C))/(FRACw.sdC*1000+FRACs.sdC*RHOsolid)</f>
        <v>2.2138592140474181E-3</v>
      </c>
      <c r="O27" s="124"/>
      <c r="P27" s="124"/>
      <c r="Q27" s="124"/>
      <c r="R27" s="160" t="s">
        <v>151</v>
      </c>
      <c r="S27" s="163"/>
      <c r="T27" s="163"/>
      <c r="U27" s="163"/>
      <c r="V27" s="163"/>
      <c r="W27" s="162"/>
      <c r="X27" s="17"/>
      <c r="Y27" s="156"/>
      <c r="Z27" s="17"/>
      <c r="AA27" s="312" t="s">
        <v>129</v>
      </c>
      <c r="AB27" s="162" t="s">
        <v>98</v>
      </c>
      <c r="AC27" s="161"/>
      <c r="AD27" s="163"/>
      <c r="AE27" s="163"/>
      <c r="AF27" s="163">
        <f>(NETsedrate.w2C*SYSTEMAREA.C*AREAFRAC.w2C)*C.sd2C*Molweight</f>
        <v>0.35060406906065839</v>
      </c>
      <c r="AG27" s="163">
        <f>(kdis.sd2S.sd2D*M.sd2CS+kdis.sd2A.sd2D*M.sd2CA+kdis.sd2P.sd2D*M.sd2CP)*Molweight</f>
        <v>5.1081799500079375E-6</v>
      </c>
      <c r="AH27" s="162">
        <f>KDEG.sd2C*VOLUME.sd2C*C.sd2C*Molweight</f>
        <v>1.5590090981757306E-12</v>
      </c>
      <c r="AI27" s="163"/>
      <c r="AJ27" s="163"/>
      <c r="AK27" s="163"/>
      <c r="AL27" s="163"/>
      <c r="AM27" s="163"/>
      <c r="AN27" s="163">
        <f>k.w2C.sd2C*M.w2C*Molweight</f>
        <v>3.7172926531290233</v>
      </c>
      <c r="AO27" s="162">
        <f>k.sd2C.w2C*M.sd2C*Molweight</f>
        <v>3.3666936922467556</v>
      </c>
      <c r="AP27" s="909">
        <f>SUM(AC27,AD27,AN27,AG27)-SUM(AE27,AF27,AH27,AO27)</f>
        <v>0</v>
      </c>
      <c r="AQ27" s="17"/>
      <c r="AR27" s="46"/>
      <c r="AS27" s="2"/>
      <c r="AT27" s="58" t="s">
        <v>152</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1.3457627676964533E-2</v>
      </c>
      <c r="BY27" s="42"/>
      <c r="BZ27" s="96">
        <f>IF(ISERROR(D92),0,D92)</f>
        <v>4.9843037274730157E-3</v>
      </c>
      <c r="CA27" s="113"/>
      <c r="CB27" s="113"/>
      <c r="CC27" s="96">
        <f>IF(ISERROR(D84),0,D84)</f>
        <v>0.97408860054841595</v>
      </c>
      <c r="CD27" s="2"/>
      <c r="CE27" s="2"/>
    </row>
    <row r="28" spans="1:83" ht="12.75" customHeight="1" x14ac:dyDescent="0.3">
      <c r="A28" s="17"/>
      <c r="B28" s="443" t="s">
        <v>116</v>
      </c>
      <c r="C28" s="295">
        <f>M.sd0RD*Molweight</f>
        <v>8707168.06830463</v>
      </c>
      <c r="D28" s="446">
        <f t="shared" si="7"/>
        <v>3.340127373372799E-4</v>
      </c>
      <c r="E28" s="295">
        <f>M.sd0CD*Molweight</f>
        <v>752413.75551193312</v>
      </c>
      <c r="F28" s="446">
        <f t="shared" si="8"/>
        <v>3.5406302554719224E-4</v>
      </c>
      <c r="G28" s="296"/>
      <c r="H28" s="446"/>
      <c r="I28" s="296"/>
      <c r="J28" s="446"/>
      <c r="K28" s="296"/>
      <c r="L28" s="461"/>
      <c r="M28" s="124">
        <f>C.sd0RD*(Molweight*1000)/(FRACw.sdR*1000+FRACs.sdR*RHOsolid)</f>
        <v>0.39070870140459152</v>
      </c>
      <c r="N28" s="124">
        <f>C.sd0CD*(Molweight*1000)/(FRACw.sdC*1000+FRACs.sdC*RHOsolid)</f>
        <v>2.2138320057996782E-3</v>
      </c>
      <c r="O28" s="124"/>
      <c r="P28" s="124"/>
      <c r="Q28" s="124"/>
      <c r="R28" s="160" t="s">
        <v>151</v>
      </c>
      <c r="S28" s="163"/>
      <c r="T28" s="163"/>
      <c r="U28" s="163"/>
      <c r="V28" s="163"/>
      <c r="W28" s="162"/>
      <c r="X28" s="17"/>
      <c r="Y28" s="156"/>
      <c r="Z28" s="17"/>
      <c r="AA28" s="312" t="s">
        <v>131</v>
      </c>
      <c r="AB28" s="162" t="s">
        <v>99</v>
      </c>
      <c r="AC28" s="161">
        <f>E.s1CD*Molweight</f>
        <v>0</v>
      </c>
      <c r="AD28" s="163"/>
      <c r="AE28" s="163"/>
      <c r="AF28" s="163">
        <f>(FRACinf.s1C*RAINrate.C/Ks1w.C*SYSTEMAREA.C*AREAFRAC.s1C*CORRleach.s1C)*C.s1C*Molweight</f>
        <v>8.7039465657365807E-6</v>
      </c>
      <c r="AG28" s="163">
        <f>(kdis.s1S.s1D*M.s1CS+kdis.s1A.s1D*M.s1CA+kdis.s1P.s1D*M.s1CP)*Molweight</f>
        <v>7.6117974525210927E-3</v>
      </c>
      <c r="AH28" s="162">
        <f>KDEG.s1C*VOLUME.s1C*C.s1C*Molweight</f>
        <v>1.0601736220006382E-12</v>
      </c>
      <c r="AI28" s="163"/>
      <c r="AJ28" s="163"/>
      <c r="AK28" s="163">
        <f>k.aC.s1C*M.aC*Molweight</f>
        <v>3.651272630333622E-20</v>
      </c>
      <c r="AL28" s="163">
        <f>k.s1C.aC*M.s1C*Molweight</f>
        <v>2.7586968447609464E-21</v>
      </c>
      <c r="AM28" s="163">
        <f>k.s1C.w1C*M.s1C*Molweight</f>
        <v>6.9695023794872522E-3</v>
      </c>
      <c r="AN28" s="163"/>
      <c r="AO28" s="162"/>
      <c r="AP28" s="909">
        <f>SUM(AC28,AD28,AK28,AG28)-SUM(AE28,AF28,AH28,AL28,AM28,AP27)</f>
        <v>6.3359112540792989E-4</v>
      </c>
      <c r="AQ28" s="17"/>
      <c r="AR28" s="46"/>
      <c r="AS28" s="2"/>
      <c r="AT28" s="64" t="s">
        <v>153</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4.9840648670012673</v>
      </c>
      <c r="BT28" s="22">
        <f>AH16</f>
        <v>6.9801177445401171E-13</v>
      </c>
      <c r="BU28" s="113"/>
      <c r="BV28" s="113"/>
      <c r="BW28" s="113"/>
      <c r="BX28" s="2"/>
      <c r="BY28" s="42"/>
      <c r="BZ28" s="113"/>
      <c r="CA28" s="113"/>
      <c r="CB28" s="113"/>
      <c r="CC28" s="113"/>
      <c r="CD28" s="2"/>
      <c r="CE28" s="2"/>
    </row>
    <row r="29" spans="1:83" ht="12.75" customHeight="1" thickBot="1" x14ac:dyDescent="0.4">
      <c r="A29" s="17"/>
      <c r="B29" s="159" t="s">
        <v>154</v>
      </c>
      <c r="C29" s="295">
        <f>C28*FRACw.sdR</f>
        <v>6965734.454643704</v>
      </c>
      <c r="D29" s="446">
        <f t="shared" si="7"/>
        <v>2.672101898698239E-4</v>
      </c>
      <c r="E29" s="295">
        <f>E28*FRACw.sdC</f>
        <v>601931.0044095465</v>
      </c>
      <c r="F29" s="446">
        <f t="shared" si="8"/>
        <v>2.8325042043775376E-4</v>
      </c>
      <c r="G29" s="296"/>
      <c r="H29" s="446"/>
      <c r="I29" s="296"/>
      <c r="J29" s="446"/>
      <c r="K29" s="296"/>
      <c r="L29" s="461"/>
      <c r="M29" s="124">
        <f>M30/Kp.sd0R</f>
        <v>2.1385440146267455E-2</v>
      </c>
      <c r="N29" s="124">
        <f>N30/Kp.sd0C</f>
        <v>1.211740912954335E-4</v>
      </c>
      <c r="O29" s="124"/>
      <c r="P29" s="124"/>
      <c r="Q29" s="124"/>
      <c r="R29" s="160" t="s">
        <v>134</v>
      </c>
      <c r="S29" s="163"/>
      <c r="T29" s="163"/>
      <c r="U29" s="163"/>
      <c r="V29" s="163"/>
      <c r="W29" s="162"/>
      <c r="X29" s="17"/>
      <c r="Y29" s="156"/>
      <c r="Z29" s="17"/>
      <c r="AA29" s="312" t="s">
        <v>135</v>
      </c>
      <c r="AB29" s="162" t="s">
        <v>100</v>
      </c>
      <c r="AC29" s="161">
        <f>E.s2CD*Molweight</f>
        <v>0</v>
      </c>
      <c r="AD29" s="163"/>
      <c r="AE29" s="163"/>
      <c r="AF29" s="163">
        <f>(FRACinf.s2C*RAINrate.C/Ks2w.C*SYSTEMAREA.C*AREAFRAC.s2C*CORRleach.s2C)*C.s2C*Molweight</f>
        <v>1.9637456269204847E-5</v>
      </c>
      <c r="AG29" s="163">
        <f>(kdis.s2S.s2D*M.s2CS+kdis.s2A.s2D*M.s2CA+kdis.s2P.s2D*M.s2CP)*Molweight</f>
        <v>1.7173398124625316E-2</v>
      </c>
      <c r="AH29" s="162">
        <f>KDEG.s2C*VOLUME.s2C*C.s2C*Molweight</f>
        <v>5.2563327426440985E-12</v>
      </c>
      <c r="AI29" s="163"/>
      <c r="AJ29" s="163"/>
      <c r="AK29" s="163">
        <f>k.aC.s2C*M.aC*Molweight</f>
        <v>8.1139391785191575E-20</v>
      </c>
      <c r="AL29" s="163">
        <f>k.s2C.aC*M.s2C*Molweight</f>
        <v>6.2240488541420588E-21</v>
      </c>
      <c r="AM29" s="163">
        <f>k.s2C.w1C*M.s2C*Molweight</f>
        <v>1.5724280607841465E-2</v>
      </c>
      <c r="AN29" s="163"/>
      <c r="AO29" s="162"/>
      <c r="AP29" s="909">
        <f>SUM(AC29,AD29,AK29,AG29)-SUM(AE29,AF29,AH29,AL29,AM29,AP28)</f>
        <v>7.9588892985038573E-4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1.4247655750206848E-12</v>
      </c>
      <c r="BY29" s="42"/>
      <c r="BZ29" s="55">
        <f>AH20</f>
        <v>5.2769065520414373E-13</v>
      </c>
      <c r="CA29" s="2"/>
      <c r="CB29" s="113"/>
      <c r="CC29" s="22">
        <f>AH19</f>
        <v>1.0312723300088333E-10</v>
      </c>
      <c r="CD29" s="2"/>
      <c r="CE29" s="2"/>
    </row>
    <row r="30" spans="1:83" ht="12.75" customHeight="1" x14ac:dyDescent="0.3">
      <c r="A30" s="17"/>
      <c r="B30" s="159" t="s">
        <v>155</v>
      </c>
      <c r="C30" s="295">
        <f>C28*FRACs.sdR</f>
        <v>1741433.6136609255</v>
      </c>
      <c r="D30" s="446">
        <f t="shared" si="7"/>
        <v>6.680254746745596E-5</v>
      </c>
      <c r="E30" s="295">
        <f>E28*FRACs.sdC</f>
        <v>150482.7511023866</v>
      </c>
      <c r="F30" s="446">
        <f t="shared" si="8"/>
        <v>7.0812605109438426E-5</v>
      </c>
      <c r="G30" s="296"/>
      <c r="H30" s="446"/>
      <c r="I30" s="296"/>
      <c r="J30" s="446"/>
      <c r="K30" s="296"/>
      <c r="L30" s="461"/>
      <c r="M30" s="124">
        <f>C.sd0RD*FRACs.sdR/(FRACw.sdR/(Kp.sd0R*RHOsolid/1000)+FRACs.sdR)*(Molweight*1000*1000)/(FRACs.sdR*RHOsolid)</f>
        <v>1015.8084069477042</v>
      </c>
      <c r="N30" s="124">
        <f>C.sd0CD*FRACs.sdC/(FRACw.sdC/(Kp.sd0C*RHOsolid/1000)+FRACs.sdC)*(Molweight*1000*1000)/(FRACs.sdC*RHOsolid)</f>
        <v>5.7557693365330911</v>
      </c>
      <c r="O30" s="124"/>
      <c r="P30" s="124"/>
      <c r="Q30" s="124"/>
      <c r="R30" s="160" t="s">
        <v>140</v>
      </c>
      <c r="S30" s="163"/>
      <c r="T30" s="163"/>
      <c r="U30" s="163"/>
      <c r="V30" s="163"/>
      <c r="W30" s="162"/>
      <c r="X30" s="17"/>
      <c r="Y30" s="156"/>
      <c r="Z30" s="17"/>
      <c r="AA30" s="312" t="s">
        <v>136</v>
      </c>
      <c r="AB30" s="162" t="s">
        <v>101</v>
      </c>
      <c r="AC30" s="161">
        <f>E.s3CD*Molweight</f>
        <v>0</v>
      </c>
      <c r="AD30" s="163"/>
      <c r="AE30" s="163"/>
      <c r="AF30" s="163">
        <f>(FRACinf.s3C*RAINrate.C/Ks3w.C*SYSTEMAREA.C*AREAFRAC.s3C*CORRleach.s3C)*C.s3C*Molweight</f>
        <v>3.2236836671763344E-6</v>
      </c>
      <c r="AG30" s="163">
        <f>(kdis.s3S.s3D*M.s3CS+kdis.s3A.s3D*M.s3CA+kdis.s3P.s3D*M.s3CP)*Molweight</f>
        <v>2.8191840264899554E-3</v>
      </c>
      <c r="AH30" s="162">
        <f>KDEG.s3C*VOLUME.s3C*C.s3C*Molweight</f>
        <v>3.9265686706630307E-13</v>
      </c>
      <c r="AI30" s="163"/>
      <c r="AJ30" s="163"/>
      <c r="AK30" s="163">
        <f>k.aC.s3C*M.aC*Molweight</f>
        <v>1.3523231964198594E-20</v>
      </c>
      <c r="AL30" s="163">
        <f>k.s3C.aC*M.s3C*Molweight</f>
        <v>1.0217394941456832E-21</v>
      </c>
      <c r="AM30" s="163">
        <f>k.s3C.w1C*M.s3C*Molweight</f>
        <v>2.5812969805609457E-3</v>
      </c>
      <c r="AN30" s="163"/>
      <c r="AO30" s="162"/>
      <c r="AP30" s="909">
        <f>SUM(AC30,AD30,AK30,AG30)-SUM(AE30,AF30,AH30,AL30,AM30,AP29)</f>
        <v>-5.6122556798120921E-4</v>
      </c>
      <c r="AQ30" s="17"/>
      <c r="AR30" s="46"/>
      <c r="AS30" s="2"/>
      <c r="AT30" s="58" t="s">
        <v>156</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157</v>
      </c>
      <c r="BT30" s="2"/>
      <c r="BU30" s="113"/>
      <c r="BV30" s="113"/>
      <c r="BW30" s="113"/>
      <c r="BX30" s="113"/>
      <c r="BY30" s="113"/>
      <c r="BZ30" s="113"/>
      <c r="CA30" s="113"/>
      <c r="CB30" s="113"/>
      <c r="CC30" s="113"/>
      <c r="CD30" s="113"/>
      <c r="CE30" s="2"/>
    </row>
    <row r="31" spans="1:83" ht="12.75" customHeight="1" x14ac:dyDescent="0.3">
      <c r="A31" s="17"/>
      <c r="B31" s="159" t="s">
        <v>123</v>
      </c>
      <c r="C31" s="295">
        <f>M.sd0RS*Molweight</f>
        <v>2.1882535318169594E-10</v>
      </c>
      <c r="D31" s="446">
        <f t="shared" si="7"/>
        <v>8.3942855635318785E-21</v>
      </c>
      <c r="E31" s="295">
        <f>M.sd0CS*Molweight</f>
        <v>6.4176147330638947E-12</v>
      </c>
      <c r="F31" s="446">
        <f t="shared" si="8"/>
        <v>3.0199342749107964E-21</v>
      </c>
      <c r="G31" s="296"/>
      <c r="H31" s="446"/>
      <c r="I31" s="296"/>
      <c r="J31" s="446"/>
      <c r="K31" s="296"/>
      <c r="L31" s="461"/>
      <c r="M31" s="124">
        <f>C.sd0RS*(Molweight*1000)/(FRACw.sdR*1000+FRACs.sdR*RHOsolid)</f>
        <v>9.8191477303904415E-18</v>
      </c>
      <c r="N31" s="124">
        <f>C.sd0CS*(Molweight*1000)/(FRACw.sdC*1000+FRACs.sdC*RHOsolid)</f>
        <v>1.8882590586454369E-20</v>
      </c>
      <c r="O31" s="124"/>
      <c r="P31" s="124"/>
      <c r="Q31" s="124"/>
      <c r="R31" s="160" t="s">
        <v>151</v>
      </c>
      <c r="S31" s="163"/>
      <c r="T31" s="163"/>
      <c r="U31" s="163"/>
      <c r="V31" s="163"/>
      <c r="W31" s="162"/>
      <c r="X31" s="17"/>
      <c r="Y31" s="156"/>
      <c r="Z31" s="17"/>
      <c r="AA31" s="907" t="s">
        <v>158</v>
      </c>
      <c r="AB31" s="304"/>
      <c r="AC31" s="909"/>
      <c r="AD31" s="163"/>
      <c r="AE31" s="163"/>
      <c r="AF31" s="163"/>
      <c r="AG31" s="163"/>
      <c r="AH31" s="162"/>
      <c r="AI31" s="163"/>
      <c r="AJ31" s="163"/>
      <c r="AK31" s="163"/>
      <c r="AL31" s="163"/>
      <c r="AM31" s="163"/>
      <c r="AN31" s="163"/>
      <c r="AO31" s="162"/>
      <c r="AP31" s="926"/>
      <c r="AQ31" s="17"/>
      <c r="AR31" s="46"/>
      <c r="AS31" s="2"/>
      <c r="AT31" s="64" t="s">
        <v>159</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6.5930723898933738E-3</v>
      </c>
      <c r="BU31" s="113"/>
      <c r="BV31" s="113"/>
      <c r="BW31" s="113"/>
      <c r="BX31" s="113"/>
      <c r="BY31" s="113"/>
      <c r="BZ31" s="2"/>
      <c r="CA31" s="113"/>
      <c r="CB31" s="2"/>
      <c r="CC31" s="2"/>
      <c r="CD31" s="2"/>
      <c r="CE31" s="2"/>
    </row>
    <row r="32" spans="1:83" ht="12.75" customHeight="1" thickBot="1" x14ac:dyDescent="0.35">
      <c r="A32" s="17"/>
      <c r="B32" s="159" t="s">
        <v>126</v>
      </c>
      <c r="C32" s="295">
        <f>M.sd0RA*Molweight</f>
        <v>13.892141481443643</v>
      </c>
      <c r="D32" s="446">
        <f t="shared" si="7"/>
        <v>5.3291175354528888E-10</v>
      </c>
      <c r="E32" s="295">
        <f>M.sd0CA*Molweight</f>
        <v>7.0740850608177661</v>
      </c>
      <c r="F32" s="446">
        <f t="shared" si="8"/>
        <v>3.3288492418738189E-9</v>
      </c>
      <c r="G32" s="296"/>
      <c r="H32" s="446"/>
      <c r="I32" s="296"/>
      <c r="J32" s="446"/>
      <c r="K32" s="296"/>
      <c r="L32" s="461"/>
      <c r="M32" s="124">
        <f>C.sd0RA*(Molweight*1000)/(FRACw.sdR*1000+FRACs.sdR*RHOsolid)</f>
        <v>6.2336921894291006E-7</v>
      </c>
      <c r="N32" s="124">
        <f>C.sd0CA*(Molweight*1000)/(FRACw.sdC*1000+FRACs.sdC*RHOsolid)</f>
        <v>2.0814127605538382E-8</v>
      </c>
      <c r="O32" s="124"/>
      <c r="P32" s="124"/>
      <c r="Q32" s="124"/>
      <c r="R32" s="160" t="s">
        <v>151</v>
      </c>
      <c r="S32" s="163"/>
      <c r="T32" s="163"/>
      <c r="U32" s="163"/>
      <c r="V32" s="163"/>
      <c r="W32" s="162"/>
      <c r="X32" s="17"/>
      <c r="Y32" s="156"/>
      <c r="Z32" s="17"/>
      <c r="AA32" s="312" t="s">
        <v>117</v>
      </c>
      <c r="AB32" s="162" t="s">
        <v>160</v>
      </c>
      <c r="AC32" s="161">
        <f>E.aMG*Molweight</f>
        <v>0</v>
      </c>
      <c r="AD32" s="163">
        <f>(k.aC.aM*M.aC+k.aA.aM*M.aA+k.aT.aM*M.aT)*Molweight</f>
        <v>1.6070428852933759E-17</v>
      </c>
      <c r="AE32" s="163">
        <f>(k.aM.aA+k.aM.aC+k.aM.aT)*M.aM*Molweight</f>
        <v>2.0853246501289636E-18</v>
      </c>
      <c r="AF32" s="163">
        <f>kesc.aM*VOLUME.aM*C.aM*Molweight</f>
        <v>6.5595702389640061E-22</v>
      </c>
      <c r="AG32" s="163"/>
      <c r="AH32" s="162">
        <f>KDEG.aM*VOLUME.aM*C.aM*Molweight</f>
        <v>6.8194052006739249E-45</v>
      </c>
      <c r="AI32" s="163">
        <f>SUM(AI33,AK36)</f>
        <v>1.4161205458376156E-17</v>
      </c>
      <c r="AJ32" s="163">
        <f>SUM(AJ33,AL36)</f>
        <v>1.7675721259525795E-19</v>
      </c>
      <c r="AK32" s="163"/>
      <c r="AL32" s="163"/>
      <c r="AM32" s="163"/>
      <c r="AN32" s="163"/>
      <c r="AO32" s="162"/>
      <c r="AP32" s="909">
        <f>SUM(AC32,AD32,AJ32,AL32)-SUM(AE32,AF32,AH32,AI32,AK32)</f>
        <v>0</v>
      </c>
      <c r="AQ32" s="17"/>
      <c r="AR32" s="46"/>
      <c r="AS32" s="2"/>
      <c r="AT32" s="51" t="s">
        <v>161</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2.6797876154251351E-16</v>
      </c>
      <c r="BR32" s="113"/>
      <c r="BS32" s="113"/>
      <c r="BT32" s="113"/>
      <c r="BU32" s="113"/>
      <c r="BV32" s="113"/>
      <c r="BW32" s="55"/>
      <c r="BX32" s="2"/>
      <c r="BY32" s="55"/>
      <c r="BZ32" s="55"/>
      <c r="CA32" s="2"/>
      <c r="CB32" s="55"/>
      <c r="CC32" s="113"/>
      <c r="CD32" s="113"/>
      <c r="CE32" s="2"/>
    </row>
    <row r="33" spans="1:83" ht="12.75" customHeight="1" thickBot="1" x14ac:dyDescent="0.35">
      <c r="A33" s="17"/>
      <c r="B33" s="159" t="s">
        <v>128</v>
      </c>
      <c r="C33" s="295">
        <f>M.sd0RP*Molweight</f>
        <v>14.445560924679254</v>
      </c>
      <c r="D33" s="446">
        <f t="shared" si="7"/>
        <v>5.541412901386708E-10</v>
      </c>
      <c r="E33" s="295">
        <f>M.sd0CP*Molweight</f>
        <v>2.1731657736322894</v>
      </c>
      <c r="F33" s="446">
        <f t="shared" si="8"/>
        <v>1.0226257071873135E-9</v>
      </c>
      <c r="G33" s="296"/>
      <c r="H33" s="446"/>
      <c r="I33" s="296"/>
      <c r="J33" s="446"/>
      <c r="K33" s="296"/>
      <c r="L33" s="461"/>
      <c r="M33" s="124">
        <f>C.sd0RP*(Molweight*1000)/(FRACw.sdR*1000+FRACs.sdR*RHOsolid)</f>
        <v>6.4820229788458474E-7</v>
      </c>
      <c r="N33" s="124">
        <f>C.sd0CP*(Molweight*1000)/(FRACw.sdC*1000+FRACs.sdC*RHOsolid)</f>
        <v>6.3941201344760346E-9</v>
      </c>
      <c r="O33" s="124"/>
      <c r="P33" s="124"/>
      <c r="Q33" s="124"/>
      <c r="R33" s="160" t="s">
        <v>151</v>
      </c>
      <c r="S33" s="163"/>
      <c r="T33" s="163"/>
      <c r="U33" s="163"/>
      <c r="V33" s="163"/>
      <c r="W33" s="162"/>
      <c r="X33" s="17"/>
      <c r="Y33" s="156"/>
      <c r="Z33" s="17"/>
      <c r="AA33" s="312" t="s">
        <v>162</v>
      </c>
      <c r="AB33" s="162" t="s">
        <v>163</v>
      </c>
      <c r="AC33" s="161">
        <f>E.w2MD*Molweight</f>
        <v>0</v>
      </c>
      <c r="AD33" s="163">
        <f>(k.w2C.w2M*M.w2C+k.w2A.w2M*M.w2A+k.w2T.w2M*M.w2T+k.w3M.w2M*M.w3M)*Molweight</f>
        <v>127.80358311310736</v>
      </c>
      <c r="AE33" s="163">
        <f>(k.w2M.w2C+k.w2M.w2A+k.w2M.w2T+k.w2M.w3M)*M.w2M*Molweight</f>
        <v>127.90289549876681</v>
      </c>
      <c r="AF33" s="163"/>
      <c r="AG33" s="163">
        <f>(kdis.w2S.w2D*M.w2MS+kdis.w2A.w2D*M.w2MA+kdis.w2P.w2D*M.w2MP)*Molweight</f>
        <v>6.6521912923175358E-2</v>
      </c>
      <c r="AH33" s="162">
        <f>KDEG.w2M*VOLUME.w2M*C.w2M*Molweight</f>
        <v>1.1982636270948323E-12</v>
      </c>
      <c r="AI33" s="163">
        <f>k.aM.w2M*M.aM*Molweight</f>
        <v>7.080602729188816E-18</v>
      </c>
      <c r="AJ33" s="163">
        <f>k.w2M.aM*M.w2M*Molweight</f>
        <v>1.64859558880909E-19</v>
      </c>
      <c r="AK33" s="163"/>
      <c r="AL33" s="163"/>
      <c r="AM33" s="163">
        <f>k.sM.w2M*M.sM*Molweight</f>
        <v>3.2790472737462842E-2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164</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165</v>
      </c>
      <c r="AB34" s="162" t="s">
        <v>166</v>
      </c>
      <c r="AC34" s="161"/>
      <c r="AD34" s="163">
        <f>(k.w2M.w3M*M.w2M+k.w3A.w3M*M.w3A+k.w3T.w3M*M.w3T)*Molweight</f>
        <v>125.27382794301126</v>
      </c>
      <c r="AE34" s="163">
        <f>(k.w3M.w2M+k.w3M.w3A+k.w3M.w3T)*M.w3M*Molweight</f>
        <v>125.26270752990128</v>
      </c>
      <c r="AF34" s="163"/>
      <c r="AG34" s="163">
        <f>(kdis.w2S.w2D*M.w3MS+kdis.w2A.w2D*M.w3MA+kdis.w2P.w2D*M.w3MP)*Molweight</f>
        <v>1.4061980996806285E-3</v>
      </c>
      <c r="AH34" s="162">
        <f>KDEG.w3M*M.w3MD*Molweight</f>
        <v>3.5948234282191055E-11</v>
      </c>
      <c r="AI34" s="163"/>
      <c r="AJ34" s="163"/>
      <c r="AK34" s="163"/>
      <c r="AL34" s="163"/>
      <c r="AM34" s="163"/>
      <c r="AN34" s="163">
        <f>k.w3M.sdM*M.w3M*Molweight</f>
        <v>40.652206250394592</v>
      </c>
      <c r="AO34" s="162">
        <f>k.sdM.w3M*M.sdM*Molweight</f>
        <v>40.639679639220908</v>
      </c>
      <c r="AP34" s="909">
        <f>SUM(AC34,AD34,AI34,AM34,AO34,AG34)-SUM(AE34,AF34,AH34,AJ34,AN34)</f>
        <v>0</v>
      </c>
      <c r="AQ34" s="17"/>
      <c r="AR34" s="46"/>
      <c r="AS34" s="2"/>
      <c r="AT34" s="58"/>
      <c r="AU34" s="48" t="s">
        <v>160</v>
      </c>
      <c r="AV34" s="48" t="s">
        <v>163</v>
      </c>
      <c r="AW34" s="48" t="s">
        <v>166</v>
      </c>
      <c r="AX34" s="48" t="s">
        <v>167</v>
      </c>
      <c r="AY34" s="50" t="s">
        <v>168</v>
      </c>
      <c r="AZ34" s="49" t="s">
        <v>169</v>
      </c>
      <c r="BA34" s="48" t="s">
        <v>170</v>
      </c>
      <c r="BB34" s="48" t="s">
        <v>171</v>
      </c>
      <c r="BC34" s="48" t="s">
        <v>172</v>
      </c>
      <c r="BD34" s="50" t="s">
        <v>173</v>
      </c>
      <c r="BE34" s="49" t="s">
        <v>174</v>
      </c>
      <c r="BF34" s="48" t="s">
        <v>175</v>
      </c>
      <c r="BG34" s="48" t="s">
        <v>176</v>
      </c>
      <c r="BH34" s="48" t="s">
        <v>177</v>
      </c>
      <c r="BI34" s="50" t="s">
        <v>178</v>
      </c>
      <c r="BJ34" s="65" t="s">
        <v>179</v>
      </c>
      <c r="BK34" s="2"/>
      <c r="BL34" s="46"/>
      <c r="BM34" s="2"/>
      <c r="BN34" s="2"/>
      <c r="BO34" s="113"/>
      <c r="BP34" s="138">
        <f>IF(AO17&lt;0,"",AO17)</f>
        <v>8.3942083083165128E-2</v>
      </c>
      <c r="BQ34" s="96">
        <f>IF(ISERROR(D52),0,D52)</f>
        <v>3.7340683474022335E-6</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180</v>
      </c>
      <c r="C35" s="295">
        <f>SUM(C36,C39:C41)</f>
        <v>2055641.5549341748</v>
      </c>
      <c r="D35" s="446">
        <f t="shared" ref="D35:D41" si="9">C35/$C$103</f>
        <v>7.8855772320186282E-5</v>
      </c>
      <c r="E35" s="295">
        <f>SUM(E36,E39:E41)</f>
        <v>56552.471580161189</v>
      </c>
      <c r="F35" s="446">
        <f t="shared" ref="F35:F41" si="10">E35/$E$103</f>
        <v>2.6611872846768963E-5</v>
      </c>
      <c r="G35" s="296"/>
      <c r="H35" s="446"/>
      <c r="I35" s="296"/>
      <c r="J35" s="446"/>
      <c r="K35" s="296"/>
      <c r="L35" s="461"/>
      <c r="M35" s="459">
        <f>(M.w1RD+M.w1RS+M.w1RA+M.w1RP)*Molweight/(VOLUME.w1R)</f>
        <v>1.0901197590469201E-4</v>
      </c>
      <c r="N35" s="459">
        <f>(M.w1CD+M.w1CS+M.w1CA+M.w1CP)*Molweight/(VOLUME.w1C)</f>
        <v>1.9664829825865615E-7</v>
      </c>
      <c r="O35" s="124"/>
      <c r="P35" s="124"/>
      <c r="Q35" s="124"/>
      <c r="R35" s="160" t="s">
        <v>134</v>
      </c>
      <c r="S35" s="163"/>
      <c r="T35" s="163"/>
      <c r="U35" s="163"/>
      <c r="V35" s="163"/>
      <c r="W35" s="162"/>
      <c r="X35" s="17"/>
      <c r="Y35" s="156"/>
      <c r="Z35" s="17"/>
      <c r="AA35" s="312" t="s">
        <v>181</v>
      </c>
      <c r="AB35" s="162" t="s">
        <v>167</v>
      </c>
      <c r="AC35" s="161"/>
      <c r="AD35" s="163"/>
      <c r="AE35" s="163"/>
      <c r="AF35" s="163">
        <f>(NETsedrate.wM*SYSTEMAREA.M*AREAFRAC.wM)*C.sdM*Molweight</f>
        <v>1.252661336293226E-2</v>
      </c>
      <c r="AG35" s="163">
        <f>(kdis.sd2S.sd2D*M.sdMS+kdis.sd2A.sd2D*M.sdMA+kdis.sd2P.sd2D*M.sdMP)*Molweight</f>
        <v>2.2063066360860393E-9</v>
      </c>
      <c r="AH35" s="162">
        <f>KDEG.sdM*M.sdMD*Molweight</f>
        <v>1.704925552867309E-11</v>
      </c>
      <c r="AI35" s="163"/>
      <c r="AJ35" s="163"/>
      <c r="AK35" s="163"/>
      <c r="AL35" s="163"/>
      <c r="AM35" s="163"/>
      <c r="AN35" s="163">
        <f>k.w3M.sdM*M.w3M*Molweight</f>
        <v>40.652206250394592</v>
      </c>
      <c r="AO35" s="162">
        <f>k.sdM.w3M*M.sdM*Molweight</f>
        <v>40.639679639220908</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116</v>
      </c>
      <c r="C36" s="295">
        <f>M.w1RD*Molweight</f>
        <v>864545.93757309334</v>
      </c>
      <c r="D36" s="446">
        <f t="shared" si="9"/>
        <v>3.3164555099582473E-5</v>
      </c>
      <c r="E36" s="295">
        <f>M.w1CD*Molweight</f>
        <v>43419.454788802905</v>
      </c>
      <c r="F36" s="446">
        <f t="shared" si="10"/>
        <v>2.0431874640135103E-5</v>
      </c>
      <c r="G36" s="296"/>
      <c r="H36" s="446"/>
      <c r="I36" s="296"/>
      <c r="J36" s="446"/>
      <c r="K36" s="296"/>
      <c r="L36" s="461"/>
      <c r="M36" s="124">
        <f>C.w1R*Molweight</f>
        <v>4.5847419599491081E-5</v>
      </c>
      <c r="N36" s="124">
        <f>C.w1C*Molweight</f>
        <v>1.5098123312672398E-7</v>
      </c>
      <c r="O36" s="124"/>
      <c r="P36" s="124"/>
      <c r="Q36" s="124"/>
      <c r="R36" s="160" t="s">
        <v>134</v>
      </c>
      <c r="S36" s="163">
        <f>F.w1R</f>
        <v>1.1390814782941847E-23</v>
      </c>
      <c r="T36" s="163">
        <f>F.w1C</f>
        <v>3.7511364374926933E-26</v>
      </c>
      <c r="U36" s="163"/>
      <c r="V36" s="163"/>
      <c r="W36" s="162"/>
      <c r="X36" s="17"/>
      <c r="Y36" s="156"/>
      <c r="Z36" s="17"/>
      <c r="AA36" s="312" t="s">
        <v>182</v>
      </c>
      <c r="AB36" s="162" t="s">
        <v>168</v>
      </c>
      <c r="AC36" s="161">
        <f>E.sMD*Molweight</f>
        <v>0</v>
      </c>
      <c r="AD36" s="163"/>
      <c r="AE36" s="163"/>
      <c r="AF36" s="163">
        <f>(FRACinf.sM*RAINrate.M/Kslw.M*SYSTEMAREA.M*AREAFRAC.sM*CORRleach.sM)*C.sM*Molweight</f>
        <v>3.7538210254597328E-5</v>
      </c>
      <c r="AG36" s="163">
        <f>(kdis.s1S.s1D*M.sMS+kdis.s1A.s1D*M.sMA+kdis.s1P.s1D*M.sMP)*Molweight</f>
        <v>3.2828010952289724E-2</v>
      </c>
      <c r="AH36" s="162">
        <f>KDEG.sM*VOLUME.sM*C.sM*Molweight</f>
        <v>4.5722960301365403E-12</v>
      </c>
      <c r="AI36" s="163"/>
      <c r="AJ36" s="163"/>
      <c r="AK36" s="163">
        <f>k.aM.sM*M.aM*Molweight</f>
        <v>7.0806027291873415E-18</v>
      </c>
      <c r="AL36" s="163">
        <f>k.sM.aM*M.sM*Molweight</f>
        <v>1.1897653714348951E-20</v>
      </c>
      <c r="AM36" s="163">
        <f>k.sM.w2M*M.sM*Molweight</f>
        <v>3.2790472737462842E-2</v>
      </c>
      <c r="AN36" s="163"/>
      <c r="AO36" s="162"/>
      <c r="AP36" s="909">
        <f>SUM(AC36,AD36,AK36,AG36)-SUM(AE36,AF36,AH36,AL36,AM36,AP35)</f>
        <v>0</v>
      </c>
      <c r="AQ36" s="17"/>
      <c r="AR36" s="46"/>
      <c r="AS36" s="2"/>
      <c r="AT36" s="58" t="s">
        <v>72</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137</v>
      </c>
      <c r="C37" s="295">
        <f>FRwD.w1R*C36</f>
        <v>356481.44810495269</v>
      </c>
      <c r="D37" s="446">
        <f t="shared" si="9"/>
        <v>1.3674864589432083E-5</v>
      </c>
      <c r="E37" s="295">
        <f>FRw.w1C*E36</f>
        <v>17903.305592401062</v>
      </c>
      <c r="F37" s="446">
        <f t="shared" si="10"/>
        <v>8.4247510082116697E-6</v>
      </c>
      <c r="G37" s="296"/>
      <c r="H37" s="446"/>
      <c r="I37" s="296"/>
      <c r="J37" s="446"/>
      <c r="K37" s="296"/>
      <c r="L37" s="461"/>
      <c r="M37" s="124">
        <f>M36*FRwD.w1R</f>
        <v>1.890443737042045E-5</v>
      </c>
      <c r="N37" s="124">
        <f>N36*FRw.w1C</f>
        <v>6.2254654475356451E-8</v>
      </c>
      <c r="O37" s="124"/>
      <c r="P37" s="124"/>
      <c r="Q37" s="124"/>
      <c r="R37" s="160" t="s">
        <v>134</v>
      </c>
      <c r="S37" s="163">
        <f>S36*FRwD.w1R</f>
        <v>4.6968171064653295E-24</v>
      </c>
      <c r="T37" s="163">
        <f>T36*FRw.w1C</f>
        <v>1.5467200655992832E-26</v>
      </c>
      <c r="U37" s="163"/>
      <c r="V37" s="163"/>
      <c r="W37" s="162"/>
      <c r="X37" s="17"/>
      <c r="Y37" s="156"/>
      <c r="Z37" s="17"/>
      <c r="AA37" s="907" t="s">
        <v>183</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9.2403649885452049E-2</v>
      </c>
      <c r="BQ37" s="55">
        <f>AH17</f>
        <v>3.8185384965297362E-14</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139</v>
      </c>
      <c r="C38" s="295">
        <f>(1-FRwD.w1R)*C36</f>
        <v>508064.48946814059</v>
      </c>
      <c r="D38" s="446">
        <f t="shared" si="9"/>
        <v>1.948969051015039E-5</v>
      </c>
      <c r="E38" s="295">
        <f>(1-FRw.w1C)*E36</f>
        <v>25516.149196401839</v>
      </c>
      <c r="F38" s="446">
        <f t="shared" si="10"/>
        <v>1.2007123631923433E-5</v>
      </c>
      <c r="G38" s="296"/>
      <c r="H38" s="446"/>
      <c r="I38" s="296"/>
      <c r="J38" s="446"/>
      <c r="K38" s="296"/>
      <c r="L38" s="461"/>
      <c r="M38" s="124">
        <f>M37*Kp.susp1R</f>
        <v>1.7959215501899428</v>
      </c>
      <c r="N38" s="124">
        <f>N37*Kp.susp1C</f>
        <v>5.9141921751588626E-3</v>
      </c>
      <c r="O38" s="124"/>
      <c r="P38" s="124"/>
      <c r="Q38" s="124"/>
      <c r="R38" s="160" t="s">
        <v>140</v>
      </c>
      <c r="S38" s="163">
        <f>S36*(1-FRwD.w1R)</f>
        <v>6.6939976764765165E-24</v>
      </c>
      <c r="T38" s="163">
        <f>T36*(1-FRw.w1C)</f>
        <v>2.2044163718934101E-26</v>
      </c>
      <c r="U38" s="163"/>
      <c r="V38" s="163"/>
      <c r="W38" s="162"/>
      <c r="X38" s="17"/>
      <c r="Y38" s="156"/>
      <c r="Z38" s="17"/>
      <c r="AA38" s="312" t="s">
        <v>117</v>
      </c>
      <c r="AB38" s="162" t="s">
        <v>169</v>
      </c>
      <c r="AC38" s="161">
        <f>E.aAG*Molweight</f>
        <v>0</v>
      </c>
      <c r="AD38" s="163">
        <f>k.aM.aA*M.aM*Molweight</f>
        <v>6.792300647379116E-19</v>
      </c>
      <c r="AE38" s="163">
        <f>k.aA.aM*M.aA*Molweight</f>
        <v>5.399329975048095E-20</v>
      </c>
      <c r="AF38" s="163">
        <f>kesc.aA*VOLUME.aA*C.aA*Molweight</f>
        <v>2.8568463801159326E-23</v>
      </c>
      <c r="AG38" s="163"/>
      <c r="AH38" s="162">
        <f>KDEG.aA*VOLUME.aA*C.aA*Molweight</f>
        <v>1.2910223234476619E-50</v>
      </c>
      <c r="AI38" s="163">
        <f>SUM(AI39,AK42)</f>
        <v>6.2520849444688785E-19</v>
      </c>
      <c r="AJ38" s="163">
        <f>SUM(AJ39,AL42)</f>
        <v>2.9792325846782634E-25</v>
      </c>
      <c r="AK38" s="163"/>
      <c r="AL38" s="163"/>
      <c r="AM38" s="163"/>
      <c r="AN38" s="163"/>
      <c r="AO38" s="162"/>
      <c r="AP38" s="909">
        <f>SUM(AC38,AD38,AJ38,AL38)-SUM(AE38,AF38,AH38,AI38,AK38)</f>
        <v>0</v>
      </c>
      <c r="AQ38" s="17"/>
      <c r="AR38" s="46"/>
      <c r="AS38" s="2"/>
      <c r="AT38" s="58" t="s">
        <v>73</v>
      </c>
      <c r="AU38" s="11"/>
      <c r="AV38" s="11"/>
      <c r="AW38" s="11"/>
      <c r="AX38" s="11"/>
      <c r="AY38" s="11"/>
      <c r="AZ38" s="11"/>
      <c r="BA38" s="11"/>
      <c r="BB38" s="11"/>
      <c r="BC38" s="11"/>
      <c r="BD38" s="11"/>
      <c r="BE38" s="11"/>
      <c r="BF38" s="11"/>
      <c r="BG38" s="11"/>
      <c r="BH38" s="11"/>
      <c r="BI38" s="11"/>
      <c r="BJ38" s="11"/>
      <c r="BK38" s="2"/>
      <c r="BL38" s="46"/>
      <c r="BM38" s="2"/>
      <c r="BN38" s="2"/>
      <c r="BO38" s="42"/>
      <c r="BP38" s="42" t="s">
        <v>184</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123</v>
      </c>
      <c r="C39" s="295">
        <f>M.w1RS*Molweight</f>
        <v>223.84334269117008</v>
      </c>
      <c r="D39" s="446">
        <f t="shared" si="9"/>
        <v>8.5867789665351312E-9</v>
      </c>
      <c r="E39" s="295">
        <f>M.w1CS*Molweight</f>
        <v>8.2994239353367263E-2</v>
      </c>
      <c r="F39" s="446">
        <f t="shared" si="10"/>
        <v>3.9054564424394043E-11</v>
      </c>
      <c r="G39" s="296"/>
      <c r="H39" s="446"/>
      <c r="I39" s="296"/>
      <c r="J39" s="446"/>
      <c r="K39" s="296"/>
      <c r="L39" s="461"/>
      <c r="M39" s="124">
        <f>C.w1RS*Molweight</f>
        <v>1.1870554485194249E-8</v>
      </c>
      <c r="N39" s="124">
        <f>C.w1CS*Molweight</f>
        <v>2.8859350401648248E-13</v>
      </c>
      <c r="O39" s="124"/>
      <c r="P39" s="124"/>
      <c r="Q39" s="124"/>
      <c r="R39" s="160" t="s">
        <v>134</v>
      </c>
      <c r="S39" s="163"/>
      <c r="T39" s="163"/>
      <c r="U39" s="163"/>
      <c r="V39" s="163"/>
      <c r="W39" s="162"/>
      <c r="X39" s="17"/>
      <c r="Y39" s="156"/>
      <c r="Z39" s="17"/>
      <c r="AA39" s="312" t="s">
        <v>162</v>
      </c>
      <c r="AB39" s="162" t="s">
        <v>170</v>
      </c>
      <c r="AC39" s="161">
        <f>E.w2AD*Molweight</f>
        <v>0</v>
      </c>
      <c r="AD39" s="163">
        <f>(k.w2M.w2A*M.w2M+k.w3A.w2A*M.w3A)*Molweight</f>
        <v>93.942780492387428</v>
      </c>
      <c r="AE39" s="163">
        <f>(k.w2A.w2M+k.w2A.w3A)*M.w2A*Molweight</f>
        <v>93.960557511642833</v>
      </c>
      <c r="AF39" s="163"/>
      <c r="AG39" s="163">
        <f>(kdis.w2S.w2D*M.w2AS+kdis.w2A.w2D*M.w2AA+kdis.w2P.w2D*M.w2AP)*Molweight</f>
        <v>1.3851846896068408E-2</v>
      </c>
      <c r="AH39" s="162">
        <f>KDEG.w2A*VOLUME.w2A*C.w2A*Molweight</f>
        <v>2.0907878483826765E-13</v>
      </c>
      <c r="AI39" s="163">
        <f>k.aA.w2A*M.aA*Molweight</f>
        <v>3.7512509666813266E-19</v>
      </c>
      <c r="AJ39" s="163">
        <f>k.w2A.aA*M.w2A*Molweight</f>
        <v>2.9436245566401191E-25</v>
      </c>
      <c r="AK39" s="163"/>
      <c r="AL39" s="163"/>
      <c r="AM39" s="163">
        <f>k.sA.w2A*M.sA*Molweight</f>
        <v>3.9251723595439564E-3</v>
      </c>
      <c r="AN39" s="163"/>
      <c r="AO39" s="162"/>
      <c r="AP39" s="909">
        <f>SUM(AC39,AD39,AI39,AM39,AG39)-SUM(AE39,AF39,AH39,AJ39)</f>
        <v>0</v>
      </c>
      <c r="AQ39" s="17"/>
      <c r="AR39" s="46"/>
      <c r="AS39" s="2"/>
      <c r="AT39" s="64" t="s">
        <v>74</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3.6068017263616897E-4</v>
      </c>
      <c r="BR39" s="113"/>
      <c r="BS39" s="113"/>
      <c r="BT39" s="113"/>
      <c r="BU39" s="113"/>
      <c r="BV39" s="2"/>
      <c r="BW39" s="113"/>
      <c r="BX39" s="2"/>
      <c r="BY39" s="113"/>
      <c r="BZ39" s="2"/>
      <c r="CA39" s="2"/>
      <c r="CB39" s="113"/>
      <c r="CC39" s="2"/>
      <c r="CD39" s="2"/>
      <c r="CE39" s="2"/>
    </row>
    <row r="40" spans="1:83" ht="12.75" customHeight="1" x14ac:dyDescent="0.3">
      <c r="A40" s="17"/>
      <c r="B40" s="159" t="s">
        <v>126</v>
      </c>
      <c r="C40" s="295">
        <f>M.w1RA*Molweight</f>
        <v>1183196.7609677941</v>
      </c>
      <c r="D40" s="446">
        <f t="shared" si="9"/>
        <v>4.5388211854788046E-5</v>
      </c>
      <c r="E40" s="295">
        <f>M.w1CA*Molweight</f>
        <v>13129.641870895985</v>
      </c>
      <c r="F40" s="446">
        <f t="shared" si="10"/>
        <v>6.1784100717265559E-6</v>
      </c>
      <c r="G40" s="296"/>
      <c r="H40" s="446"/>
      <c r="I40" s="296"/>
      <c r="J40" s="446"/>
      <c r="K40" s="296"/>
      <c r="L40" s="461"/>
      <c r="M40" s="124">
        <f>C.w1RA*Molweight</f>
        <v>6.2745674939063511E-5</v>
      </c>
      <c r="N40" s="124">
        <f>C.w1CA*Molweight</f>
        <v>4.5655329617159306E-8</v>
      </c>
      <c r="O40" s="124"/>
      <c r="P40" s="124"/>
      <c r="Q40" s="124"/>
      <c r="R40" s="160" t="s">
        <v>134</v>
      </c>
      <c r="S40" s="163"/>
      <c r="T40" s="163"/>
      <c r="U40" s="163"/>
      <c r="V40" s="163"/>
      <c r="W40" s="162"/>
      <c r="X40" s="17"/>
      <c r="Y40" s="156"/>
      <c r="Z40" s="17"/>
      <c r="AA40" s="312" t="s">
        <v>165</v>
      </c>
      <c r="AB40" s="162" t="s">
        <v>171</v>
      </c>
      <c r="AC40" s="161"/>
      <c r="AD40" s="163">
        <f>(k.w2A.w3A*M.w2A+k.w3M.w3A*M.w3M)*Molweight</f>
        <v>93.960557511642833</v>
      </c>
      <c r="AE40" s="163">
        <f>(k.w3A.w2A+k.w3A.w3M)*M.w3A*Molweight</f>
        <v>93.955035013258822</v>
      </c>
      <c r="AF40" s="163"/>
      <c r="AG40" s="163">
        <f>(kdis.w2S.w2D*M.w3AS+kdis.w2A.w2D*M.w3AA+kdis.w2P.w2D*M.w3AP)*Molweight</f>
        <v>3.1636629896424903E-4</v>
      </c>
      <c r="AH40" s="162">
        <f>KDEG.w3A*VOLUME.w3A*C.w3A*Molweight</f>
        <v>5.1474657723392165E-12</v>
      </c>
      <c r="AI40" s="163"/>
      <c r="AJ40" s="163"/>
      <c r="AK40" s="163"/>
      <c r="AL40" s="163"/>
      <c r="AM40" s="163"/>
      <c r="AN40" s="163">
        <f>k.w3A.sdA*M.w3A*Molweight</f>
        <v>26.746441850231768</v>
      </c>
      <c r="AO40" s="162">
        <f>k.sdA.w3A*M.sdA*Molweight</f>
        <v>26.740602985553942</v>
      </c>
      <c r="AP40" s="909">
        <f>SUM(AC40,AD40,AI40,AM40,AO40,AG40)-SUM(AE40,AF40,AH40,AJ40,AN40)</f>
        <v>0</v>
      </c>
      <c r="AQ40" s="17"/>
      <c r="AR40" s="46"/>
      <c r="AS40" s="2"/>
      <c r="AT40" s="64" t="s">
        <v>125</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128</v>
      </c>
      <c r="C41" s="295">
        <f>M.w1RP*Molweight</f>
        <v>7675.0130505961952</v>
      </c>
      <c r="D41" s="446">
        <f t="shared" si="9"/>
        <v>2.9441858684922922E-7</v>
      </c>
      <c r="E41" s="295">
        <f>M.w1CP*Molweight</f>
        <v>3.2919262229498152</v>
      </c>
      <c r="F41" s="446">
        <f t="shared" si="10"/>
        <v>1.5490803428795994E-9</v>
      </c>
      <c r="G41" s="296"/>
      <c r="H41" s="446"/>
      <c r="I41" s="296"/>
      <c r="J41" s="446"/>
      <c r="K41" s="296"/>
      <c r="L41" s="461"/>
      <c r="M41" s="124">
        <f>C.w1RP*Molweight</f>
        <v>4.0701081165221957E-7</v>
      </c>
      <c r="N41" s="124">
        <f>C.w1CP*Molweight</f>
        <v>1.1446921268834868E-11</v>
      </c>
      <c r="O41" s="124"/>
      <c r="P41" s="124"/>
      <c r="Q41" s="124"/>
      <c r="R41" s="160" t="s">
        <v>134</v>
      </c>
      <c r="S41" s="163"/>
      <c r="T41" s="163"/>
      <c r="U41" s="163"/>
      <c r="V41" s="163"/>
      <c r="W41" s="162"/>
      <c r="X41" s="17"/>
      <c r="Y41" s="156"/>
      <c r="Z41" s="17"/>
      <c r="AA41" s="312" t="s">
        <v>181</v>
      </c>
      <c r="AB41" s="162" t="s">
        <v>172</v>
      </c>
      <c r="AC41" s="161"/>
      <c r="AD41" s="163"/>
      <c r="AE41" s="163"/>
      <c r="AF41" s="163">
        <f>(NETsedrate.wA*SYSTEMAREA.A*AREAFRAC.wA)*C.sdA*Molweight</f>
        <v>5.8388651169212456E-3</v>
      </c>
      <c r="AG41" s="163">
        <f>(kdis.sd2S.sd2D*M.sdAS+kdis.sd2A.sd2D*M.sdAA+kdis.sd2P.sd2D*M.sdAP)*Molweight</f>
        <v>4.4154494876888707E-10</v>
      </c>
      <c r="AH41" s="162">
        <f>KDEG.sdA*VOLUME.sdA*C.sdA*Molweight</f>
        <v>2.4413009714332887E-12</v>
      </c>
      <c r="AI41" s="163"/>
      <c r="AJ41" s="163"/>
      <c r="AK41" s="163"/>
      <c r="AL41" s="163"/>
      <c r="AM41" s="163"/>
      <c r="AN41" s="163">
        <f>k.w3A.sdA*M.w3A*Molweight</f>
        <v>26.746441850231768</v>
      </c>
      <c r="AO41" s="162">
        <f>k.sdA.w3A*M.sdA*Molweight</f>
        <v>26.740602985553942</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182</v>
      </c>
      <c r="AB42" s="162" t="s">
        <v>173</v>
      </c>
      <c r="AC42" s="161">
        <f>E.sAD*Molweight</f>
        <v>0</v>
      </c>
      <c r="AD42" s="163"/>
      <c r="AE42" s="163"/>
      <c r="AF42" s="163">
        <f>(FRACinf.sA*RAINrate.A/Kslw.A*SYSTEMAREA.A*AREAFRAC.sA*CORRleach.sA)*C.sA*Molweight</f>
        <v>1.8015960740912339E-6</v>
      </c>
      <c r="AG42" s="163">
        <f>(kdis.s1S.s1D*M.sAS+kdis.s1A.s1D*M.sAA+kdis.s1P.s1D*M.sAP)*Molweight</f>
        <v>3.9269739557517714E-3</v>
      </c>
      <c r="AH42" s="162">
        <f>KDEG.sA*VOLUME.sA*C.sA*Molweight</f>
        <v>1.3372427312034419E-13</v>
      </c>
      <c r="AI42" s="163"/>
      <c r="AJ42" s="163"/>
      <c r="AK42" s="163">
        <f>k.aA.sA*M.aA*Molweight</f>
        <v>2.5008339777875514E-19</v>
      </c>
      <c r="AL42" s="163">
        <f>k.sA.aA*M.sA*Molweight</f>
        <v>3.5608028038144484E-27</v>
      </c>
      <c r="AM42" s="163">
        <f>k.sA.w2A*M.sA*Molweight</f>
        <v>3.9251723595439564E-3</v>
      </c>
      <c r="AN42" s="163"/>
      <c r="AO42" s="162"/>
      <c r="AP42" s="909">
        <f>SUM(AC42,AD42,AK42,AG42)-SUM(AE42,AF42,AH42,AL42,AM42,AP41)</f>
        <v>0</v>
      </c>
      <c r="AQ42" s="17"/>
      <c r="AR42" s="46"/>
      <c r="AS42" s="2"/>
      <c r="AT42" s="58" t="s">
        <v>130</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185</v>
      </c>
      <c r="C43" s="295">
        <f>SUM(C44,C47:C49)</f>
        <v>172456703.55670142</v>
      </c>
      <c r="D43" s="446">
        <f t="shared" ref="D43:D49" si="11">C43/$C$103</f>
        <v>6.6155534354298351E-3</v>
      </c>
      <c r="E43" s="295">
        <f>SUM(E44,E47:E49)</f>
        <v>8508243.9673797451</v>
      </c>
      <c r="F43" s="446">
        <f t="shared" ref="F43:F49" si="12">E43/$E$103</f>
        <v>4.0037207973882419E-3</v>
      </c>
      <c r="G43" s="296"/>
      <c r="H43" s="446"/>
      <c r="I43" s="296"/>
      <c r="J43" s="446"/>
      <c r="K43" s="296"/>
      <c r="L43" s="461"/>
      <c r="M43" s="459">
        <f>((M.sd1RD+M.sd1RS+M.sd1RA+M.sd1RP)*Molweight*1000/(VOLUME.sd1R))/(FRACw.sdR*1000+FRACs.sdR*RHOsolid)</f>
        <v>0.70349910834781304</v>
      </c>
      <c r="N43" s="459">
        <f>((M.sd1CD+M.sd1CS+M.sd1CA+M.sd1CP)*Molweight*1000/(VOLUME.sd1C))/(FRACw.sdC*1000+FRACs.sdC*RHOsolid)</f>
        <v>2.2758057192181756E-3</v>
      </c>
      <c r="O43" s="124"/>
      <c r="P43" s="124"/>
      <c r="Q43" s="124"/>
      <c r="R43" s="160" t="s">
        <v>151</v>
      </c>
      <c r="S43" s="163"/>
      <c r="T43" s="163"/>
      <c r="U43" s="163"/>
      <c r="V43" s="163"/>
      <c r="W43" s="162"/>
      <c r="X43" s="17"/>
      <c r="Y43" s="156"/>
      <c r="Z43" s="17"/>
      <c r="AA43" s="907" t="s">
        <v>186</v>
      </c>
      <c r="AB43" s="304"/>
      <c r="AC43" s="909"/>
      <c r="AD43" s="163"/>
      <c r="AE43" s="163"/>
      <c r="AF43" s="163"/>
      <c r="AG43" s="163"/>
      <c r="AH43" s="162"/>
      <c r="AI43" s="163"/>
      <c r="AJ43" s="163"/>
      <c r="AK43" s="163"/>
      <c r="AL43" s="163"/>
      <c r="AM43" s="163"/>
      <c r="AN43" s="163"/>
      <c r="AO43" s="162"/>
      <c r="AP43" s="926"/>
      <c r="AQ43" s="17"/>
      <c r="AR43" s="46"/>
      <c r="AS43" s="2"/>
      <c r="AT43" s="64" t="s">
        <v>132</v>
      </c>
      <c r="AU43" s="11"/>
      <c r="AV43" s="11"/>
      <c r="AW43" s="11"/>
      <c r="AX43" s="11"/>
      <c r="AY43" s="11"/>
      <c r="AZ43" s="11"/>
      <c r="BA43" s="11"/>
      <c r="BB43" s="11"/>
      <c r="BC43" s="11"/>
      <c r="BD43" s="11"/>
      <c r="BE43" s="11"/>
      <c r="BF43" s="11"/>
      <c r="BG43" s="11"/>
      <c r="BH43" s="11"/>
      <c r="BI43" s="11"/>
      <c r="BJ43" s="11"/>
      <c r="BK43" s="2"/>
      <c r="BL43" s="46"/>
      <c r="BM43" s="2"/>
      <c r="BN43" s="113"/>
      <c r="BO43" s="113"/>
      <c r="BP43" s="55">
        <f>AF17</f>
        <v>8.5965001907703509E-3</v>
      </c>
      <c r="BQ43" s="113"/>
      <c r="BR43" s="113"/>
      <c r="BS43" s="22">
        <f>AF16</f>
        <v>0.49762885118044409</v>
      </c>
      <c r="BT43" s="113"/>
      <c r="BU43" s="113"/>
      <c r="BV43" s="113"/>
      <c r="BW43" s="22">
        <f>AF18</f>
        <v>1.1697219376463162E-5</v>
      </c>
      <c r="BX43" s="2"/>
      <c r="BY43" s="113"/>
      <c r="BZ43" s="22">
        <f>AF20</f>
        <v>4.3323010220420566E-6</v>
      </c>
      <c r="CA43" s="113"/>
      <c r="CB43" s="112">
        <f>AF19</f>
        <v>3.8527936250858981E-4</v>
      </c>
      <c r="CC43" s="113"/>
      <c r="CD43" s="113"/>
      <c r="CE43" s="2"/>
    </row>
    <row r="44" spans="1:83" ht="12.75" customHeight="1" x14ac:dyDescent="0.3">
      <c r="A44" s="17"/>
      <c r="B44" s="443" t="s">
        <v>116</v>
      </c>
      <c r="C44" s="295">
        <f>M.sd1RD*Molweight</f>
        <v>171870659.31360564</v>
      </c>
      <c r="D44" s="446">
        <f t="shared" si="11"/>
        <v>6.5930723898933738E-3</v>
      </c>
      <c r="E44" s="295">
        <f>M.sd1CD*Molweight</f>
        <v>8506709.0965842046</v>
      </c>
      <c r="F44" s="446">
        <f t="shared" si="12"/>
        <v>4.002998533881346E-3</v>
      </c>
      <c r="G44" s="296"/>
      <c r="H44" s="446"/>
      <c r="I44" s="296"/>
      <c r="J44" s="446"/>
      <c r="K44" s="296"/>
      <c r="L44" s="461"/>
      <c r="M44" s="124">
        <f>C.sd1R*(Molweight*1000)/(FRACw.sdR*1000+FRACs.sdR*RHOsolid)</f>
        <v>0.70110847003705168</v>
      </c>
      <c r="N44" s="124">
        <f>C.sd1C*(Molweight*1000)/(FRACw.sdC*1000+FRACs.sdC*RHOsolid)</f>
        <v>2.2753951682574661E-3</v>
      </c>
      <c r="O44" s="124"/>
      <c r="P44" s="124"/>
      <c r="Q44" s="124"/>
      <c r="R44" s="160" t="s">
        <v>151</v>
      </c>
      <c r="S44" s="163">
        <f>F.sd1R</f>
        <v>9.534330803803104E-24</v>
      </c>
      <c r="T44" s="163">
        <f>F.sd1C</f>
        <v>3.0942958430377276E-26</v>
      </c>
      <c r="U44" s="163"/>
      <c r="V44" s="163"/>
      <c r="W44" s="162"/>
      <c r="X44" s="17"/>
      <c r="Y44" s="156"/>
      <c r="Z44" s="17"/>
      <c r="AA44" s="312" t="s">
        <v>117</v>
      </c>
      <c r="AB44" s="162" t="s">
        <v>174</v>
      </c>
      <c r="AC44" s="161">
        <f>E.aTG*Molweight</f>
        <v>0</v>
      </c>
      <c r="AD44" s="163">
        <f>k.aM.aT*M.aM*Molweight</f>
        <v>1.1764609821543605E-18</v>
      </c>
      <c r="AE44" s="163">
        <f>k.aT.aM*M.aT*Molweight</f>
        <v>1.5966939931087989E-17</v>
      </c>
      <c r="AF44" s="163">
        <f>kesc.aT*VOLUME.aT*C.aT*Molweight</f>
        <v>1.4632864023275126E-20</v>
      </c>
      <c r="AG44" s="163"/>
      <c r="AH44" s="162">
        <f>KDEG.aT*VOLUME.aT*C.aT*Molweight</f>
        <v>6.7022812039968374E-43</v>
      </c>
      <c r="AI44" s="163">
        <f>SUM(AI45,AK48)</f>
        <v>3.2301167987540838E-16</v>
      </c>
      <c r="AJ44" s="163">
        <f>SUM(AJ45,AL48)</f>
        <v>3.3781679168836529E-16</v>
      </c>
      <c r="AK44" s="163"/>
      <c r="AL44" s="163"/>
      <c r="AM44" s="163"/>
      <c r="AN44" s="163"/>
      <c r="AO44" s="162"/>
      <c r="AP44" s="909">
        <f>SUM(AC44,AD44,AJ44,AL44)-SUM(AE44,AF44,AH44,AI44,AK44)</f>
        <v>0</v>
      </c>
      <c r="AQ44" s="17"/>
      <c r="AR44" s="46"/>
      <c r="AS44" s="2"/>
      <c r="AT44" s="64" t="s">
        <v>75</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154</v>
      </c>
      <c r="C45" s="295">
        <f>C44*FRACw.sdR</f>
        <v>137496527.45088452</v>
      </c>
      <c r="D45" s="446">
        <f t="shared" si="11"/>
        <v>5.2744579119146989E-3</v>
      </c>
      <c r="E45" s="295">
        <f>E44*FRACw.sdC</f>
        <v>6805367.2772673639</v>
      </c>
      <c r="F45" s="446">
        <f t="shared" si="12"/>
        <v>3.2023988271050767E-3</v>
      </c>
      <c r="G45" s="296"/>
      <c r="H45" s="446"/>
      <c r="I45" s="296"/>
      <c r="J45" s="446"/>
      <c r="K45" s="296"/>
      <c r="L45" s="461"/>
      <c r="M45" s="124">
        <f>M46/Kp.sd1R</f>
        <v>3.8375170985742266E-2</v>
      </c>
      <c r="N45" s="124">
        <f>N46/Kp.sd1C</f>
        <v>1.2454375089406277E-4</v>
      </c>
      <c r="O45" s="124"/>
      <c r="P45" s="124"/>
      <c r="Q45" s="124"/>
      <c r="R45" s="160" t="s">
        <v>134</v>
      </c>
      <c r="S45" s="163">
        <f>S44*FRACw.sdR</f>
        <v>7.6274646430424841E-24</v>
      </c>
      <c r="T45" s="163">
        <f>T44*FRACw.sdC</f>
        <v>2.4754366744301821E-26</v>
      </c>
      <c r="U45" s="163"/>
      <c r="V45" s="163"/>
      <c r="W45" s="162"/>
      <c r="X45" s="17"/>
      <c r="Y45" s="156"/>
      <c r="Z45" s="17"/>
      <c r="AA45" s="312" t="s">
        <v>162</v>
      </c>
      <c r="AB45" s="162" t="s">
        <v>175</v>
      </c>
      <c r="AC45" s="161">
        <f>E.w2TD*Molweight</f>
        <v>0</v>
      </c>
      <c r="AD45" s="163">
        <f>(k.w2M.w2T*M.w2M+k.w3T.w2T*M.w3T)*Molweight</f>
        <v>244.66359817270489</v>
      </c>
      <c r="AE45" s="163">
        <f>(k.w2T.w2M+k.w2T.w3T)*M.w2T*Molweight</f>
        <v>244.70310562513353</v>
      </c>
      <c r="AF45" s="163"/>
      <c r="AG45" s="163">
        <f>(kdis.w2S.w2D*M.w2TS+kdis.w2A.w2D*M.w2TA+kdis.w2P.w2D*M.w2TP)*Molweight</f>
        <v>3.2189628698311802E-2</v>
      </c>
      <c r="AH45" s="162">
        <f>KDEG.w2T*VOLUME.w2T*C.w2T*Molweight</f>
        <v>6.7967582149291039E-12</v>
      </c>
      <c r="AI45" s="163">
        <f>k.aT.w2T*M.aT*Molweight</f>
        <v>2.2610817591284063E-16</v>
      </c>
      <c r="AJ45" s="163">
        <f>k.w2T.aT*M.w2T*Molweight</f>
        <v>3.3576768165566024E-16</v>
      </c>
      <c r="AK45" s="163"/>
      <c r="AL45" s="163"/>
      <c r="AM45" s="163">
        <f>k.sT.w2T*M.sT*Molweight</f>
        <v>7.3178237370613748E-3</v>
      </c>
      <c r="AN45" s="163"/>
      <c r="AO45" s="162"/>
      <c r="AP45" s="909">
        <f>SUM(AC45,AD45,AI45,AM45,AG45)-SUM(AE45,AF45,AH45,AJ45)</f>
        <v>0</v>
      </c>
      <c r="AQ45" s="17"/>
      <c r="AR45" s="46"/>
      <c r="AS45" s="2"/>
      <c r="AT45" s="64" t="s">
        <v>77</v>
      </c>
      <c r="AU45" s="11"/>
      <c r="AV45" s="11"/>
      <c r="AW45" s="11"/>
      <c r="AX45" s="11"/>
      <c r="AY45" s="11"/>
      <c r="AZ45" s="11"/>
      <c r="BA45" s="11"/>
      <c r="BB45" s="11"/>
      <c r="BC45" s="11"/>
      <c r="BD45" s="11"/>
      <c r="BE45" s="11"/>
      <c r="BF45" s="11"/>
      <c r="BG45" s="11"/>
      <c r="BH45" s="11"/>
      <c r="BI45" s="11"/>
      <c r="BJ45" s="11"/>
      <c r="BK45" s="2"/>
      <c r="BL45" s="46"/>
      <c r="BM45" s="2"/>
      <c r="BN45" s="87" t="s">
        <v>187</v>
      </c>
      <c r="BO45" s="117"/>
      <c r="BP45" s="117"/>
      <c r="BQ45" s="117"/>
      <c r="BR45" s="118"/>
      <c r="BS45" s="2"/>
      <c r="BT45" s="127" t="s">
        <v>188</v>
      </c>
      <c r="BU45" s="117"/>
      <c r="BV45" s="117"/>
      <c r="BW45" s="125"/>
      <c r="BX45" s="126"/>
      <c r="BY45" s="2"/>
      <c r="BZ45" s="2"/>
      <c r="CA45" s="2"/>
      <c r="CB45" s="2"/>
      <c r="CC45" s="2"/>
      <c r="CD45" s="2"/>
      <c r="CE45" s="2"/>
    </row>
    <row r="46" spans="1:83" ht="12.75" customHeight="1" thickBot="1" x14ac:dyDescent="0.35">
      <c r="A46" s="17"/>
      <c r="B46" s="159" t="s">
        <v>155</v>
      </c>
      <c r="C46" s="295">
        <f>C44*FRACs.sdR</f>
        <v>34374131.862721123</v>
      </c>
      <c r="D46" s="446">
        <f t="shared" si="11"/>
        <v>1.3186144779786745E-3</v>
      </c>
      <c r="E46" s="295">
        <f>E44*FRACs.sdC</f>
        <v>1701341.8193168405</v>
      </c>
      <c r="F46" s="446">
        <f t="shared" si="12"/>
        <v>8.0059970677626895E-4</v>
      </c>
      <c r="G46" s="296"/>
      <c r="H46" s="446"/>
      <c r="I46" s="296"/>
      <c r="J46" s="446"/>
      <c r="K46" s="296"/>
      <c r="L46" s="461"/>
      <c r="M46" s="124">
        <f>C.sd1R*FRACs.sdR/(FRACw.sdR/(Kp.sd1R*RHOsolid/1000)+FRACs.sdR)*(Molweight*1000*1000)/(FRACs.sdR*RHOsolid)</f>
        <v>1822.8206218227576</v>
      </c>
      <c r="N46" s="124">
        <f>C.sd1C*FRACs.sdC/(FRACw.sdC/(Kp.sd1C*RHOsolid/1000)+FRACs.sdC)*(Molweight*1000*1000)/(FRACs.sdC*RHOsolid)</f>
        <v>5.9158281674679811</v>
      </c>
      <c r="O46" s="124"/>
      <c r="P46" s="124"/>
      <c r="Q46" s="124"/>
      <c r="R46" s="160" t="s">
        <v>140</v>
      </c>
      <c r="S46" s="163">
        <f>S44*(1-FRACw.sdR)</f>
        <v>1.9068661607606203E-24</v>
      </c>
      <c r="T46" s="163">
        <f>T44*(1-FRACw.sdC)</f>
        <v>6.1885916860754539E-27</v>
      </c>
      <c r="U46" s="163"/>
      <c r="V46" s="163"/>
      <c r="W46" s="162"/>
      <c r="X46" s="17"/>
      <c r="Y46" s="156"/>
      <c r="Z46" s="17"/>
      <c r="AA46" s="312" t="s">
        <v>165</v>
      </c>
      <c r="AB46" s="162" t="s">
        <v>176</v>
      </c>
      <c r="AC46" s="161"/>
      <c r="AD46" s="163">
        <f>(k.w2T.w3T*M.w2T+k.w3M.w3T*M.w3M)*Molweight</f>
        <v>244.68492898944999</v>
      </c>
      <c r="AE46" s="163">
        <f>(k.w3T.w2T+k.w3T.w3M)*M.w3T*Molweight</f>
        <v>244.66359817270489</v>
      </c>
      <c r="AF46" s="163"/>
      <c r="AG46" s="163">
        <f>(kdis.w2S.w2D*M.w3TS+kdis.w2A.w2D*M.w3TA+kdis.w2P.w2D*M.w3TP)*Molweight</f>
        <v>6.2100403157243995E-4</v>
      </c>
      <c r="AH46" s="162">
        <f>KDEG.w3T*VOLUME.w3T*C.w3T*Molweight</f>
        <v>2.1894779134652292E-10</v>
      </c>
      <c r="AI46" s="163"/>
      <c r="AJ46" s="163"/>
      <c r="AK46" s="163"/>
      <c r="AL46" s="163"/>
      <c r="AM46" s="163"/>
      <c r="AN46" s="163">
        <f>k.w3T.sdT*M.w3T*Molweight</f>
        <v>100.55603283581495</v>
      </c>
      <c r="AO46" s="162">
        <f>k.sdT.w3T*M.sdT*Molweight</f>
        <v>100.53408101525726</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189</v>
      </c>
      <c r="BP46" s="2"/>
      <c r="BQ46" s="113"/>
      <c r="BR46" s="121"/>
      <c r="BS46" s="2"/>
      <c r="BT46" s="88" t="s">
        <v>190</v>
      </c>
      <c r="BU46" s="2"/>
      <c r="BV46" s="2"/>
      <c r="BW46" s="89">
        <f>M12</f>
        <v>3.9040255677422808E-26</v>
      </c>
      <c r="BX46" s="120" t="s">
        <v>113</v>
      </c>
      <c r="BY46" s="2"/>
      <c r="BZ46" s="2"/>
      <c r="CA46" s="2"/>
      <c r="CB46" s="2"/>
      <c r="CC46" s="2"/>
      <c r="CD46" s="2"/>
      <c r="CE46" s="2"/>
    </row>
    <row r="47" spans="1:83" ht="12.75" customHeight="1" x14ac:dyDescent="0.3">
      <c r="A47" s="17"/>
      <c r="B47" s="159" t="s">
        <v>123</v>
      </c>
      <c r="C47" s="295">
        <f>M.sd1RS*Molweight</f>
        <v>6.4507876993070042E-6</v>
      </c>
      <c r="D47" s="446">
        <f t="shared" si="11"/>
        <v>2.4745649108008052E-16</v>
      </c>
      <c r="E47" s="295">
        <f>M.sd1CS*Molweight</f>
        <v>8.1545593885788619E-10</v>
      </c>
      <c r="F47" s="446">
        <f t="shared" si="12"/>
        <v>3.8372875933934236E-19</v>
      </c>
      <c r="G47" s="296"/>
      <c r="H47" s="446"/>
      <c r="I47" s="296"/>
      <c r="J47" s="446"/>
      <c r="K47" s="296"/>
      <c r="L47" s="461"/>
      <c r="M47" s="124">
        <f>C.sd1RS*(Molweight*1000)/(FRACw.sdR*1000+FRACs.sdR*RHOsolid)</f>
        <v>2.6314566502840775E-14</v>
      </c>
      <c r="N47" s="124">
        <f>C.sd1CS*(Molweight*1000)/(FRACw.sdC*1000+FRACs.sdC*RHOsolid)</f>
        <v>2.1812013107973137E-19</v>
      </c>
      <c r="O47" s="124"/>
      <c r="P47" s="124"/>
      <c r="Q47" s="124"/>
      <c r="R47" s="160" t="s">
        <v>151</v>
      </c>
      <c r="S47" s="163"/>
      <c r="T47" s="163"/>
      <c r="U47" s="163"/>
      <c r="V47" s="163"/>
      <c r="W47" s="162"/>
      <c r="X47" s="17"/>
      <c r="Y47" s="156"/>
      <c r="Z47" s="17"/>
      <c r="AA47" s="312" t="s">
        <v>181</v>
      </c>
      <c r="AB47" s="162" t="s">
        <v>177</v>
      </c>
      <c r="AC47" s="161"/>
      <c r="AD47" s="163"/>
      <c r="AE47" s="163"/>
      <c r="AF47" s="163">
        <f>(NETsedrate.wT*SYSTEMAREA.T*AREAFRAC.wT)*C.sdT*Molweight</f>
        <v>2.1951821319019859E-2</v>
      </c>
      <c r="AG47" s="163">
        <f>(kdis.sd2S.sd2D*M.sdTS+kdis.sd2A.sd2D*M.sdTA+kdis.sd2P.sd2D*M.sdTP)*Molweight</f>
        <v>8.6514470739315422E-10</v>
      </c>
      <c r="AH47" s="162">
        <f>KDEG.sdT*VOLUME.sdT*C.sdT*Molweight</f>
        <v>1.0384089556749103E-10</v>
      </c>
      <c r="AI47" s="163"/>
      <c r="AJ47" s="163"/>
      <c r="AK47" s="163"/>
      <c r="AL47" s="163"/>
      <c r="AM47" s="163"/>
      <c r="AN47" s="163">
        <f>k.w3T.sdT*M.w3T*Molweight</f>
        <v>100.55603283581495</v>
      </c>
      <c r="AO47" s="162">
        <f>k.sdT.w3T*M.sdT*Molweight</f>
        <v>100.53408101525726</v>
      </c>
      <c r="AP47" s="909">
        <f>SUM(AC47,AD47,AN47,AG47)-SUM(AE47,AF47,AH47,AO47)</f>
        <v>0</v>
      </c>
      <c r="AQ47" s="17"/>
      <c r="AR47" s="46"/>
      <c r="AS47" s="2"/>
      <c r="AT47" s="58" t="s">
        <v>141</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126</v>
      </c>
      <c r="C48" s="295">
        <f>M.sd1RA*Molweight</f>
        <v>119892.11903347586</v>
      </c>
      <c r="D48" s="446">
        <f t="shared" si="11"/>
        <v>4.5991411385878431E-6</v>
      </c>
      <c r="E48" s="295">
        <f>M.sd1CA*Molweight</f>
        <v>1334.3408533804363</v>
      </c>
      <c r="F48" s="446">
        <f t="shared" si="12"/>
        <v>6.2790021606882608E-7</v>
      </c>
      <c r="G48" s="296"/>
      <c r="H48" s="446"/>
      <c r="I48" s="296"/>
      <c r="J48" s="446"/>
      <c r="K48" s="296"/>
      <c r="L48" s="461"/>
      <c r="M48" s="124">
        <f>C.sd1RA*(Molweight*1000)/(FRACw.sdR*1000+FRACs.sdR*RHOsolid)</f>
        <v>4.8907347234692419E-4</v>
      </c>
      <c r="N48" s="124">
        <f>C.sd1CA*(Molweight*1000)/(FRACw.sdC*1000+FRACs.sdC*RHOsolid)</f>
        <v>3.5691272572251584E-7</v>
      </c>
      <c r="O48" s="124"/>
      <c r="P48" s="124"/>
      <c r="Q48" s="124"/>
      <c r="R48" s="160" t="s">
        <v>151</v>
      </c>
      <c r="S48" s="163"/>
      <c r="T48" s="163"/>
      <c r="U48" s="163"/>
      <c r="V48" s="163"/>
      <c r="W48" s="162"/>
      <c r="X48" s="17"/>
      <c r="Y48" s="156"/>
      <c r="Z48" s="17"/>
      <c r="AA48" s="312" t="s">
        <v>182</v>
      </c>
      <c r="AB48" s="162" t="s">
        <v>178</v>
      </c>
      <c r="AC48" s="161">
        <f>E.sTD*Molweight</f>
        <v>0</v>
      </c>
      <c r="AD48" s="163"/>
      <c r="AE48" s="163"/>
      <c r="AF48" s="163">
        <f>(FRACinf.sT*RAINrate.T/Kslw.T*SYSTEMAREA.T*AREAFRAC.sT*CORRleach.sT)*C.sT*Molweight</f>
        <v>1.3580278624782377E-5</v>
      </c>
      <c r="AG48" s="163">
        <f>(kdis.s1S.s1D*M.sTS+kdis.s1A.s1D*M.sTA+kdis.s1P.s1D*M.sTP)*Molweight</f>
        <v>7.3314040178791839E-3</v>
      </c>
      <c r="AH48" s="162">
        <f>KDEG.sT*VOLUME.sT*C.sT*Molweight</f>
        <v>2.1931237634697792E-12</v>
      </c>
      <c r="AI48" s="163"/>
      <c r="AJ48" s="163"/>
      <c r="AK48" s="163">
        <f>k.aT.sT*M.aT*Molweight</f>
        <v>9.6903503962567746E-17</v>
      </c>
      <c r="AL48" s="163">
        <f>k.sT.aT*M.sT*Molweight</f>
        <v>2.0491100327050425E-18</v>
      </c>
      <c r="AM48" s="163">
        <f>k.sT.w2T*M.sT*Molweight</f>
        <v>7.3178237370613748E-3</v>
      </c>
      <c r="AN48" s="163"/>
      <c r="AO48" s="162"/>
      <c r="AP48" s="909">
        <f>SUM(AC48,AD48,AK48,AG48)-SUM(AE48,AF48,AH48,AL48,AM48,AP47)</f>
        <v>0</v>
      </c>
      <c r="AQ48" s="17"/>
      <c r="AR48" s="46"/>
      <c r="AS48" s="2"/>
      <c r="AT48" s="64" t="s">
        <v>143</v>
      </c>
      <c r="AU48" s="11"/>
      <c r="AV48" s="11"/>
      <c r="AW48" s="11"/>
      <c r="AX48" s="11"/>
      <c r="AY48" s="11"/>
      <c r="AZ48" s="11"/>
      <c r="BA48" s="11"/>
      <c r="BB48" s="11"/>
      <c r="BC48" s="11"/>
      <c r="BD48" s="11"/>
      <c r="BE48" s="11"/>
      <c r="BF48" s="11"/>
      <c r="BG48" s="11"/>
      <c r="BH48" s="11"/>
      <c r="BI48" s="11"/>
      <c r="BJ48" s="11"/>
      <c r="BK48" s="2"/>
      <c r="BL48" s="46"/>
      <c r="BM48" s="2"/>
      <c r="BN48" s="119"/>
      <c r="BO48" s="17" t="s">
        <v>191</v>
      </c>
      <c r="BP48" s="2"/>
      <c r="BQ48" s="2"/>
      <c r="BR48" s="120"/>
      <c r="BS48" s="2"/>
      <c r="BT48" s="90" t="s">
        <v>192</v>
      </c>
      <c r="BU48" s="113"/>
      <c r="BV48" s="113"/>
      <c r="BW48" s="89">
        <f>M20</f>
        <v>3.2930675653266101E-5</v>
      </c>
      <c r="BX48" s="304" t="s">
        <v>134</v>
      </c>
      <c r="BY48" s="2"/>
      <c r="BZ48" s="2"/>
      <c r="CA48" s="2"/>
      <c r="CB48" s="2"/>
      <c r="CC48" s="2"/>
      <c r="CD48" s="2"/>
      <c r="CE48" s="2"/>
    </row>
    <row r="49" spans="1:83" ht="12.75" customHeight="1" thickBot="1" x14ac:dyDescent="0.35">
      <c r="A49" s="17"/>
      <c r="B49" s="159" t="s">
        <v>128</v>
      </c>
      <c r="C49" s="295">
        <f>M.sd1RP*Molweight</f>
        <v>466152.12405586254</v>
      </c>
      <c r="D49" s="446">
        <f t="shared" si="11"/>
        <v>1.7881904397626078E-5</v>
      </c>
      <c r="E49" s="295">
        <f>M.sd1CP*Molweight</f>
        <v>200.52994216135187</v>
      </c>
      <c r="F49" s="446">
        <f t="shared" si="12"/>
        <v>9.4363290828121576E-8</v>
      </c>
      <c r="G49" s="296"/>
      <c r="H49" s="446"/>
      <c r="I49" s="296"/>
      <c r="J49" s="446"/>
      <c r="K49" s="296"/>
      <c r="L49" s="461"/>
      <c r="M49" s="124">
        <f>C.sd1RP*(Molweight*1000)/(FRACw.sdR*1000+FRACs.sdR*RHOsolid)</f>
        <v>1.9015648383880709E-3</v>
      </c>
      <c r="N49" s="124">
        <f>C.sd1CP*(Molweight*1000)/(FRACw.sdC*1000+FRACs.sdC*RHOsolid)</f>
        <v>5.3638234986559777E-8</v>
      </c>
      <c r="O49" s="124"/>
      <c r="P49" s="124"/>
      <c r="Q49" s="124"/>
      <c r="R49" s="160" t="s">
        <v>151</v>
      </c>
      <c r="S49" s="163"/>
      <c r="T49" s="163"/>
      <c r="U49" s="163"/>
      <c r="V49" s="163"/>
      <c r="W49" s="162"/>
      <c r="X49" s="17"/>
      <c r="Y49" s="156"/>
      <c r="Z49" s="17"/>
      <c r="AA49" s="927"/>
      <c r="AB49" s="928"/>
      <c r="AC49" s="912">
        <f>SUM(AC11:AC48)</f>
        <v>0</v>
      </c>
      <c r="AD49" s="913"/>
      <c r="AE49" s="913"/>
      <c r="AF49" s="914">
        <f>SUM(AF11:AF48)</f>
        <v>0.92208273911982219</v>
      </c>
      <c r="AG49" s="914"/>
      <c r="AH49" s="915">
        <f>SUM(AH11:AH48)</f>
        <v>5.1282565687162896E-10</v>
      </c>
      <c r="AI49" s="929"/>
      <c r="AJ49" s="930"/>
      <c r="AK49" s="930"/>
      <c r="AL49" s="929"/>
      <c r="AM49" s="929"/>
      <c r="AN49" s="929"/>
      <c r="AO49" s="486"/>
      <c r="AP49" s="931">
        <f>SUM(AP12:AP48)</f>
        <v>-2.9475330640924214E-2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193</v>
      </c>
      <c r="BU49" s="2"/>
      <c r="BV49" s="2"/>
      <c r="BW49" s="89">
        <f>M36</f>
        <v>4.5847419599491081E-5</v>
      </c>
      <c r="BX49" s="120" t="s">
        <v>134</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144</v>
      </c>
      <c r="AU50" s="11"/>
      <c r="AV50" s="11"/>
      <c r="AW50" s="11"/>
      <c r="AX50" s="11"/>
      <c r="AY50" s="11"/>
      <c r="AZ50" s="11"/>
      <c r="BA50" s="11"/>
      <c r="BB50" s="11"/>
      <c r="BC50" s="11"/>
      <c r="BD50" s="11"/>
      <c r="BE50" s="11"/>
      <c r="BF50" s="11"/>
      <c r="BG50" s="11"/>
      <c r="BH50" s="11"/>
      <c r="BI50" s="11"/>
      <c r="BJ50" s="11"/>
      <c r="BK50" s="2"/>
      <c r="BL50" s="46"/>
      <c r="BM50" s="2"/>
      <c r="BN50" s="119"/>
      <c r="BO50" s="2" t="s">
        <v>194</v>
      </c>
      <c r="BP50" s="2"/>
      <c r="BQ50" s="2"/>
      <c r="BR50" s="120"/>
      <c r="BS50" s="2"/>
      <c r="BT50" s="90" t="s">
        <v>195</v>
      </c>
      <c r="BU50" s="2"/>
      <c r="BV50" s="2"/>
      <c r="BW50" s="89">
        <f>M52</f>
        <v>9.7341080279033023E-6</v>
      </c>
      <c r="BX50" s="120" t="s">
        <v>134</v>
      </c>
      <c r="BY50" s="2"/>
      <c r="BZ50" s="2"/>
      <c r="CA50" s="2"/>
      <c r="CB50" s="2"/>
      <c r="CC50" s="2"/>
      <c r="CD50" s="2"/>
      <c r="CE50" s="2"/>
    </row>
    <row r="51" spans="1:83" ht="12.75" customHeight="1" thickBot="1" x14ac:dyDescent="0.4">
      <c r="A51" s="17"/>
      <c r="B51" s="104" t="s">
        <v>196</v>
      </c>
      <c r="C51" s="295">
        <f>SUM(C52,C55:C57)</f>
        <v>103924.04414122346</v>
      </c>
      <c r="D51" s="446">
        <f t="shared" ref="D51:D57" si="13">C51/$C$103</f>
        <v>3.9865952036836138E-6</v>
      </c>
      <c r="E51" s="295">
        <f>SUM(E52,E55:E57)</f>
        <v>79610339.726704553</v>
      </c>
      <c r="F51" s="446">
        <f t="shared" ref="F51:F57" si="14">E51/$E$103</f>
        <v>3.7462204195481116E-2</v>
      </c>
      <c r="G51" s="296">
        <f>SUM(G52,G55:G57)</f>
        <v>435265041.0279417</v>
      </c>
      <c r="H51" s="446">
        <f t="shared" ref="H51:H57" si="15">G51/$G$103</f>
        <v>2.3131357808733675E-2</v>
      </c>
      <c r="I51" s="296">
        <f>SUM(I52,I55:I57)</f>
        <v>348958036.61154175</v>
      </c>
      <c r="J51" s="446">
        <f t="shared" ref="J51:J57" si="16">I51/$I$103</f>
        <v>2.9439213156767504E-2</v>
      </c>
      <c r="K51" s="296">
        <f>SUM(K52,K55:K57)</f>
        <v>1002674093.3174068</v>
      </c>
      <c r="L51" s="461">
        <f t="shared" ref="L51:L57" si="17">K51/$K$103</f>
        <v>2.2836982575805825E-2</v>
      </c>
      <c r="M51" s="459">
        <f>(M.w2RD+M.w2RS+M.w2RA+M.w2RP)*Molweight/(VOLUME.w2R)</f>
        <v>1.0392404414122333E-5</v>
      </c>
      <c r="N51" s="459">
        <f>(M.w2CD+M.w2CS+M.w2CA+M.w2CP)*Molweight/(VOLUME.w2C)</f>
        <v>1.0719303783679227E-7</v>
      </c>
      <c r="O51" s="459">
        <f>(M.w2MD+M.w2MS+M.w2MA+M.w2MP)*Molweight/(VOLUME.w2M)</f>
        <v>1.1222339044679782E-7</v>
      </c>
      <c r="P51" s="459">
        <f>(M.w2AD+M.w2AS+M.w2AA+M.w2AP)*Molweight/(VOLUME.w2A)</f>
        <v>1.3684628886727131E-7</v>
      </c>
      <c r="Q51" s="459">
        <f>(M.w2TD+M.w2TS+M.w2TA+M.w2TP)*Molweight/(VOLUME.w2T)</f>
        <v>1.1234443622604E-7</v>
      </c>
      <c r="R51" s="160" t="s">
        <v>134</v>
      </c>
      <c r="S51" s="163"/>
      <c r="T51" s="163"/>
      <c r="U51" s="163"/>
      <c r="V51" s="163"/>
      <c r="W51" s="162"/>
      <c r="X51" s="17"/>
      <c r="Y51" s="156"/>
      <c r="Z51" s="17"/>
      <c r="AA51" s="47" t="s">
        <v>197</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116</v>
      </c>
      <c r="C52" s="295">
        <f>M.w2RD*Molweight</f>
        <v>97341.080279033136</v>
      </c>
      <c r="D52" s="446">
        <f t="shared" si="13"/>
        <v>3.7340683474022335E-6</v>
      </c>
      <c r="E52" s="295">
        <f>M.w2CD*Molweight</f>
        <v>79602136.340315327</v>
      </c>
      <c r="F52" s="446">
        <f t="shared" si="14"/>
        <v>3.7458343931386501E-2</v>
      </c>
      <c r="G52" s="296">
        <f>M.w2MD*Molweight</f>
        <v>435259403.57769394</v>
      </c>
      <c r="H52" s="446">
        <f t="shared" si="15"/>
        <v>2.3131058216837894E-2</v>
      </c>
      <c r="I52" s="296">
        <f>M.w2AD*Molweight</f>
        <v>348956862.72621161</v>
      </c>
      <c r="J52" s="446">
        <f t="shared" si="16"/>
        <v>2.9439114124056316E-2</v>
      </c>
      <c r="K52" s="296">
        <f>M.w2TD*Molweight</f>
        <v>1002671365.3827714</v>
      </c>
      <c r="L52" s="461">
        <f t="shared" si="17"/>
        <v>2.2836920444155917E-2</v>
      </c>
      <c r="M52" s="124">
        <f>C.w2R*Molweight</f>
        <v>9.7341080279033023E-6</v>
      </c>
      <c r="N52" s="124">
        <f>C.w2C*Molweight</f>
        <v>1.0718199221243456E-7</v>
      </c>
      <c r="O52" s="124">
        <f>C.w2M*Molweight</f>
        <v>1.1222193695588852E-7</v>
      </c>
      <c r="P52" s="124">
        <f>C.w2A*Molweight</f>
        <v>1.3684582852008299E-7</v>
      </c>
      <c r="Q52" s="124">
        <f>C.w2T*Molweight</f>
        <v>1.1234413057510044E-7</v>
      </c>
      <c r="R52" s="160" t="s">
        <v>134</v>
      </c>
      <c r="S52" s="163">
        <f>F.w2R</f>
        <v>2.4184441041960981E-24</v>
      </c>
      <c r="T52" s="163">
        <f>F.w2C</f>
        <v>2.6629420630951053E-26</v>
      </c>
      <c r="U52" s="163">
        <f>F.w2M</f>
        <v>2.7881597472972984E-26</v>
      </c>
      <c r="V52" s="163">
        <f>F.w2A</f>
        <v>6.987584086883921E-32</v>
      </c>
      <c r="W52" s="162">
        <f>F.w2T</f>
        <v>2.5803344050914316E-23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152</v>
      </c>
      <c r="AU52" s="11"/>
      <c r="AV52" s="11"/>
      <c r="AW52" s="11"/>
      <c r="AX52" s="11"/>
      <c r="AY52" s="11"/>
      <c r="AZ52" s="11"/>
      <c r="BA52" s="11"/>
      <c r="BB52" s="11"/>
      <c r="BC52" s="11"/>
      <c r="BD52" s="11"/>
      <c r="BE52" s="11"/>
      <c r="BF52" s="11"/>
      <c r="BG52" s="11"/>
      <c r="BH52" s="11"/>
      <c r="BI52" s="11"/>
      <c r="BJ52" s="11"/>
      <c r="BK52" s="2"/>
      <c r="BL52" s="46"/>
      <c r="BM52" s="2"/>
      <c r="BN52" s="119"/>
      <c r="BO52" s="2" t="s">
        <v>198</v>
      </c>
      <c r="BP52" s="2"/>
      <c r="BQ52" s="2"/>
      <c r="BR52" s="120"/>
      <c r="BS52" s="2"/>
      <c r="BT52" s="90" t="s">
        <v>199</v>
      </c>
      <c r="BU52" s="2"/>
      <c r="BV52" s="2"/>
      <c r="BW52" s="89">
        <f>M44</f>
        <v>0.70110847003705168</v>
      </c>
      <c r="BX52" s="120" t="s">
        <v>151</v>
      </c>
      <c r="BY52" s="2"/>
      <c r="BZ52" s="2"/>
      <c r="CA52" s="2"/>
      <c r="CB52" s="2"/>
      <c r="CC52" s="2"/>
      <c r="CD52" s="2"/>
      <c r="CE52" s="2"/>
    </row>
    <row r="53" spans="1:83" ht="12.75" customHeight="1" x14ac:dyDescent="0.3">
      <c r="A53" s="17"/>
      <c r="B53" s="159" t="s">
        <v>137</v>
      </c>
      <c r="C53" s="295">
        <f>FRwD.w2R*C52</f>
        <v>65984.111033631008</v>
      </c>
      <c r="D53" s="446">
        <f t="shared" si="13"/>
        <v>2.5311942268964857E-6</v>
      </c>
      <c r="E53" s="295">
        <f>FRw.w2C*E52</f>
        <v>53959501.864342481</v>
      </c>
      <c r="F53" s="446">
        <f t="shared" si="14"/>
        <v>2.5391700174473293E-2</v>
      </c>
      <c r="G53" s="296">
        <f>FRw.w2M*G52</f>
        <v>295047114.04244375</v>
      </c>
      <c r="H53" s="446">
        <f t="shared" si="15"/>
        <v>1.5679734695054223E-2</v>
      </c>
      <c r="I53" s="296">
        <f>FRw.w2A*I52</f>
        <v>236545642.4982115</v>
      </c>
      <c r="J53" s="446">
        <f t="shared" si="16"/>
        <v>1.9955744989937987E-2</v>
      </c>
      <c r="K53" s="296">
        <f>FRw.w2T*K52</f>
        <v>679675821.49291039</v>
      </c>
      <c r="L53" s="461">
        <f t="shared" si="17"/>
        <v>1.5480348994831901E-2</v>
      </c>
      <c r="M53" s="124">
        <f>M52*FRwD.w2R</f>
        <v>6.5984111033630929E-6</v>
      </c>
      <c r="N53" s="124">
        <f>N52*FRw.w2C</f>
        <v>7.265492076601087E-8</v>
      </c>
      <c r="O53" s="124">
        <f>O52*FRw.w2M</f>
        <v>7.6071322891425345E-8</v>
      </c>
      <c r="P53" s="124">
        <f>P52*FRw.w2A</f>
        <v>9.2762997058122154E-8</v>
      </c>
      <c r="Q53" s="124">
        <f>Q52*FRw.w2T</f>
        <v>7.6154153668673439E-8</v>
      </c>
      <c r="R53" s="160" t="s">
        <v>134</v>
      </c>
      <c r="S53" s="163">
        <f>S52*FRwD.w2R</f>
        <v>1.6393786040021813E-24</v>
      </c>
      <c r="T53" s="163">
        <f>T52*FRw.w2C</f>
        <v>1.8051152120328528E-26</v>
      </c>
      <c r="U53" s="163">
        <f>U52*FRw.w2M</f>
        <v>1.8899958970847046E-26</v>
      </c>
      <c r="V53" s="163">
        <f>V52*FRw.w2A</f>
        <v>4.7366386619513839E-32</v>
      </c>
      <c r="W53" s="162">
        <f>W52*FRw.w2T</f>
        <v>1.7491183722369757E-23</v>
      </c>
      <c r="X53" s="17"/>
      <c r="Y53" s="156"/>
      <c r="Z53" s="17"/>
      <c r="AA53" s="21" t="s">
        <v>57</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153</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200</v>
      </c>
      <c r="BU53" s="2"/>
      <c r="BV53" s="2"/>
      <c r="BW53" s="89">
        <f>M68</f>
        <v>0.2410857608792347</v>
      </c>
      <c r="BX53" s="120" t="s">
        <v>151</v>
      </c>
      <c r="BY53" s="2"/>
      <c r="BZ53" s="2"/>
      <c r="CA53" s="2"/>
      <c r="CB53" s="2"/>
      <c r="CC53" s="2"/>
      <c r="CD53" s="2"/>
      <c r="CE53" s="2"/>
    </row>
    <row r="54" spans="1:83" ht="12.75" customHeight="1" thickBot="1" x14ac:dyDescent="0.35">
      <c r="A54" s="17"/>
      <c r="B54" s="159" t="s">
        <v>139</v>
      </c>
      <c r="C54" s="295">
        <f>(1-FRwD.w2R)*C52</f>
        <v>31356.969245402135</v>
      </c>
      <c r="D54" s="446">
        <f t="shared" si="13"/>
        <v>1.2028741205057482E-6</v>
      </c>
      <c r="E54" s="295">
        <f>(1-FRw.w2C)*E52</f>
        <v>25642634.475972842</v>
      </c>
      <c r="F54" s="446">
        <f t="shared" si="14"/>
        <v>1.2066643756913202E-2</v>
      </c>
      <c r="G54" s="296">
        <f>(1-FRw.w2M)*G52</f>
        <v>140212289.53525016</v>
      </c>
      <c r="H54" s="446">
        <f t="shared" si="15"/>
        <v>7.4513235217836694E-3</v>
      </c>
      <c r="I54" s="296">
        <f>(1-FRw.w2A)*I52</f>
        <v>112411220.2280001</v>
      </c>
      <c r="J54" s="446">
        <f t="shared" si="16"/>
        <v>9.4833691341183329E-3</v>
      </c>
      <c r="K54" s="296">
        <f>(1-FRw.w2T)*K52</f>
        <v>322995543.88986099</v>
      </c>
      <c r="L54" s="461">
        <f t="shared" si="17"/>
        <v>7.3565714493240182E-3</v>
      </c>
      <c r="M54" s="124">
        <f>M53*Kp.susp2R</f>
        <v>0.62684905481949382</v>
      </c>
      <c r="N54" s="124">
        <f>N53*Kp.susp2C</f>
        <v>6.9022174727710328E-3</v>
      </c>
      <c r="O54" s="124">
        <f>O53*Kp.susp2M</f>
        <v>7.2267756746854078E-3</v>
      </c>
      <c r="P54" s="124">
        <f>P53*Kp.susp2A</f>
        <v>8.8124847205216048E-3</v>
      </c>
      <c r="Q54" s="124">
        <f>Q53*Kp.susp2T</f>
        <v>7.2346445985239771E-3</v>
      </c>
      <c r="R54" s="160" t="s">
        <v>140</v>
      </c>
      <c r="S54" s="163">
        <f>S52*(1-FRwD.w2R)</f>
        <v>7.7906550019391687E-25</v>
      </c>
      <c r="T54" s="163">
        <f>T52*(1-FRw.w2C)</f>
        <v>8.5782685106225249E-27</v>
      </c>
      <c r="U54" s="163">
        <f>U52*(1-FRw.w2M)</f>
        <v>8.9816385021259363E-27</v>
      </c>
      <c r="V54" s="163">
        <f>V52*(1-FRw.w2A)</f>
        <v>2.2509454249325374E-32</v>
      </c>
      <c r="W54" s="162">
        <f>W52*(1-FRw.w2T)</f>
        <v>8.3121603285445589E-24</v>
      </c>
      <c r="X54" s="17"/>
      <c r="Y54" s="156"/>
      <c r="Z54" s="17"/>
      <c r="AA54" s="21" t="s">
        <v>61</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201</v>
      </c>
      <c r="BP54" s="2"/>
      <c r="BQ54" s="2"/>
      <c r="BR54" s="120"/>
      <c r="BS54" s="2"/>
      <c r="BT54" s="119"/>
      <c r="BU54" s="2"/>
      <c r="BV54" s="2"/>
      <c r="BW54" s="89"/>
      <c r="BX54" s="120"/>
      <c r="BY54" s="2"/>
      <c r="BZ54" s="2"/>
      <c r="CA54" s="2"/>
      <c r="CB54" s="2"/>
      <c r="CC54" s="2"/>
      <c r="CD54" s="2"/>
      <c r="CE54" s="2"/>
    </row>
    <row r="55" spans="1:83" ht="12.75" customHeight="1" x14ac:dyDescent="0.3">
      <c r="A55" s="17"/>
      <c r="B55" s="159" t="s">
        <v>123</v>
      </c>
      <c r="C55" s="295">
        <f>M.w2RS*Molweight</f>
        <v>5.2486419327473208E-2</v>
      </c>
      <c r="D55" s="446">
        <f t="shared" si="13"/>
        <v>2.0134138281328846E-12</v>
      </c>
      <c r="E55" s="295">
        <f>M.w2CS*Molweight</f>
        <v>1.1524908328044328</v>
      </c>
      <c r="F55" s="446">
        <f t="shared" si="14"/>
        <v>5.4232712811118866E-10</v>
      </c>
      <c r="G55" s="296">
        <f>M.w2MS*Molweight</f>
        <v>2.2094717400295422E-2</v>
      </c>
      <c r="H55" s="446">
        <f t="shared" si="15"/>
        <v>1.1741830050538763E-12</v>
      </c>
      <c r="I55" s="296">
        <f>M.w2AS*Molweight</f>
        <v>2.0995362182127232E-4</v>
      </c>
      <c r="J55" s="446">
        <f t="shared" si="16"/>
        <v>1.771235729616481E-14</v>
      </c>
      <c r="K55" s="296">
        <f>M.w2TS*Molweight</f>
        <v>4.5548491434718844E-4</v>
      </c>
      <c r="L55" s="461">
        <f t="shared" si="17"/>
        <v>1.0374159581678074E-14</v>
      </c>
      <c r="M55" s="124">
        <f>C.w2RS*Molweight</f>
        <v>5.2486419327473147E-12</v>
      </c>
      <c r="N55" s="124">
        <f>C.w2CS*Molweight</f>
        <v>1.5517958329465811E-15</v>
      </c>
      <c r="O55" s="124">
        <f>C.w2MS*Molweight</f>
        <v>5.6966304754666415E-18</v>
      </c>
      <c r="P55" s="124">
        <f>C.w2AS*Molweight</f>
        <v>8.233475365540091E-20</v>
      </c>
      <c r="Q55" s="124">
        <f>C.w2TS*Molweight</f>
        <v>5.1034724296603755E-20</v>
      </c>
      <c r="R55" s="160" t="s">
        <v>134</v>
      </c>
      <c r="S55" s="163"/>
      <c r="T55" s="163"/>
      <c r="U55" s="163"/>
      <c r="V55" s="163"/>
      <c r="W55" s="162"/>
      <c r="X55" s="17"/>
      <c r="Y55" s="156"/>
      <c r="Z55" s="17"/>
      <c r="AA55" s="21" t="s">
        <v>63</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156</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202</v>
      </c>
      <c r="BU55" s="2"/>
      <c r="BV55" s="2"/>
      <c r="BW55" s="89">
        <f>M76</f>
        <v>6.6877570741299214E-2</v>
      </c>
      <c r="BX55" s="120" t="s">
        <v>151</v>
      </c>
      <c r="BY55" s="2"/>
      <c r="BZ55" s="2"/>
      <c r="CA55" s="2"/>
      <c r="CB55" s="2"/>
      <c r="CC55" s="2"/>
      <c r="CD55" s="2"/>
      <c r="CE55" s="2"/>
    </row>
    <row r="56" spans="1:83" ht="12.75" customHeight="1" x14ac:dyDescent="0.3">
      <c r="A56" s="17"/>
      <c r="B56" s="159" t="s">
        <v>126</v>
      </c>
      <c r="C56" s="295">
        <f>M.w2RA*Molweight</f>
        <v>6547.9179729307625</v>
      </c>
      <c r="D56" s="446">
        <f t="shared" si="13"/>
        <v>2.5118247274448492E-7</v>
      </c>
      <c r="E56" s="295">
        <f>M.w2CA*Molweight</f>
        <v>8181.1172100199692</v>
      </c>
      <c r="F56" s="446">
        <f t="shared" si="14"/>
        <v>3.8497848962969082E-6</v>
      </c>
      <c r="G56" s="296">
        <f>M.w2MA*Molweight</f>
        <v>5636.8523734212904</v>
      </c>
      <c r="H56" s="446">
        <f t="shared" si="15"/>
        <v>2.9956012285454209E-7</v>
      </c>
      <c r="I56" s="296">
        <f>M.w2AA*Molweight</f>
        <v>1173.8778269413021</v>
      </c>
      <c r="J56" s="446">
        <f t="shared" si="16"/>
        <v>9.9032078191676252E-8</v>
      </c>
      <c r="K56" s="296">
        <f>M.w2TA*Molweight</f>
        <v>2727.9224325669952</v>
      </c>
      <c r="L56" s="461">
        <f t="shared" si="17"/>
        <v>6.2131371974085095E-8</v>
      </c>
      <c r="M56" s="124">
        <f>C.w2RA*Molweight</f>
        <v>6.5479179729307547E-7</v>
      </c>
      <c r="N56" s="124">
        <f>C.w2CA*Molweight</f>
        <v>1.1015639546966224E-11</v>
      </c>
      <c r="O56" s="124">
        <f>C.w2MA*Molweight</f>
        <v>1.4533367607457538E-12</v>
      </c>
      <c r="P56" s="124">
        <f>C.w2AA*Molweight</f>
        <v>4.6034424585933425E-13</v>
      </c>
      <c r="Q56" s="124">
        <f>C.w2TA*Molweight</f>
        <v>3.0564957227641405E-13</v>
      </c>
      <c r="R56" s="160" t="s">
        <v>134</v>
      </c>
      <c r="S56" s="163"/>
      <c r="T56" s="163"/>
      <c r="U56" s="163"/>
      <c r="V56" s="163"/>
      <c r="W56" s="162"/>
      <c r="X56" s="17"/>
      <c r="Y56" s="156"/>
      <c r="Z56" s="17"/>
      <c r="AA56" s="21" t="s">
        <v>65</v>
      </c>
      <c r="AB56" s="934" t="str">
        <f>CaseName</f>
        <v>defaults only</v>
      </c>
      <c r="AC56" s="38"/>
      <c r="AD56" s="38"/>
      <c r="AE56" s="932"/>
      <c r="AF56" s="933"/>
      <c r="AG56" s="933"/>
      <c r="AH56" s="162"/>
      <c r="AI56" s="21"/>
      <c r="AJ56" s="21"/>
      <c r="AK56" s="38"/>
      <c r="AL56" s="919"/>
      <c r="AM56" s="917"/>
      <c r="AN56" s="17"/>
      <c r="AO56" s="17"/>
      <c r="AP56" s="17"/>
      <c r="AQ56" s="17"/>
      <c r="AR56" s="46"/>
      <c r="AS56" s="2"/>
      <c r="AT56" s="64" t="s">
        <v>159</v>
      </c>
      <c r="AU56" s="11"/>
      <c r="AV56" s="11"/>
      <c r="AW56" s="11"/>
      <c r="AX56" s="11"/>
      <c r="AY56" s="11"/>
      <c r="AZ56" s="11"/>
      <c r="BA56" s="11"/>
      <c r="BB56" s="11"/>
      <c r="BC56" s="11"/>
      <c r="BD56" s="11"/>
      <c r="BE56" s="11"/>
      <c r="BF56" s="11"/>
      <c r="BG56" s="11"/>
      <c r="BH56" s="11"/>
      <c r="BI56" s="11"/>
      <c r="BJ56" s="11"/>
      <c r="BK56" s="2"/>
      <c r="BL56" s="46"/>
      <c r="BM56" s="2"/>
      <c r="BN56" s="119"/>
      <c r="BO56" s="2" t="s">
        <v>72</v>
      </c>
      <c r="BP56" s="2"/>
      <c r="BQ56" s="2"/>
      <c r="BR56" s="120"/>
      <c r="BS56" s="2"/>
      <c r="BT56" s="88" t="s">
        <v>203</v>
      </c>
      <c r="BU56" s="2"/>
      <c r="BV56" s="2"/>
      <c r="BW56" s="89">
        <f>M84</f>
        <v>0.54458160057697602</v>
      </c>
      <c r="BX56" s="120" t="s">
        <v>151</v>
      </c>
      <c r="BY56" s="2"/>
      <c r="BZ56" s="2"/>
      <c r="CA56" s="2"/>
      <c r="CB56" s="2"/>
      <c r="CC56" s="2"/>
      <c r="CD56" s="2"/>
      <c r="CE56" s="2"/>
    </row>
    <row r="57" spans="1:83" ht="12.75" customHeight="1" thickBot="1" x14ac:dyDescent="0.35">
      <c r="A57" s="17"/>
      <c r="B57" s="159" t="s">
        <v>128</v>
      </c>
      <c r="C57" s="295">
        <f>M.w2RP*Molweight</f>
        <v>34.993402840236563</v>
      </c>
      <c r="D57" s="446">
        <f t="shared" si="13"/>
        <v>1.3423701230668186E-9</v>
      </c>
      <c r="E57" s="295">
        <f>M.w2CP*Molweight</f>
        <v>21.116688371982686</v>
      </c>
      <c r="F57" s="446">
        <f t="shared" si="14"/>
        <v>9.9368711958680097E-9</v>
      </c>
      <c r="G57" s="296">
        <f>M.w2MP*Molweight</f>
        <v>0.57577958803397633</v>
      </c>
      <c r="H57" s="446">
        <f t="shared" si="15"/>
        <v>3.0598744246322775E-11</v>
      </c>
      <c r="I57" s="296">
        <f>M.w2AP*Molweight</f>
        <v>7.2932803646086524E-3</v>
      </c>
      <c r="J57" s="446">
        <f t="shared" si="16"/>
        <v>6.1528439737524494E-13</v>
      </c>
      <c r="K57" s="296">
        <f>M.w2TP*Molweight</f>
        <v>1.1747398242573594E-2</v>
      </c>
      <c r="L57" s="461">
        <f t="shared" si="17"/>
        <v>2.6755964950595358E-13</v>
      </c>
      <c r="M57" s="124">
        <f>C.w2RP*Molweight</f>
        <v>3.4993402840236526E-9</v>
      </c>
      <c r="N57" s="124">
        <f>C.w2CP*Molweight</f>
        <v>2.8433014900028123E-14</v>
      </c>
      <c r="O57" s="124">
        <f>C.w2MP*Molweight</f>
        <v>1.4845193486394723E-16</v>
      </c>
      <c r="P57" s="124">
        <f>C.w2AP*Molweight</f>
        <v>2.860109946905354E-18</v>
      </c>
      <c r="Q57" s="124">
        <f>C.w2TP*Molweight</f>
        <v>1.3162350972071257E-18</v>
      </c>
      <c r="R57" s="160" t="s">
        <v>134</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161</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204</v>
      </c>
      <c r="BU57" s="2"/>
      <c r="BV57" s="2"/>
      <c r="BW57" s="89">
        <f>M92</f>
        <v>6.6877532909614498E-2</v>
      </c>
      <c r="BX57" s="120" t="s">
        <v>151</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205</v>
      </c>
      <c r="AB58" s="920"/>
      <c r="AC58" s="921" t="s">
        <v>72</v>
      </c>
      <c r="AD58" s="922" t="s">
        <v>73</v>
      </c>
      <c r="AE58" s="922" t="s">
        <v>74</v>
      </c>
      <c r="AF58" s="922" t="s">
        <v>206</v>
      </c>
      <c r="AG58" s="922" t="s">
        <v>207</v>
      </c>
      <c r="AH58" s="923" t="s">
        <v>77</v>
      </c>
      <c r="AI58" s="922" t="s">
        <v>78</v>
      </c>
      <c r="AJ58" s="922" t="s">
        <v>79</v>
      </c>
      <c r="AK58" s="922" t="s">
        <v>80</v>
      </c>
      <c r="AL58" s="922" t="s">
        <v>81</v>
      </c>
      <c r="AM58" s="922" t="s">
        <v>82</v>
      </c>
      <c r="AN58" s="922" t="s">
        <v>83</v>
      </c>
      <c r="AO58" s="923" t="s">
        <v>84</v>
      </c>
      <c r="AP58" s="921" t="s">
        <v>85</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208</v>
      </c>
      <c r="BP58" s="2"/>
      <c r="BQ58" s="2"/>
      <c r="BR58" s="120"/>
      <c r="BS58" s="2"/>
      <c r="BT58" s="92"/>
      <c r="BU58" s="80"/>
      <c r="BV58" s="80"/>
      <c r="BW58" s="93"/>
      <c r="BX58" s="122"/>
      <c r="BY58" s="2"/>
      <c r="BZ58" s="2"/>
      <c r="CA58" s="2"/>
      <c r="CB58" s="2"/>
      <c r="CC58" s="2"/>
      <c r="CD58" s="2"/>
      <c r="CE58" s="2"/>
    </row>
    <row r="59" spans="1:83" ht="12.75" customHeight="1" x14ac:dyDescent="0.3">
      <c r="A59" s="17"/>
      <c r="B59" s="104" t="s">
        <v>209</v>
      </c>
      <c r="C59" s="295"/>
      <c r="D59" s="446"/>
      <c r="E59" s="296"/>
      <c r="F59" s="446"/>
      <c r="G59" s="296">
        <f>SUM(G60,G63:G65)</f>
        <v>13057900450.562248</v>
      </c>
      <c r="H59" s="446">
        <f t="shared" ref="H59:H65" si="18">G59/$G$103</f>
        <v>0.69393803563790057</v>
      </c>
      <c r="I59" s="296">
        <f>SUM(I60,I63:I65)</f>
        <v>8591228009.5805874</v>
      </c>
      <c r="J59" s="446">
        <f t="shared" ref="J59:J65" si="19">I59/$I$103</f>
        <v>0.72478340120300022</v>
      </c>
      <c r="K59" s="296">
        <f>SUM(K60,K63:K65)</f>
        <v>32299616127.64922</v>
      </c>
      <c r="L59" s="461">
        <f t="shared" ref="L59:L65" si="20">K59/$K$103</f>
        <v>0.73565855109696054</v>
      </c>
      <c r="M59" s="459"/>
      <c r="N59" s="459"/>
      <c r="O59" s="459">
        <f>(M.w3MD+M.w3MS+M.w3MA+M.w3MP)*Molweight/(VOLUME.w3M)</f>
        <v>1.1222295402804882E-7</v>
      </c>
      <c r="P59" s="459">
        <f>(M.w3AD+M.w3AS+M.w3AA+M.w3AP)*Molweight/(VOLUME.w3A)</f>
        <v>1.1230363411216455E-7</v>
      </c>
      <c r="Q59" s="459">
        <f>(M.w3TD+M.w3TS+M.w3TA+M.w3TP)*Molweight/(VOLUME.w3T)</f>
        <v>1.2063348693799897E-7</v>
      </c>
      <c r="R59" s="160" t="s">
        <v>134</v>
      </c>
      <c r="S59" s="163"/>
      <c r="T59" s="163"/>
      <c r="U59" s="163"/>
      <c r="V59" s="163"/>
      <c r="W59" s="162"/>
      <c r="X59" s="17"/>
      <c r="Y59" s="156"/>
      <c r="Z59" s="17"/>
      <c r="AA59" s="924"/>
      <c r="AB59" s="925"/>
      <c r="AC59" s="908"/>
      <c r="AD59" s="357"/>
      <c r="AE59" s="357"/>
      <c r="AF59" s="357"/>
      <c r="AG59" s="357"/>
      <c r="AH59" s="839"/>
      <c r="AI59" s="357" t="s">
        <v>108</v>
      </c>
      <c r="AJ59" s="357" t="s">
        <v>108</v>
      </c>
      <c r="AK59" s="357" t="s">
        <v>108</v>
      </c>
      <c r="AL59" s="357" t="s">
        <v>108</v>
      </c>
      <c r="AM59" s="357" t="s">
        <v>108</v>
      </c>
      <c r="AN59" s="357" t="s">
        <v>108</v>
      </c>
      <c r="AO59" s="839" t="s">
        <v>108</v>
      </c>
      <c r="AP59" s="908" t="s">
        <v>109</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116</v>
      </c>
      <c r="C60" s="295"/>
      <c r="D60" s="446"/>
      <c r="E60" s="296"/>
      <c r="F60" s="446"/>
      <c r="G60" s="296">
        <f>M.w3MD*Molweight</f>
        <v>13057900331.39292</v>
      </c>
      <c r="H60" s="446">
        <f t="shared" si="18"/>
        <v>0.69393802930486637</v>
      </c>
      <c r="I60" s="296">
        <f>M.w3AD*Molweight</f>
        <v>8591227982.7698841</v>
      </c>
      <c r="J60" s="446">
        <f t="shared" si="19"/>
        <v>0.72478339894116384</v>
      </c>
      <c r="K60" s="296">
        <f>M.w3TD*Molweight</f>
        <v>32299616075.021759</v>
      </c>
      <c r="L60" s="461">
        <f t="shared" si="20"/>
        <v>0.73565854989831336</v>
      </c>
      <c r="M60" s="124"/>
      <c r="N60" s="124"/>
      <c r="O60" s="124">
        <f>C.w3M*Molweight</f>
        <v>1.1222295300387695E-7</v>
      </c>
      <c r="P60" s="124">
        <f>C.w3A*Molweight</f>
        <v>1.1230363376169782E-7</v>
      </c>
      <c r="Q60" s="124">
        <f>C.w3T*Molweight</f>
        <v>1.206334867414445E-7</v>
      </c>
      <c r="R60" s="160" t="s">
        <v>134</v>
      </c>
      <c r="S60" s="163"/>
      <c r="T60" s="163"/>
      <c r="U60" s="163">
        <f>F.w3M</f>
        <v>2.7881849910613929E-26</v>
      </c>
      <c r="V60" s="163">
        <f>F.w3A</f>
        <v>5.7344172830033721E-32</v>
      </c>
      <c r="W60" s="162">
        <f>F.w3T</f>
        <v>2.7707254010658578E-23</v>
      </c>
      <c r="X60" s="17"/>
      <c r="Y60" s="156"/>
      <c r="Z60" s="17"/>
      <c r="AA60" s="907" t="s">
        <v>114</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137</v>
      </c>
      <c r="C61" s="295"/>
      <c r="D61" s="446"/>
      <c r="E61" s="296"/>
      <c r="F61" s="446"/>
      <c r="G61" s="296">
        <f>FRw.w3M*G60</f>
        <v>8851493561.2267456</v>
      </c>
      <c r="H61" s="446">
        <f t="shared" si="18"/>
        <v>0.47039629974164288</v>
      </c>
      <c r="I61" s="296">
        <f>FRw.w3A*I60</f>
        <v>5823692725.6747351</v>
      </c>
      <c r="J61" s="446">
        <f t="shared" si="19"/>
        <v>0.49130529611933382</v>
      </c>
      <c r="K61" s="296">
        <f>FRw.w3T*K60</f>
        <v>21894779134.652294</v>
      </c>
      <c r="L61" s="461">
        <f t="shared" si="20"/>
        <v>0.49867718028383112</v>
      </c>
      <c r="M61" s="124"/>
      <c r="N61" s="124"/>
      <c r="O61" s="124">
        <f>O60*FRw.w3M</f>
        <v>7.607201163479138E-8</v>
      </c>
      <c r="P61" s="124">
        <f>P60*FRw.w3A</f>
        <v>7.6126702296401771E-8</v>
      </c>
      <c r="Q61" s="124">
        <f>Q60*FRw.w3T</f>
        <v>8.1773218056591208E-8</v>
      </c>
      <c r="R61" s="160" t="s">
        <v>134</v>
      </c>
      <c r="S61" s="163"/>
      <c r="T61" s="163"/>
      <c r="U61" s="163">
        <f>U60*FRw.w3M</f>
        <v>1.8900130089487621E-26</v>
      </c>
      <c r="V61" s="163">
        <f>V60*FRw.w3A</f>
        <v>3.8871607509411286E-32</v>
      </c>
      <c r="W61" s="162">
        <f>W60*FRw.w3T</f>
        <v>1.8781777640391652E-23</v>
      </c>
      <c r="X61" s="17"/>
      <c r="Y61" s="156"/>
      <c r="Z61" s="17"/>
      <c r="AA61" s="312" t="s">
        <v>117</v>
      </c>
      <c r="AB61" s="162" t="s">
        <v>86</v>
      </c>
      <c r="AC61" s="161">
        <f>E.aRS*Molweight</f>
        <v>0.31709791983764585</v>
      </c>
      <c r="AD61" s="163">
        <f>k.aC.aR*(M.aCS+M.aCA+M.aCP)*Molweight</f>
        <v>3.6624705638741532E-2</v>
      </c>
      <c r="AE61" s="163">
        <f>k.aR.aC*(M.aRS+M.aRA+M.aRP)*Molweight</f>
        <v>0.31330774007333884</v>
      </c>
      <c r="AF61" s="163">
        <f>kesc.aR*VOLUME.aR*(C.aRS+C.aRA+C.aRP)*Molweight</f>
        <v>1.2183757437440309E-5</v>
      </c>
      <c r="AG61" s="163"/>
      <c r="AH61" s="162">
        <f>(kdegS.a*C.aRS+kdegA.a*C.aRA+kdegP.a*C.aRP)*VOLUME.aR*Molweight</f>
        <v>0</v>
      </c>
      <c r="AI61" s="163">
        <f>SUM(AI62:AI64)</f>
        <v>2.7736334801422577E-3</v>
      </c>
      <c r="AJ61" s="163">
        <f>SUM(AJ62:AJ64)</f>
        <v>0</v>
      </c>
      <c r="AK61" s="163">
        <f>SUM(AK67:AK69)</f>
        <v>3.7629068165468835E-2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139</v>
      </c>
      <c r="C62" s="295"/>
      <c r="D62" s="446"/>
      <c r="E62" s="296"/>
      <c r="F62" s="446"/>
      <c r="G62" s="296">
        <f>(1-FRw.w3M)*G60</f>
        <v>4206406770.1661749</v>
      </c>
      <c r="H62" s="446">
        <f t="shared" si="18"/>
        <v>0.22354172956322357</v>
      </c>
      <c r="I62" s="296">
        <f>(1-FRw.w3A)*I60</f>
        <v>2767535257.0951486</v>
      </c>
      <c r="J62" s="446">
        <f t="shared" si="19"/>
        <v>0.2334781028218299</v>
      </c>
      <c r="K62" s="296">
        <f>(1-FRw.w3T)*K60</f>
        <v>10404836940.369465</v>
      </c>
      <c r="L62" s="461">
        <f t="shared" si="20"/>
        <v>0.23698136961448227</v>
      </c>
      <c r="M62" s="124"/>
      <c r="N62" s="124"/>
      <c r="O62" s="124">
        <f>O61*Kp.susp3M</f>
        <v>7.2268411053051807E-3</v>
      </c>
      <c r="P62" s="124">
        <f>P61*Kp.susp3A</f>
        <v>7.2320367181581682E-3</v>
      </c>
      <c r="Q62" s="124">
        <f>Q61*Kp.susp3T</f>
        <v>7.7684557153761651E-3</v>
      </c>
      <c r="R62" s="160" t="s">
        <v>140</v>
      </c>
      <c r="S62" s="163"/>
      <c r="T62" s="163"/>
      <c r="U62" s="163">
        <f>U60*(1-FRw.w3M)</f>
        <v>8.9817198211263087E-27</v>
      </c>
      <c r="V62" s="163">
        <f>V60*(1-FRw.w3A)</f>
        <v>1.8472565320622435E-32</v>
      </c>
      <c r="W62" s="162">
        <f>W60*(1-FRw.w3T)</f>
        <v>8.9254763702669242E-24</v>
      </c>
      <c r="X62" s="17"/>
      <c r="Y62" s="156"/>
      <c r="Z62" s="17"/>
      <c r="AA62" s="312" t="s">
        <v>119</v>
      </c>
      <c r="AB62" s="162" t="s">
        <v>120</v>
      </c>
      <c r="AC62" s="161">
        <f>E.w0RS*Molweight</f>
        <v>0</v>
      </c>
      <c r="AD62" s="163">
        <f>k.w1R.w0R*(M.w1RS+M.w1RA+M.w1RP)*Molweight</f>
        <v>0</v>
      </c>
      <c r="AE62" s="163">
        <f>(k.w0R.w1R+k.w0R.w2R)*(M.w0RS+M.w0RA+M.w0RP)*Molweight</f>
        <v>9.1721451404748828E-6</v>
      </c>
      <c r="AF62" s="163"/>
      <c r="AG62" s="163">
        <f>(kdis.w0S.w0D*M.w0RS+kdis.w0A.w0D*M.w0RA+kdis.w0P.w0D*M.w0RP)*Molweight</f>
        <v>5.0504451756351978E-4</v>
      </c>
      <c r="AH62" s="162">
        <f>(kdegS.w0*M.w0RS+kdegA.w0*M.w0RA+kdegP.w0*M.w0RP)*Molweight</f>
        <v>0</v>
      </c>
      <c r="AI62" s="163">
        <f>((k.aRS.w0RS*M.aRS+k.aRA.w0RA*M.aRA+k.aRP.w0RP*M.aRP)+(k.cwRS.w0RS*M.cwRS+k.cwRA.w0RA*M.cwRA+k.cwRP.w0RP*M.cwRP))*Molweight</f>
        <v>2.0569987944073079E-4</v>
      </c>
      <c r="AJ62" s="163"/>
      <c r="AK62" s="163"/>
      <c r="AL62" s="163"/>
      <c r="AM62" s="163"/>
      <c r="AN62" s="163">
        <f>(k.w0RS.sd0RS*M.w0RS+k.w0RA.sd0RA*M.w0RA+k.w0RP.sd0RP*M.w0RP)*Molweight</f>
        <v>3.822624801643292E-6</v>
      </c>
      <c r="AO62" s="162">
        <f>(k.sd0RS.w0RS*M.sd0RS+k.sd0RA.w0RA*M.sd0RA+k.sd0RP.w0RP*M.sd0RP)*Molweight</f>
        <v>0</v>
      </c>
      <c r="AP62" s="909">
        <f>SUM(AC62,AD62,AI62,AM62,AO62)-SUM(AF62,AE62,AH62,AJ62,AN62,AG62)</f>
        <v>-3.1233940806490719E-4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123</v>
      </c>
      <c r="C63" s="295"/>
      <c r="D63" s="446"/>
      <c r="E63" s="296"/>
      <c r="F63" s="446"/>
      <c r="G63" s="296">
        <f>M.w3MS*Molweight</f>
        <v>9.1786525964257328E-7</v>
      </c>
      <c r="H63" s="446">
        <f t="shared" si="18"/>
        <v>4.8778256325978756E-17</v>
      </c>
      <c r="I63" s="296">
        <f>M.w3AS*Molweight</f>
        <v>1.0210784972685428E-8</v>
      </c>
      <c r="J63" s="446">
        <f t="shared" si="19"/>
        <v>8.6141439305330658E-19</v>
      </c>
      <c r="K63" s="296">
        <f>M.w3TS*Molweight</f>
        <v>1.6512542493240216E-8</v>
      </c>
      <c r="L63" s="461">
        <f t="shared" si="20"/>
        <v>3.7609094292317202E-19</v>
      </c>
      <c r="M63" s="124"/>
      <c r="N63" s="124"/>
      <c r="O63" s="124">
        <f>C.w3MS*Molweight</f>
        <v>7.8883700505142356E-24</v>
      </c>
      <c r="P63" s="124">
        <f>C.w3AS*Molweight</f>
        <v>1.3347431336843696E-25</v>
      </c>
      <c r="Q63" s="124">
        <f>C.w3TS*Molweight</f>
        <v>6.1671493905659077E-26</v>
      </c>
      <c r="R63" s="160" t="s">
        <v>210</v>
      </c>
      <c r="S63" s="163"/>
      <c r="T63" s="163"/>
      <c r="U63" s="163"/>
      <c r="V63" s="163"/>
      <c r="W63" s="162"/>
      <c r="X63" s="17"/>
      <c r="Y63" s="156"/>
      <c r="Z63" s="17"/>
      <c r="AA63" s="312" t="s">
        <v>122</v>
      </c>
      <c r="AB63" s="162" t="s">
        <v>87</v>
      </c>
      <c r="AC63" s="161">
        <f>E.w1RS*Molweight</f>
        <v>0.31709791983764585</v>
      </c>
      <c r="AD63" s="163">
        <f>(WATERflow.w0R.w1R*(C.w0RS+C.w0RA+C.w0RP)+WATERflow.w1C.w1R*(C.w1CS+C.w1CA+C.w1CP))*Molweight</f>
        <v>9.1721451404748828E-6</v>
      </c>
      <c r="AE63" s="163">
        <f>(WATERflow.w1R.w0R+WATERflow.w1R.w2R)*(C.w1RS+C.w1RA+C.w1RP)*Molweight</f>
        <v>8.6526248666745215E-2</v>
      </c>
      <c r="AF63" s="163"/>
      <c r="AG63" s="163">
        <f>(kdis.w1S.w1D*M.w1RS+kdis.w1A.w1D*M.w1RA+kdis.w1P.w1D*M.w1RP)*Molweight</f>
        <v>0.15722462149166275</v>
      </c>
      <c r="AH63" s="162">
        <f>(kdegS.w1*M.w1RS+kdegA.w1*M.w1RA+kdegP.w1*M.w1RP)*Molweight</f>
        <v>0</v>
      </c>
      <c r="AI63" s="163">
        <f>((k.aRS.w1RS*M.aRS+k.aRA.w1RA*M.aRA+k.aRP.w1RP*M.aRP)+(k.cwRS.w1RS*M.cwRS+k.cwRA.w1RA*M.cwRA+k.cwRP.w1RP*M.cwRP))*Molweight</f>
        <v>2.2626986738480395E-3</v>
      </c>
      <c r="AJ63" s="163"/>
      <c r="AK63" s="163"/>
      <c r="AL63" s="163"/>
      <c r="AM63" s="163">
        <f>(k.s1RS.w1RS*M.s1RS+k.s1RA.w1RA*M.s1RA+k.s1RP.w1RP*M.s1RP+k.s2RS.w1RS*M.s2RS+k.s2RA.w1RA*M.s2RA+k.s2RP.w1RP*M.s2RP+k.s3RS.w1RS*M.s3RS+k.s3RA.w1RA*M.s3RA+k.s3RP.w1RP*M.s3RP)*Molweight</f>
        <v>3.4357334887139815E-3</v>
      </c>
      <c r="AN63" s="163">
        <f>(k.w1RS.sd1RS*M.w1RS+k.w1RA.sd1RA*M.w1RA+k.w1RP.sd1RP*M.w1RP)*Molweight</f>
        <v>9.4593646925378819E-2</v>
      </c>
      <c r="AO63" s="162">
        <f>(k.sd1RS.w1RS*M.sd1RS+k.sd1RA.w1RA*M.sd1RA+k.sd1RP.w1RP*M.sd1RP)*Molweight</f>
        <v>1.5538992938438417E-2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126</v>
      </c>
      <c r="C64" s="295"/>
      <c r="D64" s="446"/>
      <c r="E64" s="296"/>
      <c r="F64" s="446"/>
      <c r="G64" s="296">
        <f>M.w3MA*Molweight</f>
        <v>119.14286301618371</v>
      </c>
      <c r="H64" s="446">
        <f t="shared" si="18"/>
        <v>6.3316277095806818E-9</v>
      </c>
      <c r="I64" s="296">
        <f>M.w3AA*Molweight</f>
        <v>26.810355660173034</v>
      </c>
      <c r="J64" s="446">
        <f t="shared" si="19"/>
        <v>2.2618071294549371E-9</v>
      </c>
      <c r="K64" s="296">
        <f>M.w3TA*Molweight</f>
        <v>52.626939067099613</v>
      </c>
      <c r="L64" s="461">
        <f t="shared" si="20"/>
        <v>1.1986352280400385E-9</v>
      </c>
      <c r="M64" s="124"/>
      <c r="N64" s="124"/>
      <c r="O64" s="124">
        <f>C.w3MA*Molweight</f>
        <v>1.0239443997644805E-15</v>
      </c>
      <c r="P64" s="124">
        <f>C.w3AA*Molweight</f>
        <v>3.5046216549245794E-16</v>
      </c>
      <c r="Q64" s="124">
        <f>C.w3TA*Molweight</f>
        <v>1.9655252686124976E-16</v>
      </c>
      <c r="R64" s="160" t="s">
        <v>210</v>
      </c>
      <c r="S64" s="163"/>
      <c r="T64" s="163"/>
      <c r="U64" s="163"/>
      <c r="V64" s="163"/>
      <c r="W64" s="162"/>
      <c r="X64" s="17"/>
      <c r="Y64" s="156"/>
      <c r="Z64" s="17"/>
      <c r="AA64" s="312" t="s">
        <v>124</v>
      </c>
      <c r="AB64" s="162" t="s">
        <v>88</v>
      </c>
      <c r="AC64" s="161">
        <f>E.w2RS*Molweight</f>
        <v>0</v>
      </c>
      <c r="AD64" s="163">
        <f>(k.w1R.w2R*(M.w1RS+M.w1RA+M.w1RP)+k.w2C.w2R*(M.w2CS+M.w2CA+M.w2CP))*Molweight</f>
        <v>8.6526384844824542E-2</v>
      </c>
      <c r="AE64" s="163">
        <f>k.w2R.w2C*(M.w2RS+M.w2RA+M.w2RP)*Molweight</f>
        <v>9.0177023543372321E-3</v>
      </c>
      <c r="AF64" s="163"/>
      <c r="AG64" s="163">
        <f>(kdis.w2S.w2D*M.w2RS+kdis.w2A.w2D*M.w2RA+kdis.w2P.w2D*M.w2RP)*Molweight</f>
        <v>7.7678973573845844E-2</v>
      </c>
      <c r="AH64" s="162">
        <f>(kdegS.w2*M.w2RS+kdegA.w2*M.w2RA+kdegP.w2*M.w2RP)*Molweight</f>
        <v>0</v>
      </c>
      <c r="AI64" s="163">
        <f>((k.aRS.w2RS*M.aRS+k.aRA.w2RA*M.aRA+k.aRP.w2RP*M.aRP)+(k.cwRS.w2RS*M.cwRS+k.cwRA.w2RA*M.cwRA+k.cwRP.w2RP*M.cwRP))*Molweight</f>
        <v>3.0523492685348728E-4</v>
      </c>
      <c r="AJ64" s="163"/>
      <c r="AK64" s="163"/>
      <c r="AL64" s="163"/>
      <c r="AM64" s="163"/>
      <c r="AN64" s="163">
        <f>(k.w2RS.sd2RS*M.w2RS+k.w2RA.sd2RA*M.w2RA+k.w2RP.sd2RP*M.w2RP)*Molweight</f>
        <v>1.350454915587869E-4</v>
      </c>
      <c r="AO64" s="162">
        <f>(k.sd2RS.w2RS*M.sd2RS+k.sd2RA.w2RA*M.sd2RA+k.sd2RP.w2RP*M.sd2RP)*Molweight</f>
        <v>1.0164806383495631E-7</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55</v>
      </c>
      <c r="BO64" s="2"/>
      <c r="BP64" s="2"/>
      <c r="BQ64" s="2"/>
      <c r="BR64" s="2"/>
      <c r="BS64" s="2" t="s">
        <v>56</v>
      </c>
      <c r="BT64" s="111" t="str">
        <f>ChemName</f>
        <v>nAg_10nm</v>
      </c>
      <c r="BU64" s="2"/>
      <c r="BV64" s="2" t="s">
        <v>57</v>
      </c>
      <c r="BW64" s="2" t="str">
        <f>CONCATENATE(version!$B$2," ",version!$B$3," ",version!$C$3)</f>
        <v>SimpleBox4plastics vs 4.02-plastic 45338</v>
      </c>
      <c r="BX64" s="2"/>
      <c r="BY64" s="2"/>
      <c r="BZ64" s="2"/>
      <c r="CA64" s="2"/>
      <c r="CB64" s="112"/>
      <c r="CC64" s="2"/>
      <c r="CD64" s="112">
        <f>AF22</f>
        <v>1.3121805334544201E-23</v>
      </c>
      <c r="CE64" s="2"/>
    </row>
    <row r="65" spans="1:83" ht="12.75" customHeight="1" x14ac:dyDescent="0.3">
      <c r="A65" s="17"/>
      <c r="B65" s="454" t="s">
        <v>128</v>
      </c>
      <c r="C65" s="295"/>
      <c r="D65" s="446"/>
      <c r="E65" s="296"/>
      <c r="F65" s="446"/>
      <c r="G65" s="296">
        <f>M.w3MP*Molweight</f>
        <v>2.6466547360208731E-2</v>
      </c>
      <c r="H65" s="446">
        <f t="shared" si="18"/>
        <v>1.4065158449320156E-12</v>
      </c>
      <c r="I65" s="296">
        <f>M.w3AP*Molweight</f>
        <v>3.4763167118566466E-4</v>
      </c>
      <c r="J65" s="446">
        <f t="shared" si="19"/>
        <v>2.9327316738288885E-14</v>
      </c>
      <c r="K65" s="296">
        <f>M.w3TP*Molweight</f>
        <v>5.2121913698730503E-4</v>
      </c>
      <c r="L65" s="461">
        <f t="shared" si="20"/>
        <v>1.1871327312520475E-14</v>
      </c>
      <c r="M65" s="124"/>
      <c r="N65" s="124"/>
      <c r="O65" s="124">
        <f>C.w3MP*Molweight</f>
        <v>2.2746031331231292E-19</v>
      </c>
      <c r="P65" s="124">
        <f>C.w3AP*Molweight</f>
        <v>4.544204852100191E-21</v>
      </c>
      <c r="Q65" s="124">
        <f>C.w3TP*Molweight</f>
        <v>1.9466634434633247E-21</v>
      </c>
      <c r="R65" s="160" t="s">
        <v>210</v>
      </c>
      <c r="S65" s="163"/>
      <c r="T65" s="163"/>
      <c r="U65" s="163"/>
      <c r="V65" s="163"/>
      <c r="W65" s="162"/>
      <c r="X65" s="17"/>
      <c r="Y65" s="156"/>
      <c r="Z65" s="17"/>
      <c r="AA65" s="312" t="s">
        <v>127</v>
      </c>
      <c r="AB65" s="162" t="s">
        <v>89</v>
      </c>
      <c r="AC65" s="161"/>
      <c r="AD65" s="163"/>
      <c r="AE65" s="163"/>
      <c r="AF65" s="163">
        <f>kbur.sd1R*(M.sd1RS+M.sd1RA+M.sd1RP)*Molweight</f>
        <v>1.6968138982962765E-3</v>
      </c>
      <c r="AG65" s="163">
        <f>(kdis.sd1S.sd1D*M.sd1RS+kdis.sd1A.sd1D*M.sd1RA+kdis.sd1P.sd1D*M.sd1RP)*Molweight</f>
        <v>7.7357840088644172E-2</v>
      </c>
      <c r="AH65" s="162">
        <f>(kdegS.sd1*M.sd1RS+kdegA.sd1*M.sd1RA+kdegP.sd1*M.sd1RP)*Molweight</f>
        <v>0</v>
      </c>
      <c r="AI65" s="163"/>
      <c r="AJ65" s="163"/>
      <c r="AK65" s="163"/>
      <c r="AL65" s="163"/>
      <c r="AM65" s="163"/>
      <c r="AN65" s="163">
        <f>AN63</f>
        <v>9.4593646925378819E-2</v>
      </c>
      <c r="AO65" s="162">
        <f>AO63</f>
        <v>1.5538992938438417E-2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211</v>
      </c>
      <c r="BO65" s="2"/>
      <c r="BP65" s="2"/>
      <c r="BQ65" s="2"/>
      <c r="BR65" s="2"/>
      <c r="BS65" s="2"/>
      <c r="BT65" s="45"/>
      <c r="BU65" s="2"/>
      <c r="BV65" s="2" t="s">
        <v>59</v>
      </c>
      <c r="BW65" s="6">
        <f ca="1">TODAY()</f>
        <v>45397</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129</v>
      </c>
      <c r="AB66" s="162" t="s">
        <v>90</v>
      </c>
      <c r="AC66" s="161"/>
      <c r="AD66" s="163"/>
      <c r="AE66" s="163"/>
      <c r="AF66" s="163">
        <f>kbur.sd2R*(M.sd2RS+M.sd2RA+M.sd2RP)*Molweight</f>
        <v>1.0454973321160418E-8</v>
      </c>
      <c r="AG66" s="163">
        <f>(kdis.sd2S.sd2D*M.sd2RS+kdis.sd2A.sd2D*M.sd2RA+kdis.sd2P.sd2D*M.sd2RP)*Molweight</f>
        <v>1.3493338852163081E-4</v>
      </c>
      <c r="AH66" s="162">
        <f>(kdegS.sd2*M.sd2RS+kdegA.sd2*M.sd2RA+kdegP.sd2*M.sd2RP)*Molweight</f>
        <v>0</v>
      </c>
      <c r="AI66" s="163"/>
      <c r="AJ66" s="163"/>
      <c r="AK66" s="163"/>
      <c r="AL66" s="163"/>
      <c r="AM66" s="163"/>
      <c r="AN66" s="163">
        <f>AN64</f>
        <v>1.350454915587869E-4</v>
      </c>
      <c r="AO66" s="162">
        <f>AO64</f>
        <v>1.0164806383495631E-7</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212</v>
      </c>
      <c r="C67" s="295">
        <f>SUM(C68,C71:C73)</f>
        <v>9402356.1093230881</v>
      </c>
      <c r="D67" s="446">
        <f t="shared" ref="D67:D73" si="21">C67/$C$103</f>
        <v>3.6068061129161005E-4</v>
      </c>
      <c r="E67" s="295">
        <f>SUM(E68,E71:E73)</f>
        <v>383873068.747486</v>
      </c>
      <c r="F67" s="446">
        <f t="shared" ref="F67:F73" si="22">E67/$E$103</f>
        <v>0.18063898905509129</v>
      </c>
      <c r="G67" s="296">
        <f>SUM(G68,G71:G73)</f>
        <v>4198019139.1633477</v>
      </c>
      <c r="H67" s="446">
        <f t="shared" ref="H67:H73" si="23">G67/$G$103</f>
        <v>0.2230959843836065</v>
      </c>
      <c r="I67" s="296">
        <f>SUM(I68,I71:I73)</f>
        <v>2762016754.908493</v>
      </c>
      <c r="J67" s="446">
        <f t="shared" ref="J67:J73" si="24">I67/$I$103</f>
        <v>0.23301254437315064</v>
      </c>
      <c r="K67" s="296">
        <f>SUM(K68,K71:K73)</f>
        <v>10384089556.749176</v>
      </c>
      <c r="L67" s="461">
        <f t="shared" ref="L67:L73" si="25">K67/$K$103</f>
        <v>0.23650882560303538</v>
      </c>
      <c r="M67" s="459">
        <f>((M.sd2RD+M.sd2RS+M.sd2RA+M.sd2RP)*Molweight*1000/(VOLUME.sd2R))/ (FRACw.sdR*1000+FRACs.sdR*RHOsolid)</f>
        <v>0.24108605408520717</v>
      </c>
      <c r="N67" s="459">
        <f>((M.sd2CD+M.sd2CS+M.sd2CA+M.sd2CP)*Molweight*1000/(VOLUME.sd2C))/ (FRACw.sdC*1000+FRACs.sdC*RHOsolid)</f>
        <v>2.6506362611867498E-3</v>
      </c>
      <c r="O67" s="459">
        <f>((M.sdMD+M.sdMS+M.sdMA+M.sdMP)*Molweight*1000/(VOLUME.sdM))/(FRACw.sdM*1000+FRACs.sdM*RHOsolid)</f>
        <v>2.7752966085807587E-3</v>
      </c>
      <c r="P67" s="459">
        <f xml:space="preserve"> ((M.sdAD+M.sdAS+M.sdAA+M.sdAP)*Molweight*1000/(VOLUME.sdA))/(FRACw.sdA*1000+FRACs.sdA*RHOsolid)</f>
        <v>2.7772918601392592E-3</v>
      </c>
      <c r="Q67" s="459">
        <f>((M.sdTD+M.sdTS+M.sdTA+M.sdTP)*Molweight*1000/(VOLUME.sdT))/(FRACw.sdT*1000+FRACs.sdT*RHOsolid)</f>
        <v>2.983290830065123E-3</v>
      </c>
      <c r="R67" s="160" t="s">
        <v>151</v>
      </c>
      <c r="S67" s="163"/>
      <c r="T67" s="163"/>
      <c r="U67" s="163"/>
      <c r="V67" s="163"/>
      <c r="W67" s="162"/>
      <c r="X67" s="17"/>
      <c r="Y67" s="156"/>
      <c r="Z67" s="17"/>
      <c r="AA67" s="312" t="s">
        <v>131</v>
      </c>
      <c r="AB67" s="162" t="s">
        <v>91</v>
      </c>
      <c r="AC67" s="161">
        <f>E.s1RS*Molweight</f>
        <v>0</v>
      </c>
      <c r="AD67" s="163"/>
      <c r="AE67" s="163"/>
      <c r="AF67" s="163">
        <f>kleach.s1R*(M.s1RS+M.s1RA)*Molweight</f>
        <v>1.6367270859619317E-6</v>
      </c>
      <c r="AG67" s="163">
        <f>(kdis.s1S.s1D*M.s1RS+kdis.s1A.s1D*M.s1RA+kdis.s1P.s1D*M.s1RP)*Molweight</f>
        <v>1.0229481991748394E-2</v>
      </c>
      <c r="AH67" s="162">
        <f>(kdegS.s1*M.s1RS+kdegA.s1*M.s1RA+kdegP.s1*M.s1RP)*Molweight</f>
        <v>0</v>
      </c>
      <c r="AI67" s="163"/>
      <c r="AJ67" s="163"/>
      <c r="AK67" s="163">
        <f>((k.aRS.s1RS*M.aRS+k.aRA.s1RA*M.aRA+k.aRP.s1RP*M.aRP)+(k.cwRS.s1RS*M.cwRS+k.cwRA.s1RA*M.cwRA+k.cwRP.s1RP*M.cwRP))*Molweight</f>
        <v>1.0474070520285143E-2</v>
      </c>
      <c r="AL67" s="163"/>
      <c r="AM67" s="163">
        <f>(k.s1RS.w1RS*M.s1RS+k.s1RA.w1RA*M.s1RA+k.s1RP.w1RP*M.s1RP)*Molweight</f>
        <v>2.2270581799655468E-4</v>
      </c>
      <c r="AN67" s="163"/>
      <c r="AO67" s="162"/>
      <c r="AP67" s="909">
        <f>SUM(AC67,AD67,AK67)-SUM(AE67,AF67,AH67,AL67,AM67,AP66,AG67)</f>
        <v>2.0245983454233313E-5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67</v>
      </c>
      <c r="BT67" s="77">
        <f>IF(ISERROR(F12),0,F12)</f>
        <v>1.6855818118243194E-23</v>
      </c>
      <c r="BU67" s="113"/>
      <c r="BV67" s="113"/>
      <c r="BW67" s="113"/>
      <c r="BX67" s="2"/>
      <c r="BY67" s="2"/>
      <c r="BZ67" s="2"/>
      <c r="CA67" s="2"/>
      <c r="CB67" s="113"/>
      <c r="CC67" s="113"/>
      <c r="CD67" s="113"/>
      <c r="CE67" s="2"/>
    </row>
    <row r="68" spans="1:83" ht="12.75" customHeight="1" x14ac:dyDescent="0.35">
      <c r="A68" s="17"/>
      <c r="B68" s="443" t="s">
        <v>116</v>
      </c>
      <c r="C68" s="295">
        <f>M.sd2RD*Molweight</f>
        <v>9402344.6742901616</v>
      </c>
      <c r="D68" s="446">
        <f t="shared" si="21"/>
        <v>3.6068017263616897E-4</v>
      </c>
      <c r="E68" s="295">
        <f>M.sd2CD*Molweight</f>
        <v>383873068.31458938</v>
      </c>
      <c r="F68" s="446">
        <f t="shared" si="22"/>
        <v>0.1806389888513833</v>
      </c>
      <c r="G68" s="296">
        <f>M.sdMD*Molweight</f>
        <v>4198019139.1631608</v>
      </c>
      <c r="H68" s="446">
        <f t="shared" si="23"/>
        <v>0.22309598438359657</v>
      </c>
      <c r="I68" s="296">
        <f>M.sdAD*Molweight</f>
        <v>2762016754.9084554</v>
      </c>
      <c r="J68" s="446">
        <f t="shared" si="24"/>
        <v>0.23301254437314745</v>
      </c>
      <c r="K68" s="296">
        <f>M.sdTD*Molweight</f>
        <v>10384089556.749104</v>
      </c>
      <c r="L68" s="461">
        <f t="shared" si="25"/>
        <v>0.23650882560303371</v>
      </c>
      <c r="M68" s="124">
        <f>C.sd2R*(Molweight*1000)/(FRACw.sdR*1000+FRACs.sdR*RHOsolid)</f>
        <v>0.2410857608792347</v>
      </c>
      <c r="N68" s="124">
        <f>C.sd2C*(Molweight*1000)/(FRACw.sdC*1000+FRACs.sdC*RHOsolid)</f>
        <v>2.6506362581976066E-3</v>
      </c>
      <c r="O68" s="124">
        <f>C.sdM*(Molweight*1000)/(FRACw.sdM*1000+FRACs.sdM*RHOsolid)</f>
        <v>2.7752966085806351E-3</v>
      </c>
      <c r="P68" s="124">
        <f>C.sdA*(Molweight*1000)/(FRACw.sdA*1000+FRACs.sdA*RHOsolid)</f>
        <v>2.777291860139221E-3</v>
      </c>
      <c r="Q68" s="124">
        <f>C.sdT*(Molweight*1000)/(FRACw.sdT*1000+FRACs.sdT*RHOsolid)</f>
        <v>2.9832908300651021E-3</v>
      </c>
      <c r="R68" s="160" t="s">
        <v>151</v>
      </c>
      <c r="S68" s="163">
        <f>F.sd2R</f>
        <v>3.2785103796959157E-24</v>
      </c>
      <c r="T68" s="163">
        <f>F.sd2C</f>
        <v>3.6045838848409972E-26</v>
      </c>
      <c r="U68" s="163">
        <f>F.sdM</f>
        <v>3.7741087257842229E-26</v>
      </c>
      <c r="V68" s="163">
        <f>F.sdA</f>
        <v>7.7621514977103412E-32</v>
      </c>
      <c r="W68" s="162">
        <f>F.sdT</f>
        <v>3.7504752898228416E-23</v>
      </c>
      <c r="X68" s="166"/>
      <c r="Y68" s="156"/>
      <c r="Z68" s="17"/>
      <c r="AA68" s="312" t="s">
        <v>135</v>
      </c>
      <c r="AB68" s="162" t="s">
        <v>92</v>
      </c>
      <c r="AC68" s="161">
        <f>E.s2RS*Molweight</f>
        <v>0.31709791983764585</v>
      </c>
      <c r="AD68" s="163"/>
      <c r="AE68" s="163"/>
      <c r="AF68" s="163">
        <f>kleach.s2R*(M.s2RS+M.s2RA)*Molweight</f>
        <v>2.3008793544314512E-5</v>
      </c>
      <c r="AG68" s="163">
        <f>(kdis.s2S.s2D*M.s2RS+kdis.s2A.s2D*M.s2RA+kdis.s2P.s2D*M.s2RP)*Molweight</f>
        <v>0.33693548649362676</v>
      </c>
      <c r="AH68" s="162">
        <f>(kdegS.s2*M.s2RS+kdegA.s2*M.s2RA+kdegP.s2*M.s2RP)*Molweight</f>
        <v>0</v>
      </c>
      <c r="AI68" s="163"/>
      <c r="AJ68" s="163"/>
      <c r="AK68" s="163">
        <f>((k.aRS.s2RS*M.aRS+k.aRA.s2RA*M.aRA+k.aRP.s2RP*M.aRP)+(k.cwRS.s2RS*M.cwRS+k.cwRA.s2RA*M.cwRA+k.cwRP.s2RP*M.cwRP))*Molweight</f>
        <v>2.3275712267300307E-2</v>
      </c>
      <c r="AL68" s="163"/>
      <c r="AM68" s="163">
        <f>(k.s2RS.w1RS*M.s2RS+k.s2RA.w1RA*M.s2RA+k.s2RP.w1RP*M.s2RP)*Molweight</f>
        <v>3.1305420829605855E-3</v>
      </c>
      <c r="AN68" s="163"/>
      <c r="AO68" s="162"/>
      <c r="AP68" s="909">
        <f>SUM(AC68,AD68,AK68)-SUM(AE68,AF68,AH68,AL68,AM68,AP67,AG68)</f>
        <v>2.6434875136027713E-4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154</v>
      </c>
      <c r="C69" s="295">
        <f>C68*FRACw.sdR</f>
        <v>7521875.73943213</v>
      </c>
      <c r="D69" s="446">
        <f t="shared" si="21"/>
        <v>2.8854413810893521E-4</v>
      </c>
      <c r="E69" s="295">
        <f>E68*FRACw.sdC</f>
        <v>307098454.65167153</v>
      </c>
      <c r="F69" s="446">
        <f t="shared" si="22"/>
        <v>0.14451119108110666</v>
      </c>
      <c r="G69" s="296">
        <f>FRACw.sdM*G68</f>
        <v>3358415311.3305287</v>
      </c>
      <c r="H69" s="446">
        <f t="shared" si="23"/>
        <v>0.17847678750687726</v>
      </c>
      <c r="I69" s="296">
        <f>FRACw.sdA*I68</f>
        <v>2209613403.9267645</v>
      </c>
      <c r="J69" s="446">
        <f t="shared" si="24"/>
        <v>0.18641003549851798</v>
      </c>
      <c r="K69" s="296">
        <f>FRACw.sdT*K68</f>
        <v>8307271645.3992834</v>
      </c>
      <c r="L69" s="461">
        <f t="shared" si="25"/>
        <v>0.189207060482427</v>
      </c>
      <c r="M69" s="124">
        <f>M70/Kp.sd2R</f>
        <v>1.319582873600069E-5</v>
      </c>
      <c r="N69" s="124">
        <f>N70/Kp.sd2C</f>
        <v>1.4508257135157088E-7</v>
      </c>
      <c r="O69" s="124">
        <f>O70/Kp.sdM</f>
        <v>1.5190585543033608E-7</v>
      </c>
      <c r="P69" s="124">
        <f>P70/Kp.sdA</f>
        <v>1.5201506552120301E-7</v>
      </c>
      <c r="Q69" s="124">
        <f>Q70/Kp.sdT</f>
        <v>1.6329041881050887E-7</v>
      </c>
      <c r="R69" s="160" t="s">
        <v>134</v>
      </c>
      <c r="S69" s="163">
        <f>S68*FRACw.sdR</f>
        <v>2.6228083037567327E-24</v>
      </c>
      <c r="T69" s="163">
        <f>T68*FRACw.sdC</f>
        <v>2.883667107872798E-26</v>
      </c>
      <c r="U69" s="163">
        <f>U68*FRACw.sdM</f>
        <v>3.0192869806273784E-26</v>
      </c>
      <c r="V69" s="163">
        <f>V68*FRACw.sdA</f>
        <v>6.209721198168273E-32</v>
      </c>
      <c r="W69" s="162">
        <f>W68*FRACw.sdT</f>
        <v>3.0003802318582734E-23</v>
      </c>
      <c r="X69" s="166"/>
      <c r="Y69" s="156"/>
      <c r="Z69" s="17"/>
      <c r="AA69" s="312" t="s">
        <v>136</v>
      </c>
      <c r="AB69" s="162" t="s">
        <v>93</v>
      </c>
      <c r="AC69" s="161">
        <f>E.s3RS*Molweight</f>
        <v>0</v>
      </c>
      <c r="AD69" s="163"/>
      <c r="AE69" s="163"/>
      <c r="AF69" s="163">
        <f>kleach.s3R*(M.s3RS+M.s3RA)*Molweight</f>
        <v>6.0620956127533936E-7</v>
      </c>
      <c r="AG69" s="163">
        <f>(kdis.s3S.s3D*M.s3RS+kdis.s3A.s3D*M.s3RA+kdis.s3P.s3D*M.s3RP)*Molweight</f>
        <v>3.7886948907691932E-3</v>
      </c>
      <c r="AH69" s="162">
        <f>(kdegS.s3*M.s3RS+kdegA.s3*M.s3RA+kdegP.s3*M.s3RP)*Molweight</f>
        <v>0</v>
      </c>
      <c r="AI69" s="163"/>
      <c r="AJ69" s="163"/>
      <c r="AK69" s="163">
        <f>((k.aRS.s3RS*M.aRS+k.aRA.s3RA*M.aRA+k.aRP.s3RP*M.aRP)+(k.cwRS.s3RS*M.cwRS+k.cwRA.s3RA*M.cwRA+k.cwRP.s3RP*M.cwRP))*Molweight</f>
        <v>3.8792853778833866E-3</v>
      </c>
      <c r="AL69" s="163"/>
      <c r="AM69" s="163">
        <f>(k.s3RS.w1RS*M.s3RS+k.s3RA.w1RA*M.s3RA+k.s3RP.w1RP*M.s3RP)*Molweight</f>
        <v>8.2485587756841089E-5</v>
      </c>
      <c r="AN69" s="163"/>
      <c r="AO69" s="162"/>
      <c r="AP69" s="909">
        <f>SUM(AC69,AD69,AK69)-SUM(AE69,AF69,AH69,AL69,AM69,AP68,AG69)</f>
        <v>-2.5685006156420023E-4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102</v>
      </c>
      <c r="BO69" s="129"/>
      <c r="BP69" s="130">
        <f>AD22</f>
        <v>3.1406136402777783E-19</v>
      </c>
      <c r="BQ69" s="113"/>
      <c r="BR69" s="78"/>
      <c r="BS69" s="113"/>
      <c r="BT69" s="113"/>
      <c r="BU69" s="113"/>
      <c r="BV69" s="113"/>
      <c r="BW69" s="113"/>
      <c r="BX69" s="2"/>
      <c r="BY69" s="2"/>
      <c r="BZ69" s="2"/>
      <c r="CA69" s="2"/>
      <c r="CB69" s="113"/>
      <c r="CC69" s="113"/>
      <c r="CD69" s="113"/>
      <c r="CE69" s="2"/>
    </row>
    <row r="70" spans="1:83" ht="12.75" customHeight="1" x14ac:dyDescent="0.3">
      <c r="A70" s="17"/>
      <c r="B70" s="159" t="s">
        <v>155</v>
      </c>
      <c r="C70" s="295">
        <f>C68*FRACs.sdR</f>
        <v>1880468.9348580318</v>
      </c>
      <c r="D70" s="446">
        <f t="shared" si="21"/>
        <v>7.2136034527233776E-5</v>
      </c>
      <c r="E70" s="295">
        <f>E68*FRACs.sdC</f>
        <v>76774613.662917852</v>
      </c>
      <c r="F70" s="446">
        <f t="shared" si="22"/>
        <v>3.6127797770276651E-2</v>
      </c>
      <c r="G70" s="296">
        <f>(1-FRACw.sdM)*G68</f>
        <v>839603827.83263195</v>
      </c>
      <c r="H70" s="446">
        <f t="shared" si="23"/>
        <v>4.4619196876719301E-2</v>
      </c>
      <c r="I70" s="296">
        <f>(1-FRACw.sdA)*I68</f>
        <v>552403350.981691</v>
      </c>
      <c r="J70" s="446">
        <f t="shared" si="24"/>
        <v>4.6602508874629481E-2</v>
      </c>
      <c r="K70" s="296">
        <f>(1-FRACw.sdT)*K68</f>
        <v>2076817911.3498201</v>
      </c>
      <c r="L70" s="461">
        <f t="shared" si="25"/>
        <v>4.7301765120606729E-2</v>
      </c>
      <c r="M70" s="124">
        <f>C.sd2R*FRACs.sdR/(FRACw.sdR/(Kp.sd2R*RHOsolid/1000)+FRACs.sdR)*(Molweight*1000)/(FRACs.sdR*RHOsolid)</f>
        <v>0.62680186496003276</v>
      </c>
      <c r="N70" s="124">
        <f>C.sd2C*FRACs.sdC/(FRACw.sdC/(Kp.sd2C*RHOsolid/1000)+FRACs.sdC)*(Molweight*1000)/(FRACs.sdC*RHOsolid)</f>
        <v>6.8914221391996166E-3</v>
      </c>
      <c r="O70" s="124">
        <f>C.sdM*FRACs.sdM/(FRACw.sdM/(Kp.sdM*RHOsolid/1000)+FRACs.sdM)*(Molweight*1000)/(FRACs.sdM*RHOsolid)</f>
        <v>7.2155281329409635E-3</v>
      </c>
      <c r="P70" s="124">
        <f>C.sdA*FRACs.sdA/(FRACw.sdA/(Kp.sdA*RHOsolid/1000)+FRACs.sdA)*(Molweight*1000)/(FRACs.sdA*RHOsolid)</f>
        <v>7.2207156122571425E-3</v>
      </c>
      <c r="Q70" s="124">
        <f>C.sdT*FRACs.sdT/(FRACw.sdT/(Kp.sdT*RHOsolid/1000)+FRACs.sdT)*(Molweight*1000)/(FRACs.sdT*RHOsolid)</f>
        <v>7.7562948934991709E-3</v>
      </c>
      <c r="R70" s="160" t="s">
        <v>140</v>
      </c>
      <c r="S70" s="163">
        <f>S68*(1-FRACw.sdR)</f>
        <v>6.55702075939183E-25</v>
      </c>
      <c r="T70" s="163">
        <f>T68*(1-FRACw.sdC)</f>
        <v>7.2091677696819922E-27</v>
      </c>
      <c r="U70" s="163">
        <f>U68*(1-FRACw.sdM)</f>
        <v>7.5482174515684446E-27</v>
      </c>
      <c r="V70" s="163">
        <f>V68*(1-FRACw.sdA)</f>
        <v>1.552430299542068E-32</v>
      </c>
      <c r="W70" s="162">
        <f>W68*(1-FRACw.sdT)</f>
        <v>7.500950579645682E-24</v>
      </c>
      <c r="X70" s="166"/>
      <c r="Y70" s="156"/>
      <c r="Z70" s="17"/>
      <c r="AA70" s="907" t="s">
        <v>138</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6.0255599257692185E-20</v>
      </c>
      <c r="BO70" s="132"/>
      <c r="BP70" s="132" t="s">
        <v>110</v>
      </c>
      <c r="BQ70" s="113"/>
      <c r="BR70" s="113"/>
      <c r="BS70" s="113"/>
      <c r="BT70" s="113"/>
      <c r="BU70" s="2"/>
      <c r="BV70" s="113"/>
      <c r="BW70" s="113"/>
      <c r="BX70" s="2"/>
      <c r="BY70" s="17" t="s">
        <v>111</v>
      </c>
      <c r="BZ70" s="2"/>
      <c r="CA70" s="2"/>
      <c r="CB70" s="113"/>
      <c r="CC70" s="113"/>
      <c r="CD70" s="113"/>
      <c r="CE70" s="2"/>
    </row>
    <row r="71" spans="1:83" ht="12.75" customHeight="1" x14ac:dyDescent="0.3">
      <c r="A71" s="17"/>
      <c r="B71" s="159" t="s">
        <v>123</v>
      </c>
      <c r="C71" s="295">
        <f>M.sd2RS*Molweight</f>
        <v>2.6907255945960018E-10</v>
      </c>
      <c r="D71" s="446">
        <f t="shared" si="21"/>
        <v>1.0321801695157623E-20</v>
      </c>
      <c r="E71" s="295">
        <f>M.sd2CS*Molweight</f>
        <v>1.2993277624789772E-10</v>
      </c>
      <c r="F71" s="446">
        <f t="shared" si="22"/>
        <v>6.1142412055952112E-20</v>
      </c>
      <c r="G71" s="296">
        <f>M.sdMS*Molweight</f>
        <v>6.8987262493968103E-18</v>
      </c>
      <c r="H71" s="446">
        <f t="shared" si="23"/>
        <v>3.6662008261090029E-28</v>
      </c>
      <c r="I71" s="296">
        <f>M.sdAS*Molweight</f>
        <v>7.8057582855757681E-20</v>
      </c>
      <c r="J71" s="446">
        <f t="shared" si="24"/>
        <v>6.5851866961034093E-30</v>
      </c>
      <c r="K71" s="296">
        <f>M.sdTS*Molweight</f>
        <v>1.2287352689088356E-19</v>
      </c>
      <c r="L71" s="461">
        <f t="shared" si="25"/>
        <v>2.798576936750104E-30</v>
      </c>
      <c r="M71" s="124">
        <f>C.sd2RS*(Molweight*1000)/(FRACw.sdR*1000+FRACs.sdR*RHOsolid)</f>
        <v>6.8992963963999975E-18</v>
      </c>
      <c r="N71" s="124">
        <f>C.sd2CS*(Molweight*1000)/(FRACw.sdC*1000+FRACs.sdC*RHOsolid)</f>
        <v>8.971833563710961E-22</v>
      </c>
      <c r="O71" s="124">
        <f>C.sdMS*(Molweight*1000)/(FRACw.sdM*1000+FRACs.sdM*RHOsolid)</f>
        <v>4.5607251727046114E-30</v>
      </c>
      <c r="P71" s="124">
        <f>C.sdAS*(Molweight*1000)/(FRACw.sdA*1000+FRACs.sdA*RHOsolid)</f>
        <v>7.8489273861998663E-32</v>
      </c>
      <c r="Q71" s="124">
        <f>C.sdTS*(Molweight*1000)/(FRACw.sdT*1000+FRACs.sdT*RHOsolid)</f>
        <v>3.5300876791175342E-32</v>
      </c>
      <c r="R71" s="160" t="s">
        <v>213</v>
      </c>
      <c r="S71" s="163"/>
      <c r="T71" s="163"/>
      <c r="U71" s="163"/>
      <c r="V71" s="163"/>
      <c r="W71" s="162"/>
      <c r="X71" s="166"/>
      <c r="Y71" s="156"/>
      <c r="Z71" s="17"/>
      <c r="AA71" s="312" t="s">
        <v>117</v>
      </c>
      <c r="AB71" s="162" t="s">
        <v>94</v>
      </c>
      <c r="AC71" s="161">
        <f>E.aCS*Molweight</f>
        <v>0</v>
      </c>
      <c r="AD71" s="163">
        <f>(k.aR.aC*(M.aRS+M.aRA+M.aRP)+k.aM.aC*(M.aMS+M.aMA+M.aMP))*Molweight</f>
        <v>0.32296183265893963</v>
      </c>
      <c r="AE71" s="163">
        <f>(k.aC.aM+k.aC.aR)*(M.aCS+M.aCA+M.aCP)*Molweight</f>
        <v>0.205097422846759</v>
      </c>
      <c r="AF71" s="163">
        <f>kesc.aC*VOLUME.aC*(C.aCS+C.aCA+C.aCP)*Molweight</f>
        <v>4.4663873405396559E-5</v>
      </c>
      <c r="AG71" s="163"/>
      <c r="AH71" s="162">
        <f>(kdegS.a*C.aCS+kdegA.a*C.aCA+kdegP.a*C.aCP)*VOLUME.aC*Molweight</f>
        <v>0</v>
      </c>
      <c r="AI71" s="163">
        <f>SUM(AI72:AI74,AK77:AK79)</f>
        <v>0.11781974593877528</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115</v>
      </c>
      <c r="BZ71" s="2"/>
      <c r="CA71" s="2"/>
      <c r="CB71" s="113"/>
      <c r="CC71" s="113"/>
      <c r="CD71" s="113"/>
      <c r="CE71" s="2"/>
    </row>
    <row r="72" spans="1:83" ht="12.75" customHeight="1" x14ac:dyDescent="0.3">
      <c r="A72" s="17"/>
      <c r="B72" s="159" t="s">
        <v>126</v>
      </c>
      <c r="C72" s="295">
        <f>M.sd2RA*Molweight</f>
        <v>2.7204875269769535</v>
      </c>
      <c r="D72" s="446">
        <f t="shared" si="21"/>
        <v>1.0435970440093131E-10</v>
      </c>
      <c r="E72" s="295">
        <f>M.sd2CA*Molweight</f>
        <v>0.1699542771050136</v>
      </c>
      <c r="F72" s="446">
        <f t="shared" si="22"/>
        <v>7.9975312938750048E-11</v>
      </c>
      <c r="G72" s="296">
        <f>M.sdMA*Molweight</f>
        <v>1.6500461457250948E-4</v>
      </c>
      <c r="H72" s="446">
        <f t="shared" si="23"/>
        <v>8.7688659092745532E-15</v>
      </c>
      <c r="I72" s="296">
        <f>M.sdAA*Molweight</f>
        <v>3.7130485957595628E-5</v>
      </c>
      <c r="J72" s="446">
        <f t="shared" si="24"/>
        <v>3.1324462429184423E-15</v>
      </c>
      <c r="K72" s="296">
        <f>M.sdTA*Molweight</f>
        <v>7.2884671382398477E-5</v>
      </c>
      <c r="L72" s="461">
        <f t="shared" si="25"/>
        <v>1.6600269035536591E-15</v>
      </c>
      <c r="M72" s="124">
        <f>C.sd2RA*(Molweight*1000)/(FRACw.sdR*1000+FRACs.sdR*RHOsolid)</f>
        <v>6.9756090435306419E-8</v>
      </c>
      <c r="N72" s="124">
        <f>C.sd2CA*(Molweight*1000)/(FRACw.sdC*1000+FRACs.sdC*RHOsolid)</f>
        <v>1.1735310609525019E-12</v>
      </c>
      <c r="O72" s="124">
        <f>C.sdMA*(Molweight*1000)/(FRACw.sdM*1000+FRACs.sdM*RHOsolid)</f>
        <v>1.0908400653802785E-16</v>
      </c>
      <c r="P72" s="124">
        <f>C.sdAA*(Molweight*1000)/(FRACw.sdA*1000+FRACs.sdA*RHOsolid)</f>
        <v>3.7335833039311844E-17</v>
      </c>
      <c r="Q72" s="124">
        <f>C.sdTA*(Molweight*1000)/(FRACw.sdT*1000+FRACs.sdT*RHOsolid)</f>
        <v>2.0939358294160303E-17</v>
      </c>
      <c r="R72" s="160" t="s">
        <v>213</v>
      </c>
      <c r="S72" s="163"/>
      <c r="T72" s="163"/>
      <c r="U72" s="163"/>
      <c r="V72" s="163"/>
      <c r="W72" s="162"/>
      <c r="X72" s="166"/>
      <c r="Y72" s="156"/>
      <c r="Z72" s="17"/>
      <c r="AA72" s="312" t="s">
        <v>119</v>
      </c>
      <c r="AB72" s="162" t="s">
        <v>142</v>
      </c>
      <c r="AC72" s="161"/>
      <c r="AD72" s="163">
        <f>k.w1C.w0C*(M.w1CS+M.w1CA+M.w1CP)*Molweight</f>
        <v>0</v>
      </c>
      <c r="AE72" s="163">
        <f>(k.w0C.w1C+k.w0C.w2C)*(M.w0CS+M.w0CA+M.w0CP)*Molweight</f>
        <v>4.663965514158688E-6</v>
      </c>
      <c r="AF72" s="163"/>
      <c r="AG72" s="163">
        <f>(kdis.w0S.w0D*M.w0CS+kdis.w0A.w0D*M.w0CA+kdis.w0P.w0D*M.w0CP)*Molweight</f>
        <v>2.5681126682533208E-4</v>
      </c>
      <c r="AH72" s="162">
        <f>(kdegS.w0*M.w0CS+kdegA.w0*M.w0CA+kdegP.w0*M.w0CP)*Molweight</f>
        <v>0</v>
      </c>
      <c r="AI72" s="163">
        <f>((k.aCS.w0CS*M.aCS+k.aCA.w0CA*M.aCA+k.aCP.w0CP*M.aCP)+(k.cwCS.w0CS*M.cwCS+k.cwCA.w0CA*M.cwCA+k.cwCP.w0CP*M.cwCP))*Molweight</f>
        <v>2.198363050135856E-4</v>
      </c>
      <c r="AJ72" s="163"/>
      <c r="AK72" s="163"/>
      <c r="AL72" s="163"/>
      <c r="AM72" s="163"/>
      <c r="AN72" s="163">
        <f>(k.w0CS.sd0CS*M.w0CS+k.w0CA.sd0CA*M.w0CA+k.w0CP.sd0CP*M.w0CP)*Molweight</f>
        <v>1.2472158210737567E-6</v>
      </c>
      <c r="AO72" s="162">
        <f>(k.sd0CS.w0CS*M.sd0CS+k.sd0CA.w0CA*M.sd0CA+k.sd0CP.w0CP*M.sd0CP)*Molweight</f>
        <v>0</v>
      </c>
      <c r="AP72" s="909">
        <f>SUM(AC72,AD72,AI72,AM72,AO72)-SUM(AF72,AE72,AH72,AJ72,AN72,AG72)</f>
        <v>-4.2886143146978953E-5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1.3641580817153377E-46</v>
      </c>
      <c r="BS72" s="113"/>
      <c r="BT72" s="113"/>
      <c r="BU72" s="113"/>
      <c r="BV72" s="113"/>
      <c r="BW72" s="113"/>
      <c r="BX72" s="2"/>
      <c r="BY72" s="2"/>
      <c r="BZ72" s="2"/>
      <c r="CA72" s="2"/>
      <c r="CB72" s="113"/>
      <c r="CC72" s="113"/>
      <c r="CD72" s="112"/>
      <c r="CE72" s="2"/>
    </row>
    <row r="73" spans="1:83" ht="12.75" customHeight="1" x14ac:dyDescent="0.3">
      <c r="A73" s="17"/>
      <c r="B73" s="159" t="s">
        <v>128</v>
      </c>
      <c r="C73" s="295">
        <f>M.sd2RP*Molweight</f>
        <v>8.7145453983159076</v>
      </c>
      <c r="D73" s="446">
        <f t="shared" si="21"/>
        <v>3.3429573660546642E-10</v>
      </c>
      <c r="E73" s="295">
        <f>M.sd2CP*Molweight</f>
        <v>0.26294232869792966</v>
      </c>
      <c r="F73" s="446">
        <f t="shared" si="22"/>
        <v>1.2373266139967157E-10</v>
      </c>
      <c r="G73" s="296">
        <f>M.sdMP*Molweight</f>
        <v>2.1970524078842872E-5</v>
      </c>
      <c r="H73" s="446">
        <f t="shared" si="23"/>
        <v>1.1675829800456892E-15</v>
      </c>
      <c r="I73" s="296">
        <f>M.sdAP*Molweight</f>
        <v>2.8857749739472527E-7</v>
      </c>
      <c r="J73" s="446">
        <f t="shared" si="24"/>
        <v>2.4345318252426368E-17</v>
      </c>
      <c r="K73" s="296">
        <f>M.sdTP*Molweight</f>
        <v>4.3267670176701891E-7</v>
      </c>
      <c r="L73" s="461">
        <f t="shared" si="25"/>
        <v>9.8546779707038896E-18</v>
      </c>
      <c r="M73" s="124">
        <f>C.sd2RP*(Molweight*1000)/(FRACw.sdR*1000+FRACs.sdR*RHOsolid)</f>
        <v>2.2344988200809994E-7</v>
      </c>
      <c r="N73" s="124">
        <f>C.sd2CP*(Molweight*1000)/(FRACw.sdC*1000+FRACs.sdC*RHOsolid)</f>
        <v>1.8156117940799982E-12</v>
      </c>
      <c r="O73" s="124">
        <f>C.sdMP*(Molweight*1000)/(FRACw.sdM*1000+FRACs.sdM*RHOsolid)</f>
        <v>1.4524641013644019E-17</v>
      </c>
      <c r="P73" s="124">
        <f>C.sdAP*(Molweight*1000)/(FRACw.sdA*1000+FRACs.sdA*RHOsolid)</f>
        <v>2.9017345137730042E-19</v>
      </c>
      <c r="Q73" s="124">
        <f>C.sdTP*(Molweight*1000)/(FRACw.sdT*1000+FRACs.sdT*RHOsolid)</f>
        <v>1.2430559556619089E-19</v>
      </c>
      <c r="R73" s="160" t="s">
        <v>213</v>
      </c>
      <c r="S73" s="163"/>
      <c r="T73" s="163"/>
      <c r="U73" s="163"/>
      <c r="V73" s="163"/>
      <c r="W73" s="162"/>
      <c r="X73" s="166"/>
      <c r="Y73" s="156"/>
      <c r="Z73" s="17"/>
      <c r="AA73" s="312" t="s">
        <v>122</v>
      </c>
      <c r="AB73" s="162" t="s">
        <v>95</v>
      </c>
      <c r="AC73" s="161">
        <f>E.w1CS*Molweight</f>
        <v>0</v>
      </c>
      <c r="AD73" s="163">
        <f>k.w0C.w1C*(M.w0CS+M.w0CA+M.w0CP)*Molweight</f>
        <v>4.663965514158688E-6</v>
      </c>
      <c r="AE73" s="163">
        <f>(k.w1C.w0C+k.w1C.w1R+k.w1C.w2C)*(M.w1CS+M.w1CA+M.w1CP)*Molweight</f>
        <v>9.5403816458601099E-4</v>
      </c>
      <c r="AF73" s="163"/>
      <c r="AG73" s="163">
        <f>(kdis.w1S.w1D*M.w1CS+kdis.w1A.w1D*M.w1CA+kdis.w1P.w1D*M.w1CP)*Molweight</f>
        <v>1.7335582164592939E-3</v>
      </c>
      <c r="AH73" s="162">
        <f>(kdegS.w1*M.w1CS+kdegA.w1*M.w1CA+kdegP.w1*M.w1CP)*Molweight</f>
        <v>0</v>
      </c>
      <c r="AI73" s="163">
        <f>((k.aCS.w1CS*M.aCS+k.aCA.w1CA*M.aCA+k.aCP.w1CP*M.aCP)+(k.cwCS.w1CS*M.cwCS+k.cwCA.w1CA*M.cwCA+k.cwCP.w1CP*M.cwCP))*Molweight</f>
        <v>2.4181993551494413E-3</v>
      </c>
      <c r="AJ73" s="163"/>
      <c r="AK73" s="163"/>
      <c r="AL73" s="163"/>
      <c r="AM73" s="163">
        <f>(k.s1CS.w1CS*M.s1CS+k.s1CA.w1CA*M.s1CA+k.s1CP.w1CP*M.s1CP+k.s2CS.w1CS*M.s2CS+k.s2CA.w1CA*M.s2CA+k.s2CP.w1CP*M.s2CP+k.s3CS.w1CS*M.s3CS+k.s3CA.w1CA*M.s3CA+k.s3CP.w1CP*M.s3CP)*Molweight</f>
        <v>4.7174757461676905E-4</v>
      </c>
      <c r="AN73" s="163">
        <f>(k.w1CS.sd1CS*M.w1CS+k.w1CA.sd1CA*M.w1CA+k.w1CP.sd1CP*M.w1CP)*Molweight</f>
        <v>2.4701471571598148E-4</v>
      </c>
      <c r="AO73" s="162">
        <f>(k.sd1CS.w1CS*M.sd1CS+k.sd1CA.w1CA*M.sd1CA+k.sd1CP.w1CP*M.sd1CP)*Molweight</f>
        <v>4.0000201480917274E-5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124</v>
      </c>
      <c r="AB74" s="162" t="s">
        <v>96</v>
      </c>
      <c r="AC74" s="161">
        <f>E.w2CS*Molweight</f>
        <v>0</v>
      </c>
      <c r="AD74" s="163">
        <f>(k.w2M.w2C*(M.w2MS+M.w2MA+M.w2MP)+k.w2R.w2C*(M.w2RS+M.w2RA+M.w2RP)+k.w1C.w2C*(M.w1CS+M.w1CA+M.w1CP))*Molweight</f>
        <v>1.0005950743154616E-2</v>
      </c>
      <c r="AE74" s="163">
        <f>(k.w2C.w2M+k.w2C.w2R)*(M.w2CS+M.w2CA+M.w2CP)*Molweight</f>
        <v>2.6011254506706056E-4</v>
      </c>
      <c r="AF74" s="163"/>
      <c r="AG74" s="163">
        <f>(kdis.w2S.w2D*M.w2CS+kdis.w2A.w2D*M.w2CA+kdis.w2P.w2D*M.w2CP)*Molweight</f>
        <v>9.6799959392852117E-2</v>
      </c>
      <c r="AH74" s="162">
        <f>(kdegS.w2*M.w2CS+kdegA.w2*M.w2CA+kdegP.w2*M.w2CP)*Molweight</f>
        <v>0</v>
      </c>
      <c r="AI74" s="163">
        <f>((k.aCS.w2CS*M.aCS+k.aCA.w2CA*M.aCA+k.aCP.w2CP*M.aCP)+(k.cwCS.w2CS*M.cwCS+k.cwCA.w2CA*M.cwCA+k.cwCP.w2CP*M.cwCP))*Molweight</f>
        <v>8.7059229770093505E-2</v>
      </c>
      <c r="AJ74" s="163"/>
      <c r="AK74" s="163"/>
      <c r="AL74" s="163"/>
      <c r="AM74" s="163"/>
      <c r="AN74" s="163">
        <f>(k.w2CS.sd2CS*M.w2CS+k.w2CA.sd2CA*M.w2CA+k.w2CP.sd2CP*M.w2CP)*Molweight</f>
        <v>5.1123552644941716E-6</v>
      </c>
      <c r="AO74" s="162">
        <f>(k.sd2CS.w2CS*M.sd2CS+k.sd2CA.w2CA*M.sd2CA+k.sd2CP.w2CP*M.sd2CP)*Molweight</f>
        <v>3.7799355861499425E-9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2.7586968447609464E-21</v>
      </c>
      <c r="BY74" s="113"/>
      <c r="BZ74" s="138">
        <f>IF(AL30&lt;0,"",AL30)</f>
        <v>1.0217394941456832E-21</v>
      </c>
      <c r="CA74" s="113"/>
      <c r="CB74" s="136">
        <f>IF(AL29&lt;0,"",AL29)</f>
        <v>6.2240488541420588E-21</v>
      </c>
      <c r="CC74" s="140"/>
      <c r="CD74" s="113"/>
      <c r="CE74" s="2"/>
    </row>
    <row r="75" spans="1:83" ht="12.75" customHeight="1" x14ac:dyDescent="0.35">
      <c r="A75" s="17"/>
      <c r="B75" s="104" t="s">
        <v>214</v>
      </c>
      <c r="C75" s="295">
        <f>SUM(C76,C79:C81)</f>
        <v>350820536.11222386</v>
      </c>
      <c r="D75" s="446">
        <f t="shared" ref="D75:D81" si="26">C75/$C$103</f>
        <v>1.3457708253906684E-2</v>
      </c>
      <c r="E75" s="295">
        <f>SUM(E76,E79:E81)</f>
        <v>261046929.37776968</v>
      </c>
      <c r="F75" s="446">
        <f>E75/$E$103</f>
        <v>0.12284074413606527</v>
      </c>
      <c r="G75" s="296"/>
      <c r="H75" s="446"/>
      <c r="I75" s="296"/>
      <c r="J75" s="446"/>
      <c r="K75" s="296"/>
      <c r="L75" s="461"/>
      <c r="M75" s="459">
        <f>((M.s1RD+M.s1RS+M.s1RA+M.s1RP)*Molweight*1000/(VOLUME.s1R))/(FRACw.s1R*1000+(1-FRACa.s1R-FRACw.s1R)*RHOsolid)</f>
        <v>6.687797116775461E-2</v>
      </c>
      <c r="N75" s="459">
        <f>((M.s1CD+M.s1CS+M.s1CA+M.s1CP)*Molweight*1000/(VOLUME.s1C))/(FRACw.s1C*1000+(1-FRACa.s1C-FRACw.s1C)*RHOsolid)</f>
        <v>3.2630854751422031E-3</v>
      </c>
      <c r="O75" s="124"/>
      <c r="P75" s="124"/>
      <c r="Q75" s="124"/>
      <c r="R75" s="160" t="s">
        <v>151</v>
      </c>
      <c r="S75" s="163"/>
      <c r="T75" s="163"/>
      <c r="U75" s="163"/>
      <c r="V75" s="163"/>
      <c r="W75" s="162"/>
      <c r="X75" s="166"/>
      <c r="Y75" s="156"/>
      <c r="Z75" s="17"/>
      <c r="AA75" s="312" t="s">
        <v>127</v>
      </c>
      <c r="AB75" s="162" t="s">
        <v>97</v>
      </c>
      <c r="AC75" s="161"/>
      <c r="AD75" s="163"/>
      <c r="AE75" s="163"/>
      <c r="AF75" s="163">
        <f>kbur.sd1C*(M.sd1CS+M.sd1CA+M.sd1CP)*Molweight</f>
        <v>4.4115692234404843E-6</v>
      </c>
      <c r="AG75" s="163">
        <f>(kdis.sd1S.sd1D*M.sd1CS+kdis.sd1A.sd1D*M.sd1CA+kdis.sd1P.sd1D*M.sd1CP)*Molweight</f>
        <v>2.0260294501162369E-4</v>
      </c>
      <c r="AH75" s="162">
        <f>(kdegS.sd1*M.sd1CS+kdegA.sd1*M.sd1CA+kdegP.sd1*M.sd1CP)*Molweight</f>
        <v>0</v>
      </c>
      <c r="AI75" s="163"/>
      <c r="AJ75" s="163"/>
      <c r="AK75" s="163"/>
      <c r="AL75" s="163"/>
      <c r="AM75" s="163"/>
      <c r="AN75" s="163">
        <f>AN73</f>
        <v>2.4701471571598148E-4</v>
      </c>
      <c r="AO75" s="162">
        <f>AO73</f>
        <v>4.0000201480917274E-5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8.7463905586009477E-23</v>
      </c>
      <c r="BW75" s="2"/>
      <c r="BX75" s="137"/>
      <c r="BY75" s="113"/>
      <c r="BZ75" s="113"/>
      <c r="CA75" s="113"/>
      <c r="CB75" s="2"/>
      <c r="CC75" s="137"/>
      <c r="CD75" s="113"/>
      <c r="CE75" s="2"/>
    </row>
    <row r="76" spans="1:83" ht="12.75" customHeight="1" x14ac:dyDescent="0.3">
      <c r="A76" s="17"/>
      <c r="B76" s="443" t="s">
        <v>116</v>
      </c>
      <c r="C76" s="295">
        <f>M.s1R*Molweight</f>
        <v>350818435.60257465</v>
      </c>
      <c r="D76" s="446">
        <f t="shared" si="26"/>
        <v>1.3457627676964533E-2</v>
      </c>
      <c r="E76" s="295">
        <f>M.s1C*Molweight</f>
        <v>261045366.38034615</v>
      </c>
      <c r="F76" s="446">
        <f t="shared" ref="F76:F81" si="27">E76/$E$103</f>
        <v>0.12284000863702284</v>
      </c>
      <c r="G76" s="296"/>
      <c r="H76" s="446"/>
      <c r="I76" s="296"/>
      <c r="J76" s="446"/>
      <c r="K76" s="296"/>
      <c r="L76" s="461"/>
      <c r="M76" s="124">
        <f>C.s1R*(Molweight*1000)/(FRACw.s1R*1000+(1-FRACa.s1R-FRACw.s1R)*RHOsolid)</f>
        <v>6.6877570741299214E-2</v>
      </c>
      <c r="N76" s="124">
        <f>C.s1C*(Molweight*1000)/(FRACw.s1C*1000+(1-FRACa.s1C-FRACw.s1C)*RHOsolid)</f>
        <v>3.2630659376812472E-3</v>
      </c>
      <c r="O76" s="124"/>
      <c r="P76" s="124"/>
      <c r="Q76" s="124"/>
      <c r="R76" s="160" t="s">
        <v>151</v>
      </c>
      <c r="S76" s="163">
        <f>F.s1R</f>
        <v>9.911089449245216E-25</v>
      </c>
      <c r="T76" s="163">
        <f>F.s1C</f>
        <v>4.8357824646840315E-26</v>
      </c>
      <c r="U76" s="163"/>
      <c r="V76" s="163"/>
      <c r="W76" s="162"/>
      <c r="X76" s="166"/>
      <c r="Y76" s="156"/>
      <c r="Z76" s="17"/>
      <c r="AA76" s="312" t="s">
        <v>129</v>
      </c>
      <c r="AB76" s="162" t="s">
        <v>98</v>
      </c>
      <c r="AC76" s="161"/>
      <c r="AD76" s="163"/>
      <c r="AE76" s="163"/>
      <c r="AF76" s="163">
        <f>kbur.sd2C*(M.sd2CS+M.sd2CA+M.sd2CP)*Molweight</f>
        <v>3.9537890008536012E-10</v>
      </c>
      <c r="AG76" s="163">
        <f>(kdis.sd2S.sd2D*M.sd2CS+kdis.sd2A.sd2D*M.sd2CA+kdis.sd2P.sd2D*M.sd2CP)*Molweight</f>
        <v>5.1081799500079375E-6</v>
      </c>
      <c r="AH76" s="162">
        <f>(kdegS.sd2*M.sd2CS+kdegA.sd2*M.sd2CA+kdegP.sd2*M.sd2CP)*Molweight</f>
        <v>0</v>
      </c>
      <c r="AI76" s="163"/>
      <c r="AJ76" s="163"/>
      <c r="AK76" s="163"/>
      <c r="AL76" s="163"/>
      <c r="AM76" s="163"/>
      <c r="AN76" s="163">
        <f>AN74</f>
        <v>5.1123552644941716E-6</v>
      </c>
      <c r="AO76" s="162">
        <f>AO74</f>
        <v>3.7799355861499425E-9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1.5075117246375433E-20</v>
      </c>
      <c r="BR76" s="113"/>
      <c r="BS76" s="113"/>
      <c r="BT76" s="138">
        <f>IF(AJ24&lt;0,"",AJ24)</f>
        <v>3.3345307941211955E-22</v>
      </c>
      <c r="BU76" s="113"/>
      <c r="BV76" s="2"/>
      <c r="BW76" s="2"/>
      <c r="BX76" s="137"/>
      <c r="BY76" s="113"/>
      <c r="BZ76" s="113"/>
      <c r="CA76" s="113"/>
      <c r="CB76" s="2"/>
      <c r="CC76" s="137"/>
      <c r="CD76" s="113"/>
      <c r="CE76" s="2"/>
    </row>
    <row r="77" spans="1:83" ht="12.75" customHeight="1" x14ac:dyDescent="0.3">
      <c r="A77" s="17"/>
      <c r="B77" s="159" t="s">
        <v>215</v>
      </c>
      <c r="C77" s="295">
        <f>C76*FRwD.s1R</f>
        <v>2461.8664823585423</v>
      </c>
      <c r="D77" s="446">
        <f t="shared" si="26"/>
        <v>9.4438829741296783E-8</v>
      </c>
      <c r="E77" s="295">
        <f>E76*FRw.s1C</f>
        <v>1831.8844526027617</v>
      </c>
      <c r="F77" s="446">
        <f t="shared" si="27"/>
        <v>8.6202909900297431E-7</v>
      </c>
      <c r="G77" s="296"/>
      <c r="H77" s="446"/>
      <c r="I77" s="296"/>
      <c r="J77" s="446"/>
      <c r="K77" s="296"/>
      <c r="L77" s="461"/>
      <c r="M77" s="124">
        <f>M78/Kp.s1R</f>
        <v>3.9891604360744363E-6</v>
      </c>
      <c r="N77" s="124">
        <f>N78/Kp.s1C</f>
        <v>1.9463765496586409E-7</v>
      </c>
      <c r="O77" s="124"/>
      <c r="P77" s="124"/>
      <c r="Q77" s="124"/>
      <c r="R77" s="160" t="s">
        <v>134</v>
      </c>
      <c r="S77" s="163">
        <f>S76*FRACw.s1R</f>
        <v>1.9822178898490433E-25</v>
      </c>
      <c r="T77" s="163">
        <f>T76*FRACw.s1C</f>
        <v>9.6715649293680639E-27</v>
      </c>
      <c r="U77" s="163"/>
      <c r="V77" s="163"/>
      <c r="W77" s="162"/>
      <c r="X77" s="166"/>
      <c r="Y77" s="156"/>
      <c r="Z77" s="17"/>
      <c r="AA77" s="312" t="s">
        <v>131</v>
      </c>
      <c r="AB77" s="162" t="s">
        <v>99</v>
      </c>
      <c r="AC77" s="161">
        <f>E.s1CS*Molweight</f>
        <v>0</v>
      </c>
      <c r="AD77" s="163"/>
      <c r="AE77" s="163"/>
      <c r="AF77" s="163">
        <f>kleach.s1C*(M.s1CS+M.s1CA)*Molweight</f>
        <v>1.4461895930252457E-6</v>
      </c>
      <c r="AG77" s="163">
        <f>(kdis.s1S.s1D*M.s1CS+kdis.s1A.s1D*M.s1CA+kdis.s1P.s1D*M.s1CP)*Molweight</f>
        <v>7.6117974525210927E-3</v>
      </c>
      <c r="AH77" s="162">
        <f>(kdegS.s1*M.s1CS+kdegA.s1*M.s1CA+kdegP.s1*M.s1CP)*Molweight</f>
        <v>0</v>
      </c>
      <c r="AI77" s="163"/>
      <c r="AJ77" s="163"/>
      <c r="AK77" s="163">
        <f>((k.aCS.s1CS*M.aCS+k.aCA.s1CA*M.aCA+k.aCP.s1CP*M.aCP)+(k.cwCS.s1CS*M.cwCS+k.cwCA.s1CA*M.cwCA+k.cwCP.s1CP*M.cwCP))*Molweight</f>
        <v>7.8279069456701662E-3</v>
      </c>
      <c r="AL77" s="163"/>
      <c r="AM77" s="163">
        <f>(k.s1CS.w1CS*M.s1CS+k.s1CA.w1CA*M.s1CA+k.s1CP.w1CP*M.s1CP)*Molweight</f>
        <v>1.9677469492637801E-4</v>
      </c>
      <c r="AN77" s="163"/>
      <c r="AO77" s="162"/>
      <c r="AP77" s="909">
        <f>SUM(AC77,AD77,AK77)-SUM(AE77,AF77,AH77,AL77,AM77,AP76,AG77)</f>
        <v>1.7888608629670726E-5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155</v>
      </c>
      <c r="C78" s="295">
        <f>C76*FRs.s1R</f>
        <v>350815973.73609227</v>
      </c>
      <c r="D78" s="446">
        <f t="shared" si="26"/>
        <v>1.3457533238134792E-2</v>
      </c>
      <c r="E78" s="295">
        <f>E76*FRs.s1C</f>
        <v>261043534.49589351</v>
      </c>
      <c r="F78" s="446">
        <f t="shared" si="27"/>
        <v>0.12283914660792382</v>
      </c>
      <c r="G78" s="296"/>
      <c r="H78" s="446"/>
      <c r="I78" s="296"/>
      <c r="J78" s="446"/>
      <c r="K78" s="296"/>
      <c r="L78" s="461"/>
      <c r="M78" s="124">
        <f>C.s1R*FRs.s1R*(Molweight*1000)/(FRACs.s1R*RHOsolid)</f>
        <v>7.5794048285414292E-2</v>
      </c>
      <c r="N78" s="124">
        <f>C.s1C*FRs.s1C*(Molweight*1000)/(FRACs.s1C*RHOsolid)</f>
        <v>3.6981154443514177E-3</v>
      </c>
      <c r="O78" s="124"/>
      <c r="P78" s="124"/>
      <c r="Q78" s="124"/>
      <c r="R78" s="160" t="s">
        <v>140</v>
      </c>
      <c r="S78" s="163">
        <f>S76*(1-FRACw.s1R)</f>
        <v>7.9288715593961733E-25</v>
      </c>
      <c r="T78" s="163">
        <f>T76*(1-FRACw.s1C)</f>
        <v>3.8686259717472256E-26</v>
      </c>
      <c r="U78" s="163"/>
      <c r="V78" s="163"/>
      <c r="W78" s="162"/>
      <c r="X78" s="166"/>
      <c r="Y78" s="156"/>
      <c r="Z78" s="17"/>
      <c r="AA78" s="312" t="s">
        <v>135</v>
      </c>
      <c r="AB78" s="162" t="s">
        <v>100</v>
      </c>
      <c r="AC78" s="161">
        <f>E.s2CS*Molweight</f>
        <v>0</v>
      </c>
      <c r="AD78" s="163"/>
      <c r="AE78" s="163"/>
      <c r="AF78" s="163">
        <f>kleach.s2C*(M.s2CS+M.s2CA)*Molweight</f>
        <v>1.4853703102053257E-6</v>
      </c>
      <c r="AG78" s="163">
        <f>(kdis.s2S.s2D*M.s2CS+kdis.s2A.s2D*M.s2CA+kdis.s2P.s2D*M.s2CP)*Molweight</f>
        <v>1.7173398124625316E-2</v>
      </c>
      <c r="AH78" s="162">
        <f>(kdegS.s2*M.s2CS+kdegA.s2*M.s2CA+kdegP.s2*M.s2CP)*Molweight</f>
        <v>0</v>
      </c>
      <c r="AI78" s="163"/>
      <c r="AJ78" s="163"/>
      <c r="AK78" s="163">
        <f>((k.aCS.s2CS*M.aCS+k.aCA.s2CA*M.aCA+k.aCP.s2CP*M.aCP)+(k.cwCS.s2CS*M.cwCS+k.cwCA.s2CA*M.cwCA+k.cwCP.s2CP*M.cwCP))*Molweight</f>
        <v>1.7395348768155926E-2</v>
      </c>
      <c r="AL78" s="163"/>
      <c r="AM78" s="163">
        <f>(k.s2CS.w1CS*M.s2CS+k.s2CA.w1CA*M.s2CA+k.s2CP.w1CP*M.s2CP)*Molweight</f>
        <v>2.0209316711869915E-4</v>
      </c>
      <c r="AN78" s="163"/>
      <c r="AO78" s="162"/>
      <c r="AP78" s="909">
        <f>SUM(AC78,AD78,AK78)-SUM(AE78,AF78,AH78,AL78,AM78,AP77,AG78)</f>
        <v>4.8349747203482729E-7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123</v>
      </c>
      <c r="C79" s="295">
        <f>M.s1RS*Molweight</f>
        <v>0.22541149349716297</v>
      </c>
      <c r="D79" s="446">
        <f t="shared" si="26"/>
        <v>8.6469342706659862E-12</v>
      </c>
      <c r="E79" s="295">
        <f>M.s1CS*Molweight</f>
        <v>2.2631952222853868E-2</v>
      </c>
      <c r="F79" s="446">
        <f t="shared" si="27"/>
        <v>1.0649908271029817E-11</v>
      </c>
      <c r="G79" s="296"/>
      <c r="H79" s="446"/>
      <c r="I79" s="296"/>
      <c r="J79" s="446"/>
      <c r="K79" s="296"/>
      <c r="L79" s="461"/>
      <c r="M79" s="124">
        <f>C.s1RS*(Molweight*1000)/(FRACw.s1R*1000+(1-FRACa.s1R-FRACw.s1R)*RHOsolid)</f>
        <v>4.2970869180136627E-11</v>
      </c>
      <c r="N79" s="124">
        <f>C.s1CS*(Molweight*1000)/(FRACw.s1C*1000+(1-FRACa.s1C-FRACw.s1C)*RHOsolid)</f>
        <v>2.8289930377091687E-13</v>
      </c>
      <c r="O79" s="124"/>
      <c r="P79" s="124"/>
      <c r="Q79" s="124"/>
      <c r="R79" s="160" t="s">
        <v>213</v>
      </c>
      <c r="S79" s="163"/>
      <c r="T79" s="163"/>
      <c r="U79" s="163"/>
      <c r="V79" s="163"/>
      <c r="W79" s="162"/>
      <c r="X79" s="166"/>
      <c r="Y79" s="156"/>
      <c r="Z79" s="17"/>
      <c r="AA79" s="312" t="s">
        <v>136</v>
      </c>
      <c r="AB79" s="162" t="s">
        <v>101</v>
      </c>
      <c r="AC79" s="161">
        <f>E.s3CS*Molweight</f>
        <v>0</v>
      </c>
      <c r="AD79" s="163"/>
      <c r="AE79" s="163"/>
      <c r="AF79" s="163">
        <f>kleach.s3C*(M.s3CS+M.s3CA)*Molweight</f>
        <v>5.3562721539809367E-7</v>
      </c>
      <c r="AG79" s="163">
        <f>(kdis.s3S.s3D*M.s3CS+kdis.s3A.s3D*M.s3CA+kdis.s3P.s3D*M.s3CP)*Molweight</f>
        <v>2.8191840264899554E-3</v>
      </c>
      <c r="AH79" s="162">
        <f>(kdegS.s3*M.s3CS+kdegA.s3*M.s3CA+kdegP.s3*M.s3CP)*Molweight</f>
        <v>0</v>
      </c>
      <c r="AI79" s="163"/>
      <c r="AJ79" s="163"/>
      <c r="AK79" s="163">
        <f>((k.aCS.s3CS*M.aCS+k.aCA.s3CA*M.aCA+k.aCP.s3CP*M.aCP)+(k.cwCS.s3CS*M.cwCS+k.cwCA.s3CA*M.cwCA+k.cwCP.s3CP*M.cwCP))*Molweight</f>
        <v>2.8992247946926539E-3</v>
      </c>
      <c r="AL79" s="163"/>
      <c r="AM79" s="163">
        <f>(k.s3CS.w1CS*M.s3CS+k.s3CA.w1CA*M.s3CA+k.s3CP.w1CP*M.s3CP)*Molweight</f>
        <v>7.2879712571691815E-5</v>
      </c>
      <c r="AN79" s="163"/>
      <c r="AO79" s="162"/>
      <c r="AP79" s="909">
        <f>SUM(AC79,AD79,AK79)-SUM(AE79,AF79,AH79,AL79,AM79,AP78,AG79)</f>
        <v>6.1419309435738374E-6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2.5275079967889663E-2</v>
      </c>
      <c r="BU79" s="137"/>
      <c r="BV79" s="140"/>
      <c r="BW79" s="113"/>
      <c r="BX79" s="2"/>
      <c r="BY79" s="113"/>
      <c r="BZ79" s="140"/>
      <c r="CA79" s="137"/>
      <c r="CB79" s="2"/>
      <c r="CC79" s="2"/>
      <c r="CD79" s="78"/>
      <c r="CE79" s="2"/>
    </row>
    <row r="80" spans="1:83" ht="12.75" customHeight="1" x14ac:dyDescent="0.3">
      <c r="A80" s="17"/>
      <c r="B80" s="159" t="s">
        <v>126</v>
      </c>
      <c r="C80" s="295">
        <f>M.s1RA*Molweight</f>
        <v>1722.1512594125427</v>
      </c>
      <c r="D80" s="446">
        <f t="shared" si="26"/>
        <v>6.6062863580078834E-8</v>
      </c>
      <c r="E80" s="295">
        <f>M.s1CA*Molweight</f>
        <v>1521.8457589957093</v>
      </c>
      <c r="F80" s="446">
        <f t="shared" si="27"/>
        <v>7.1613432090907355E-7</v>
      </c>
      <c r="G80" s="296"/>
      <c r="H80" s="446"/>
      <c r="I80" s="296"/>
      <c r="J80" s="446"/>
      <c r="K80" s="296"/>
      <c r="L80" s="461"/>
      <c r="M80" s="124">
        <f>C.s1RA*(Molweight*1000)/(FRACw.s1R*1000+(1-FRACa.s1R-FRACw.s1R)*RHOsolid)</f>
        <v>3.2829886057941997E-7</v>
      </c>
      <c r="N80" s="124">
        <f>C.s1CA*(Molweight*1000)/(FRACw.s1C*1000+(1-FRACa.s1C-FRACw.s1C)*RHOsolid)</f>
        <v>1.9023065329373492E-8</v>
      </c>
      <c r="O80" s="124"/>
      <c r="P80" s="124"/>
      <c r="Q80" s="124"/>
      <c r="R80" s="160" t="s">
        <v>213</v>
      </c>
      <c r="S80" s="163"/>
      <c r="T80" s="163"/>
      <c r="U80" s="163"/>
      <c r="V80" s="163"/>
      <c r="W80" s="162"/>
      <c r="X80" s="166"/>
      <c r="Y80" s="156"/>
      <c r="Z80" s="17"/>
      <c r="AA80" s="907" t="s">
        <v>158</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1.4406084274718664E-19</v>
      </c>
      <c r="BR80" s="113"/>
      <c r="BS80" s="113"/>
      <c r="BT80" s="138">
        <f>IF(AI24&lt;0,"",AI24)</f>
        <v>3.7188887901553986E-21</v>
      </c>
      <c r="BU80" s="137"/>
      <c r="BV80" s="138">
        <f>IF(AI23&lt;0,"",AI23)</f>
        <v>3.380807991050363E-22</v>
      </c>
      <c r="BW80" s="114"/>
      <c r="BX80" s="136">
        <f>IF(AK28&lt;0,"",AK28)</f>
        <v>3.651272630333622E-20</v>
      </c>
      <c r="BY80" s="113"/>
      <c r="BZ80" s="138">
        <f>IF(AK30&lt;0,"",AK30)</f>
        <v>1.3523231964198594E-20</v>
      </c>
      <c r="CA80" s="137"/>
      <c r="CB80" s="136">
        <f>IF(AK29&lt;0,"",AK29)</f>
        <v>8.1139391785191575E-20</v>
      </c>
      <c r="CC80" s="140"/>
      <c r="CD80" s="113"/>
      <c r="CE80" s="2"/>
    </row>
    <row r="81" spans="1:83" ht="12.75" customHeight="1" x14ac:dyDescent="0.3">
      <c r="A81" s="17"/>
      <c r="B81" s="159" t="s">
        <v>128</v>
      </c>
      <c r="C81" s="295">
        <f>M.s1RP*Molweight</f>
        <v>378.1329783236099</v>
      </c>
      <c r="D81" s="446">
        <f t="shared" si="26"/>
        <v>1.450543163708098E-8</v>
      </c>
      <c r="E81" s="295">
        <f>M.s1CP*Molweight</f>
        <v>41.129032567692391</v>
      </c>
      <c r="F81" s="446">
        <f t="shared" si="27"/>
        <v>1.9354071615607534E-8</v>
      </c>
      <c r="G81" s="296"/>
      <c r="H81" s="446"/>
      <c r="I81" s="296"/>
      <c r="J81" s="446"/>
      <c r="K81" s="296"/>
      <c r="L81" s="461"/>
      <c r="M81" s="124">
        <f>C.s1RP*(Molweight*1000)/(FRACw.s1R*1000+(1-FRACa.s1R-FRACw.s1R)*RHOsolid)</f>
        <v>7.2084623956603126E-8</v>
      </c>
      <c r="N81" s="124">
        <f>C.s1CP*(Molweight*1000)/(FRACw.s1C*1000+(1-FRACa.s1C-FRACw.s1C)*RHOsolid)</f>
        <v>5.1411272715670019E-10</v>
      </c>
      <c r="O81" s="124"/>
      <c r="P81" s="124"/>
      <c r="Q81" s="124"/>
      <c r="R81" s="160" t="s">
        <v>213</v>
      </c>
      <c r="S81" s="163"/>
      <c r="T81" s="163"/>
      <c r="U81" s="163"/>
      <c r="V81" s="163"/>
      <c r="W81" s="162"/>
      <c r="X81" s="166"/>
      <c r="Y81" s="156"/>
      <c r="Z81" s="17"/>
      <c r="AA81" s="312" t="s">
        <v>117</v>
      </c>
      <c r="AB81" s="162" t="s">
        <v>160</v>
      </c>
      <c r="AC81" s="161">
        <f>E.aMS*Molweight</f>
        <v>0</v>
      </c>
      <c r="AD81" s="163">
        <f>(k.aC.aM*(M.aCS+M.aCA+M.aCP)+k.aA.aM*(M.aAS+M.aAA+M.aAP)+k.aT.aM*(M.aTS+M.aTA+M.aTP))*Molweight</f>
        <v>0.18840634735012676</v>
      </c>
      <c r="AE81" s="163">
        <f>(k.aM.aA+k.aM.aC+k.aM.aT)*(M.aMS+M.aMA+M.aMP)*Molweight</f>
        <v>8.7669735437760896E-2</v>
      </c>
      <c r="AF81" s="163">
        <f>kesc.aM*VOLUME.aM*(C.aMS+C.aMA+C.aMP)*Molweight</f>
        <v>2.7577278549880461E-5</v>
      </c>
      <c r="AG81" s="163"/>
      <c r="AH81" s="162">
        <f>(kdegS.a*C.aMS+kdegA.a*C.aMA+kdegP.a*C.aMP)*VOLUME.aM*Molweight</f>
        <v>0</v>
      </c>
      <c r="AI81" s="163">
        <f>SUM(AI82,AK85)</f>
        <v>0.10070903463381595</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3.9315746547068678E-4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162</v>
      </c>
      <c r="AB82" s="162" t="s">
        <v>163</v>
      </c>
      <c r="AC82" s="161">
        <f>E.w2MS*Molweight</f>
        <v>0</v>
      </c>
      <c r="AD82" s="163">
        <f>(k.w2C.w2M*(M.w2CS+M.w2CA+M.w2CP)+k.w2A.w2M*(M.w2AS+M.w2AA+M.w2AP)+k.w2T.w2M*(M.w2TS+M.w2TA+M.w2TP)+k.w3M.w2M*(M.w3MS+M.w3MA+M.w3MP))*Molweight</f>
        <v>3.0681355773523518E-4</v>
      </c>
      <c r="AE82" s="163">
        <f>((k.w2M.w2C+k.w2M.w2A+k.w2M.w2T)*(M.w2MS+M.w2MA+M.w2MP)+k.w2MS.w3MS*M.w2MS+k.w2MA.w3MA*M.w2MA+k.w2MP.w3MP*M.w2MP)*Molweight</f>
        <v>1.6595247722051378E-3</v>
      </c>
      <c r="AF82" s="163"/>
      <c r="AG82" s="163">
        <f>(kdis.w2S.w2D*M.w2MS+kdis.w2A.w2D*M.w2MA+kdis.w2P.w2D*M.w2MP)*Molweight</f>
        <v>6.6521912923175358E-2</v>
      </c>
      <c r="AH82" s="162">
        <f>(kdegS.w2*C.w2MS+kdegA.w2*C.w2MA+kdegP.w2*C.w2MP)*VOLUME.w2M*Molweight</f>
        <v>0</v>
      </c>
      <c r="AI82" s="163">
        <f>((k.aMS.w2MS*M.aMS+k.aMA.w2MA*M.aMA+k.aMP.w2MP*M.aMP)+(k.cwMS.w2MS*M.cwMS+k.cwMA.w2MA*M.cwMA+k.cwMP.w2MP*M.cwMP))*Molweight</f>
        <v>6.6924719362603066E-2</v>
      </c>
      <c r="AJ82" s="163"/>
      <c r="AK82" s="163"/>
      <c r="AL82" s="163"/>
      <c r="AM82" s="163">
        <f>(k.sMS.w2MS*M.sMS+k.sMA.w2MA*M.sMA+k.sMP.w2MP*M.sMP)*Molweight</f>
        <v>9.4990477504217866E-4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3.1541737600832335E-3</v>
      </c>
      <c r="BO82" s="113"/>
      <c r="BP82" s="113"/>
      <c r="BQ82" s="137"/>
      <c r="BR82" s="113"/>
      <c r="BS82" s="130">
        <f>AD24</f>
        <v>3.9315746547068678E-4</v>
      </c>
      <c r="BT82" s="113"/>
      <c r="BU82" s="137"/>
      <c r="BV82" s="137"/>
      <c r="BW82" s="113"/>
      <c r="BX82" s="137"/>
      <c r="BY82" s="113"/>
      <c r="BZ82" s="137"/>
      <c r="CA82" s="137"/>
      <c r="CB82" s="113"/>
      <c r="CC82" s="137"/>
      <c r="CD82" s="113"/>
      <c r="CE82" s="2"/>
    </row>
    <row r="83" spans="1:83" ht="12.75" customHeight="1" x14ac:dyDescent="0.3">
      <c r="A83" s="17"/>
      <c r="B83" s="104" t="s">
        <v>216</v>
      </c>
      <c r="C83" s="295">
        <f>SUM(C84,C87:C89)</f>
        <v>25392972540.482922</v>
      </c>
      <c r="D83" s="446">
        <f t="shared" ref="D83:D89" si="28">C83/$C$103</f>
        <v>0.97409125456659851</v>
      </c>
      <c r="E83" s="295">
        <f>SUM(E84,E87:E89)</f>
        <v>1294264464.5227666</v>
      </c>
      <c r="F83" s="446">
        <f>E83/$E$103</f>
        <v>0.60904148656261459</v>
      </c>
      <c r="G83" s="296"/>
      <c r="H83" s="446"/>
      <c r="I83" s="296"/>
      <c r="J83" s="446"/>
      <c r="K83" s="296"/>
      <c r="L83" s="461"/>
      <c r="M83" s="459">
        <f>((M.s2RD+M.s2RS+M.s2RA+M.s2RP)*Molweight*1000/(VOLUME.s2R))/(FRACw.s2R*1000+(1-FRACa.s2R-FRACw.s2R)*RHOsolid)</f>
        <v>0.54458308435316327</v>
      </c>
      <c r="N83" s="459">
        <f>((M.s2CD+M.s2CS+M.s2CA+M.s2CP)*Molweight*1000/(VOLUME.s2C))/(FRACw.s2C*1000+(1-FRACa.s2C-FRACw.s2C)*RHOsolid)</f>
        <v>1.8200587662145719E-3</v>
      </c>
      <c r="O83" s="124"/>
      <c r="P83" s="124"/>
      <c r="Q83" s="124"/>
      <c r="R83" s="160" t="s">
        <v>151</v>
      </c>
      <c r="S83" s="163"/>
      <c r="T83" s="163"/>
      <c r="U83" s="163"/>
      <c r="V83" s="163"/>
      <c r="W83" s="162"/>
      <c r="X83" s="166"/>
      <c r="Y83" s="156"/>
      <c r="Z83" s="17"/>
      <c r="AA83" s="312" t="s">
        <v>165</v>
      </c>
      <c r="AB83" s="162" t="s">
        <v>166</v>
      </c>
      <c r="AC83" s="161"/>
      <c r="AD83" s="163">
        <f>(k.w2MS.w3MS*M.w2MS+k.w2MA.w3MA*M.w2MA+k.w2MP.w3MP*M.w2MP+k.w3A.w3M*(M.w3AS+M.w3AA+M.w3AP)+k.w3T.w3M*(M.w3TS+M.w3TA+M.w3TP))*Molweight</f>
        <v>1.4073434815835752E-3</v>
      </c>
      <c r="AE83" s="163">
        <f>(k.w3M.w2M+k.w3M.w3A+k.w3M.w3T)*(M.w3MS+M.w3MA+M.w3MP)*Molweight</f>
        <v>1.1431755957532692E-6</v>
      </c>
      <c r="AF83" s="163"/>
      <c r="AG83" s="163">
        <f>(kdis.w2S.w2D*M.w3MS+kdis.w2A.w2D*M.w3MA+kdis.w2P.w2D*M.w3MP)*Molweight</f>
        <v>1.4061980996806285E-3</v>
      </c>
      <c r="AH83" s="162">
        <f>(kdegS.w3*C.w3MS+kdegA.w3*C.w3MA+kdegP.w3*C.w3MP)*VOLUME.w3M*Molweight</f>
        <v>0</v>
      </c>
      <c r="AI83" s="163"/>
      <c r="AJ83" s="163"/>
      <c r="AK83" s="163"/>
      <c r="AL83" s="163"/>
      <c r="AM83" s="163"/>
      <c r="AN83" s="163">
        <f>(k.w3MS.sdMS*M.w3MS+k.w3MA.sdMA*M.w3MA+k.w3MP.sdMP*M.w3MP)*Molweight</f>
        <v>2.2081100228400062E-9</v>
      </c>
      <c r="AO83" s="162">
        <f>(k.sdMS.w3MS*M.sdMS+k.sdMA.w3MA*M.sdMA+k.sdMP.w3MP*M.sdMP)*Molweight</f>
        <v>1.8028288324353761E-12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2.5240203610854541</v>
      </c>
      <c r="BO83" s="132"/>
      <c r="BP83" s="130">
        <f>AD25</f>
        <v>2.7778193625750891</v>
      </c>
      <c r="BQ83" s="301"/>
      <c r="BR83" s="134"/>
      <c r="BS83" s="135"/>
      <c r="BT83" s="55">
        <f>AH24</f>
        <v>7.2710014350628771E-17</v>
      </c>
      <c r="BU83" s="113"/>
      <c r="BV83" s="940">
        <f>AH23</f>
        <v>6.3572180745115568E-16</v>
      </c>
      <c r="BW83" s="113"/>
      <c r="BX83" s="137"/>
      <c r="BY83" s="113"/>
      <c r="BZ83" s="2"/>
      <c r="CA83" s="113"/>
      <c r="CB83" s="2"/>
      <c r="CC83" s="141"/>
      <c r="CD83" s="113"/>
      <c r="CE83" s="2"/>
    </row>
    <row r="84" spans="1:83" ht="12.75" customHeight="1" x14ac:dyDescent="0.35">
      <c r="A84" s="17"/>
      <c r="B84" s="443" t="s">
        <v>116</v>
      </c>
      <c r="C84" s="295">
        <f>M.s2R*Molweight</f>
        <v>25392903354.551403</v>
      </c>
      <c r="D84" s="446">
        <f t="shared" si="28"/>
        <v>0.97408860054841595</v>
      </c>
      <c r="E84" s="295">
        <f>M.s2C*Molweight</f>
        <v>1294260938.1576486</v>
      </c>
      <c r="F84" s="446">
        <f t="shared" ref="F84:F89" si="29">E84/$E$103</f>
        <v>0.60903982716245908</v>
      </c>
      <c r="G84" s="163"/>
      <c r="H84" s="446"/>
      <c r="I84" s="296"/>
      <c r="J84" s="446"/>
      <c r="K84" s="296"/>
      <c r="L84" s="461"/>
      <c r="M84" s="124">
        <f>C.s2R*(Molweight*1000)/(FRACw.s2R*1000+(1-FRACa.s2R-FRACw.s2R)*RHOsolid)</f>
        <v>0.54458160057697602</v>
      </c>
      <c r="N84" s="124">
        <f>C.s2C*(Molweight*1000)/(FRACw.s2C*1000+(1-FRACa.s2C-FRACw.s2C)*RHOsolid)</f>
        <v>1.8200538072653603E-3</v>
      </c>
      <c r="O84" s="124"/>
      <c r="P84" s="124"/>
      <c r="Q84" s="124"/>
      <c r="R84" s="160" t="s">
        <v>151</v>
      </c>
      <c r="S84" s="163">
        <f>F.s2R</f>
        <v>8.0705637120255931E-24</v>
      </c>
      <c r="T84" s="163">
        <f>F.s2C</f>
        <v>2.6972744204518137E-26</v>
      </c>
      <c r="U84" s="163"/>
      <c r="V84" s="163"/>
      <c r="W84" s="162"/>
      <c r="X84" s="166"/>
      <c r="Y84" s="156"/>
      <c r="Z84" s="17"/>
      <c r="AA84" s="312" t="s">
        <v>181</v>
      </c>
      <c r="AB84" s="162" t="s">
        <v>167</v>
      </c>
      <c r="AC84" s="161"/>
      <c r="AD84" s="163"/>
      <c r="AE84" s="163"/>
      <c r="AF84" s="163">
        <f>kbur.sdM*(M.sdMS+M.sdMA+M.sdMP)*Molweight</f>
        <v>5.5792153220938376E-16</v>
      </c>
      <c r="AG84" s="163">
        <f>(kdis.sd2S.sd2D*M.sdMS+kdis.sd2A.sd2D*M.sdMA+kdis.sd2P.sd2D*M.sdMP)*Molweight</f>
        <v>2.2063066360860393E-9</v>
      </c>
      <c r="AH84" s="162">
        <f>(kdegS.sd2*C.sdMS+kdegA.sd2*C.sdMA+kdegP.sd2*C.sdMP)*VOLUME.sdM*Molweight</f>
        <v>0</v>
      </c>
      <c r="AI84" s="163"/>
      <c r="AJ84" s="163"/>
      <c r="AK84" s="163"/>
      <c r="AL84" s="163"/>
      <c r="AM84" s="163"/>
      <c r="AN84" s="163">
        <f>AN83</f>
        <v>2.2081100228400062E-9</v>
      </c>
      <c r="AO84" s="162">
        <f>AO83</f>
        <v>1.8028288324353761E-12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215</v>
      </c>
      <c r="C85" s="295">
        <f>C84*FRwD.s2R</f>
        <v>178194.56252623771</v>
      </c>
      <c r="D85" s="446">
        <f t="shared" si="28"/>
        <v>6.8356615079783009E-6</v>
      </c>
      <c r="E85" s="295">
        <f>E84*FRw.s2C</f>
        <v>9082.4691627262164</v>
      </c>
      <c r="F85" s="446">
        <f t="shared" si="29"/>
        <v>4.2739337068684366E-6</v>
      </c>
      <c r="G85" s="296"/>
      <c r="H85" s="446"/>
      <c r="I85" s="296"/>
      <c r="J85" s="446"/>
      <c r="K85" s="296"/>
      <c r="L85" s="461"/>
      <c r="M85" s="124">
        <f>M86/Kp.s2R</f>
        <v>3.2483586816263015E-5</v>
      </c>
      <c r="N85" s="124">
        <f>N86/Kp.s2C</f>
        <v>1.0856385121336385E-7</v>
      </c>
      <c r="O85" s="124"/>
      <c r="P85" s="124"/>
      <c r="Q85" s="124"/>
      <c r="R85" s="160" t="s">
        <v>134</v>
      </c>
      <c r="S85" s="163">
        <f>S84*FRACw.s2R</f>
        <v>1.6141127424051186E-24</v>
      </c>
      <c r="T85" s="163">
        <f>T84*FRACw.s2C</f>
        <v>5.3945488409036276E-27</v>
      </c>
      <c r="U85" s="163"/>
      <c r="V85" s="163"/>
      <c r="W85" s="162"/>
      <c r="X85" s="166"/>
      <c r="Y85" s="156"/>
      <c r="Z85" s="17"/>
      <c r="AA85" s="312" t="s">
        <v>182</v>
      </c>
      <c r="AB85" s="162" t="s">
        <v>168</v>
      </c>
      <c r="AC85" s="161">
        <f>E.sMS*Molweight</f>
        <v>0</v>
      </c>
      <c r="AD85" s="163"/>
      <c r="AE85" s="163"/>
      <c r="AF85" s="163">
        <f>kleach.sM*(M.sMS+M.sMA)*Molweight</f>
        <v>6.399543880983037E-6</v>
      </c>
      <c r="AG85" s="163">
        <f>(kdis.s1S.s1D*M.sMS+kdis.s1A.s1D*M.sMA+kdis.s1P.s1D*M.sMP)*Molweight</f>
        <v>3.2828010952289724E-2</v>
      </c>
      <c r="AH85" s="162">
        <f>(kdegS.s1*C.sMS+kdegA.s1*C.sMA+kdegP.s1*C.sMP)*VOLUME.sM*Molweight</f>
        <v>0</v>
      </c>
      <c r="AI85" s="163"/>
      <c r="AJ85" s="163"/>
      <c r="AK85" s="163">
        <f>((k.aMS.sMS*M.aMS+k.aMA.sMA*M.aMA+k.aMP.sMP*M.aMP)+(k.cwMS.sMS*M.cwMS+k.cwMA.sMA*M.cwMA+k.cwMP.sMP*M.cwMP))*Molweight</f>
        <v>3.3784315271212888E-2</v>
      </c>
      <c r="AL85" s="163"/>
      <c r="AM85" s="163">
        <f>AM82</f>
        <v>9.4990477504217866E-4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145</v>
      </c>
      <c r="BU85" s="140"/>
      <c r="BV85" s="98" t="s">
        <v>146</v>
      </c>
      <c r="BW85" s="113"/>
      <c r="BX85" s="2"/>
      <c r="BY85" s="113"/>
      <c r="BZ85" s="2"/>
      <c r="CA85" s="113"/>
      <c r="CB85" s="113"/>
      <c r="CC85" s="55"/>
      <c r="CD85" s="2"/>
      <c r="CE85" s="2"/>
    </row>
    <row r="86" spans="1:83" ht="12.75" customHeight="1" x14ac:dyDescent="0.35">
      <c r="A86" s="17"/>
      <c r="B86" s="159" t="s">
        <v>155</v>
      </c>
      <c r="C86" s="295">
        <f>C84*FRs.s2R</f>
        <v>25392725159.988873</v>
      </c>
      <c r="D86" s="446">
        <f t="shared" si="28"/>
        <v>0.97408176488690779</v>
      </c>
      <c r="E86" s="295">
        <f>E84*FRs.s2C</f>
        <v>1294251855.6884856</v>
      </c>
      <c r="F86" s="446">
        <f t="shared" si="29"/>
        <v>0.60903555322875214</v>
      </c>
      <c r="G86" s="296"/>
      <c r="H86" s="446"/>
      <c r="I86" s="296"/>
      <c r="J86" s="446"/>
      <c r="K86" s="296"/>
      <c r="L86" s="461"/>
      <c r="M86" s="124">
        <f>C.s2R*FRs.s2R*(Molweight*1000)/(FRACs.s2R*RHOsolid)</f>
        <v>0.61718814950899725</v>
      </c>
      <c r="N86" s="124">
        <f>C.s2C*FRs.s2C*(Molweight*1000)/(FRACs.s2C*RHOsolid)</f>
        <v>2.0627131730539131E-3</v>
      </c>
      <c r="O86" s="124"/>
      <c r="P86" s="124"/>
      <c r="Q86" s="124"/>
      <c r="R86" s="160" t="s">
        <v>140</v>
      </c>
      <c r="S86" s="163">
        <f>S84*(1-FRACw.s2R)</f>
        <v>6.4564509696204746E-24</v>
      </c>
      <c r="T86" s="163">
        <f>T84*(1-FRACw.s2C)</f>
        <v>2.157819536361451E-26</v>
      </c>
      <c r="U86" s="163"/>
      <c r="V86" s="163"/>
      <c r="W86" s="162"/>
      <c r="X86" s="166"/>
      <c r="Y86" s="156"/>
      <c r="Z86" s="17"/>
      <c r="AA86" s="907" t="s">
        <v>183</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0.22202135535850309</v>
      </c>
      <c r="BT86" s="82">
        <f>IF(ISERROR(F36),0,F36)</f>
        <v>2.0431874640135103E-5</v>
      </c>
      <c r="BU86" s="113"/>
      <c r="BV86" s="82">
        <f>IF(ISERROR(E20),0,E20)</f>
        <v>164002.82845348647</v>
      </c>
      <c r="BW86" s="2"/>
      <c r="BX86" s="76" t="s">
        <v>147</v>
      </c>
      <c r="BY86" s="42"/>
      <c r="BZ86" s="76" t="s">
        <v>148</v>
      </c>
      <c r="CA86" s="113"/>
      <c r="CB86" s="113"/>
      <c r="CC86" s="76" t="s">
        <v>149</v>
      </c>
      <c r="CD86" s="94"/>
      <c r="CE86" s="2"/>
    </row>
    <row r="87" spans="1:83" ht="12.75" customHeight="1" x14ac:dyDescent="0.35">
      <c r="A87" s="17"/>
      <c r="B87" s="159" t="s">
        <v>123</v>
      </c>
      <c r="C87" s="295">
        <f>M.s2RS*Molweight</f>
        <v>17.206290227581999</v>
      </c>
      <c r="D87" s="446">
        <f t="shared" si="28"/>
        <v>6.600446957323257E-10</v>
      </c>
      <c r="E87" s="295">
        <f>M.s2CS*Molweight</f>
        <v>8.0461661203529364E-2</v>
      </c>
      <c r="F87" s="446">
        <f t="shared" si="29"/>
        <v>3.7862810185988051E-11</v>
      </c>
      <c r="G87" s="296"/>
      <c r="H87" s="446"/>
      <c r="I87" s="296"/>
      <c r="J87" s="446"/>
      <c r="K87" s="296"/>
      <c r="L87" s="461"/>
      <c r="M87" s="124">
        <f>C.s2RS*(Molweight*1000)/(FRACw.s2R*1000+(1-FRACa.s2R-FRACw.s2R)*RHOsolid)</f>
        <v>3.6900975604465776E-10</v>
      </c>
      <c r="N87" s="124">
        <f>C.s2CS*(Molweight*1000)/(FRACw.s2C*1000+(1-FRACa.s2C-FRACw.s2C)*RHOsolid)</f>
        <v>1.1314917146525312E-13</v>
      </c>
      <c r="O87" s="124"/>
      <c r="P87" s="124"/>
      <c r="Q87" s="124"/>
      <c r="R87" s="160" t="s">
        <v>151</v>
      </c>
      <c r="S87" s="163"/>
      <c r="T87" s="163"/>
      <c r="U87" s="163"/>
      <c r="V87" s="163"/>
      <c r="W87" s="162"/>
      <c r="X87" s="166"/>
      <c r="Y87" s="156"/>
      <c r="Z87" s="17"/>
      <c r="AA87" s="312" t="s">
        <v>117</v>
      </c>
      <c r="AB87" s="162" t="s">
        <v>169</v>
      </c>
      <c r="AC87" s="161">
        <f>E.aAS*Molweight</f>
        <v>0</v>
      </c>
      <c r="AD87" s="163">
        <f>k.aM.aA*(M.aMS+M.aMA+M.aMP)*Molweight</f>
        <v>2.8555707176464475E-2</v>
      </c>
      <c r="AE87" s="163">
        <f>k.aA.aM*(M.aAS+M.aAA+M.aAP)*Molweight</f>
        <v>1.0672570021915335E-2</v>
      </c>
      <c r="AF87" s="163">
        <f>kesc.aA*VOLUME.aA*(C.aAS+C.aAA+C.aAP)*Molweight</f>
        <v>5.6469771572668259E-6</v>
      </c>
      <c r="AG87" s="163"/>
      <c r="AH87" s="162">
        <f>(kdegS.a*C.aAS+kdegA.a*C.aAA+kdegP.a*C.aAP)*VOLUME.aA*Molweight</f>
        <v>0</v>
      </c>
      <c r="AI87" s="163">
        <f>SUM(AI88,AK91)</f>
        <v>1.7877490177391875E-2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0.12284000863702284</v>
      </c>
      <c r="BY87" s="42"/>
      <c r="BZ87" s="96">
        <f>IF(ISERROR(F92),0,F92)</f>
        <v>4.5496296022522587E-2</v>
      </c>
      <c r="CA87" s="113"/>
      <c r="CB87" s="113"/>
      <c r="CC87" s="96">
        <f>IF(ISERROR(F84),0,F84)</f>
        <v>0.60903982716245908</v>
      </c>
      <c r="CD87" s="2"/>
      <c r="CE87" s="2"/>
    </row>
    <row r="88" spans="1:83" ht="12.75" customHeight="1" x14ac:dyDescent="0.3">
      <c r="A88" s="17"/>
      <c r="B88" s="159" t="s">
        <v>126</v>
      </c>
      <c r="C88" s="295">
        <f>M.s2RA*Molweight</f>
        <v>53191.481987154999</v>
      </c>
      <c r="D88" s="446">
        <f t="shared" si="28"/>
        <v>2.0404604990030465E-6</v>
      </c>
      <c r="E88" s="295">
        <f>M.s2CA*Molweight</f>
        <v>3434.8934608078316</v>
      </c>
      <c r="F88" s="446">
        <f t="shared" si="29"/>
        <v>1.6163563760718602E-6</v>
      </c>
      <c r="G88" s="296"/>
      <c r="H88" s="446"/>
      <c r="I88" s="296"/>
      <c r="J88" s="446"/>
      <c r="K88" s="296"/>
      <c r="L88" s="461"/>
      <c r="M88" s="124">
        <f>C.s2RA*(Molweight*1000)/(FRACw.s2R*1000+(1-FRACa.s2R-FRACw.s2R)*RHOsolid)</f>
        <v>1.140755824301368E-6</v>
      </c>
      <c r="N88" s="124">
        <f>C.s2CA*(Molweight*1000)/(FRACw.s2C*1000+(1-FRACa.s2C-FRACw.s2C)*RHOsolid)</f>
        <v>4.830317238649978E-9</v>
      </c>
      <c r="O88" s="124"/>
      <c r="P88" s="124"/>
      <c r="Q88" s="124"/>
      <c r="R88" s="160" t="s">
        <v>151</v>
      </c>
      <c r="S88" s="163"/>
      <c r="T88" s="163"/>
      <c r="U88" s="163"/>
      <c r="V88" s="163"/>
      <c r="W88" s="162"/>
      <c r="X88" s="166"/>
      <c r="Y88" s="156"/>
      <c r="Z88" s="17"/>
      <c r="AA88" s="312" t="s">
        <v>162</v>
      </c>
      <c r="AB88" s="162" t="s">
        <v>170</v>
      </c>
      <c r="AC88" s="161">
        <f>E.w2AS*Molweight</f>
        <v>0</v>
      </c>
      <c r="AD88" s="163">
        <f>(k.w2M.w2A*(M.w2MS+M.w2MA+M.w2MP)+k.w3A.w2A*(M.w3AS+M.w3AA+M.w3AP))*Molweight</f>
        <v>2.1826427250374225E-4</v>
      </c>
      <c r="AE88" s="163">
        <f>(k.w2A.w2M*(M.w2AS+M.w2AA+M.w2AP)+k.w2AS.w3AS*M.w2AS+k.w2AA.w3AA*M.w2AA+k.w2AP.w3AP*M.w2AP)*Molweight</f>
        <v>3.1665994662282972E-4</v>
      </c>
      <c r="AF88" s="163"/>
      <c r="AG88" s="163">
        <f>(kdis.w2S.w2D*M.w2AS+kdis.w2A.w2D*M.w2AA+kdis.w2P.w2D*M.w2AP)*Molweight</f>
        <v>1.3851846896068408E-2</v>
      </c>
      <c r="AH88" s="162">
        <f>(kdegS.w2*C.w2AS+kdegA.w2*C.w2AA+kdegP.w2*C.w2AP)*VOLUME.w2A*Molweight</f>
        <v>0</v>
      </c>
      <c r="AI88" s="163">
        <f>((k.aAS.w2AS*M.aAS+k.aAA.w2AA*M.aAA+k.aAP.w2AP*M.aAP)+(k.cwAS.w2AS*M.cwAS+k.cwAA.w2AA*M.cwAA+k.cwAP.w2AP*M.cwAP))*Molweight</f>
        <v>1.390961375190549E-2</v>
      </c>
      <c r="AJ88" s="163"/>
      <c r="AK88" s="163"/>
      <c r="AL88" s="163"/>
      <c r="AM88" s="163">
        <f>(k.sAS.w2AS*M.sAS+k.sAA.w2AA*M.sAA+k.sAP.w2AP*M.sAP)*Molweight</f>
        <v>4.0628818282006388E-5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0.2462689772482394</v>
      </c>
      <c r="BT88" s="22">
        <f>AH26</f>
        <v>3.4547974244029533E-14</v>
      </c>
      <c r="BU88" s="113"/>
      <c r="BV88" s="113"/>
      <c r="BW88" s="113"/>
      <c r="BX88" s="2"/>
      <c r="BY88" s="42"/>
      <c r="BZ88" s="113"/>
      <c r="CA88" s="113"/>
      <c r="CB88" s="113"/>
      <c r="CC88" s="113"/>
      <c r="CD88" s="2"/>
      <c r="CE88" s="2"/>
    </row>
    <row r="89" spans="1:83" ht="12.75" customHeight="1" x14ac:dyDescent="0.35">
      <c r="A89" s="17"/>
      <c r="B89" s="159" t="s">
        <v>128</v>
      </c>
      <c r="C89" s="295">
        <f>M.s2RP*Molweight</f>
        <v>15977.243240815924</v>
      </c>
      <c r="D89" s="446">
        <f t="shared" si="28"/>
        <v>6.128976388309876E-7</v>
      </c>
      <c r="E89" s="295">
        <f>M.s2CP*Molweight</f>
        <v>91.391195523843365</v>
      </c>
      <c r="F89" s="446">
        <f t="shared" si="29"/>
        <v>4.3005916569841072E-8</v>
      </c>
      <c r="G89" s="296"/>
      <c r="H89" s="446"/>
      <c r="I89" s="296"/>
      <c r="J89" s="446"/>
      <c r="K89" s="296"/>
      <c r="L89" s="461"/>
      <c r="M89" s="124">
        <f>C.s2RP*(Molweight*1000)/(FRACw.s2R*1000+(1-FRACa.s2R-FRACw.s2R)*RHOsolid)</f>
        <v>3.4265135323061287E-7</v>
      </c>
      <c r="N89" s="124">
        <f>C.s2CP*(Molweight*1000)/(FRACw.s2C*1000+(1-FRACa.s2C-FRACw.s2C)*RHOsolid)</f>
        <v>1.2851882372381639E-10</v>
      </c>
      <c r="O89" s="124"/>
      <c r="P89" s="124"/>
      <c r="Q89" s="124"/>
      <c r="R89" s="160" t="s">
        <v>151</v>
      </c>
      <c r="S89" s="163"/>
      <c r="T89" s="163"/>
      <c r="U89" s="163"/>
      <c r="V89" s="163"/>
      <c r="W89" s="162"/>
      <c r="X89" s="166"/>
      <c r="Y89" s="156"/>
      <c r="Z89" s="17"/>
      <c r="AA89" s="312" t="s">
        <v>165</v>
      </c>
      <c r="AB89" s="162" t="s">
        <v>171</v>
      </c>
      <c r="AC89" s="161"/>
      <c r="AD89" s="163">
        <f>(k.w2AS.w3AS*M.w2AS+k.w2AA.w3AA*M.w2AA+k.w2AP.w3AP*M.w2AP+k.w3M.w3A*(M.w3MS+M.w3MA+M.w3MP))*Molweight</f>
        <v>3.1665994662282972E-4</v>
      </c>
      <c r="AE89" s="163">
        <f>(k.w3A.w2A+k.w3A.w3M)*(M.w3AS+M.w3AA+M.w3AP)*Molweight</f>
        <v>2.9320611355287593E-7</v>
      </c>
      <c r="AF89" s="163"/>
      <c r="AG89" s="163">
        <f>(kdis.w2S.w2D*M.w3AS+kdis.w2A.w2D*M.w3AA+kdis.w2P.w2D*M.w3AP)*Molweight</f>
        <v>3.1636629896424903E-4</v>
      </c>
      <c r="AH89" s="162">
        <f>(kdegS.w3*C.w3AS+kdegA.w3*C.w3AA+kdegP.w3*C.w3AP)*VOLUME.w3A*Molweight</f>
        <v>0</v>
      </c>
      <c r="AI89" s="163"/>
      <c r="AJ89" s="163"/>
      <c r="AK89" s="163"/>
      <c r="AL89" s="163"/>
      <c r="AM89" s="163"/>
      <c r="AN89" s="163">
        <f>(k.w3AS.sdAS*M.w3AS+k.w3AA.sdAA*M.w3AA+k.w3AP.sdAP*M.w3AP)*Molweight</f>
        <v>4.4190585794572935E-10</v>
      </c>
      <c r="AO89" s="162">
        <f>(k.sdAS.w3AS*M.sdAS+k.sdAA.w3AA*M.sdAA+k.sdAP.w3AP*M.sdAP)*Molweight</f>
        <v>3.6083007346088889E-13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1.0601736220006382E-12</v>
      </c>
      <c r="BY89" s="42"/>
      <c r="BZ89" s="55">
        <f>AH30</f>
        <v>3.9265686706630307E-13</v>
      </c>
      <c r="CA89" s="2"/>
      <c r="CB89" s="113"/>
      <c r="CC89" s="22">
        <f>AH29</f>
        <v>5.2563327426440985E-12</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181</v>
      </c>
      <c r="AB90" s="162" t="s">
        <v>172</v>
      </c>
      <c r="AC90" s="161"/>
      <c r="AD90" s="163"/>
      <c r="AE90" s="163"/>
      <c r="AF90" s="163">
        <f>kbur.sdA*(M.sdAS+M.sdAA+M.sdAP)*Molweight</f>
        <v>7.910338122566808E-17</v>
      </c>
      <c r="AG90" s="163">
        <f>(kdis.sd2S.sd2D*M.sdAS+kdis.sd2A.sd2D*M.sdAA+kdis.sd2P.sd2D*M.sdAP)*Molweight</f>
        <v>4.4154494876888707E-10</v>
      </c>
      <c r="AH90" s="162">
        <f>(kdegS.sd2*C.sdAS+kdegA.sd2*C.sdAA+kdegP.sd2*C.sdAP)*VOLUME.sdA*Molweight</f>
        <v>0</v>
      </c>
      <c r="AI90" s="163"/>
      <c r="AJ90" s="163"/>
      <c r="AK90" s="163"/>
      <c r="AL90" s="163"/>
      <c r="AM90" s="163"/>
      <c r="AN90" s="163">
        <f>AN89</f>
        <v>4.4190585794572935E-10</v>
      </c>
      <c r="AO90" s="162">
        <f>AO89</f>
        <v>3.6083007346088889E-13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157</v>
      </c>
      <c r="BT90" s="2"/>
      <c r="BU90" s="113"/>
      <c r="BV90" s="113"/>
      <c r="BW90" s="113"/>
      <c r="BX90" s="113"/>
      <c r="BY90" s="113"/>
      <c r="BZ90" s="113"/>
      <c r="CA90" s="113"/>
      <c r="CB90" s="113"/>
      <c r="CC90" s="113"/>
      <c r="CD90" s="113"/>
      <c r="CE90" s="2"/>
    </row>
    <row r="91" spans="1:83" ht="12.75" customHeight="1" x14ac:dyDescent="0.3">
      <c r="A91" s="17"/>
      <c r="B91" s="104" t="s">
        <v>217</v>
      </c>
      <c r="C91" s="295">
        <f>SUM(C92,C95:C97)</f>
        <v>129933458.39187667</v>
      </c>
      <c r="D91" s="446">
        <f t="shared" ref="D91:D97" si="30">C91/$C$103</f>
        <v>4.984333570768041E-3</v>
      </c>
      <c r="E91" s="295">
        <f>SUM(E92,E95:E97)</f>
        <v>96684040.537929758</v>
      </c>
      <c r="F91" s="446">
        <f>E91/$E$103</f>
        <v>4.5496568429554553E-2</v>
      </c>
      <c r="G91" s="296">
        <f>SUM(G92,G95:G97)</f>
        <v>1125838083.5970201</v>
      </c>
      <c r="H91" s="446">
        <f t="shared" ref="H91:H97" si="31">G91/$G$103</f>
        <v>5.9830588472897649E-2</v>
      </c>
      <c r="I91" s="296">
        <f>SUM(I92,I95:I97)</f>
        <v>151292550.89237493</v>
      </c>
      <c r="J91" s="446">
        <f t="shared" ref="J91:J97" si="32">I91/$I$103</f>
        <v>1.2763522221755898E-2</v>
      </c>
      <c r="K91" s="296">
        <f>SUM(K92,K95:K97)</f>
        <v>219313881.76874751</v>
      </c>
      <c r="L91" s="461">
        <f t="shared" ref="L91:L97" si="33">K91/$K$103</f>
        <v>4.9951099065643698E-3</v>
      </c>
      <c r="M91" s="459">
        <f>((M.s3RD+M.s3RS+M.s3RA+M.s3RP)*Molweight*1000/(VOLUME.s3R))/(FRACw.s3R*1000+(1-FRACa.s3R-FRACw.s3R)*RHOsolid)</f>
        <v>6.6877933335843381E-2</v>
      </c>
      <c r="N91" s="459">
        <f>((M.s3CD+M.s3CS+M.s3CA+M.s3CP)*Molweight*1000/(VOLUME.s3C))/(FRACw.s3C*1000+(1-FRACa.s3C-FRACw.s3C)*RHOsolid)</f>
        <v>3.2630852260753002E-3</v>
      </c>
      <c r="O91" s="459">
        <f>((M.sMD+M.sMS+M.sMA+M.sMP)*Molweight*1000/(VOLUME.sM))/(FRACw.sM*1000+(1-FRACa.sM-FRACw.sM)*RHOsolid)</f>
        <v>3.4149677559812348E-4</v>
      </c>
      <c r="P91" s="459">
        <f>((M.sAD+M.sAS+M.sAA+M.sAP)*Molweight*1000/(VOLUME.sA))/(FRACw.sA*1000+(1-FRACa.sA-FRACw.sA)*RHOsolid)</f>
        <v>1.0470072726115912E-4</v>
      </c>
      <c r="Q91" s="459">
        <f>((M.sTD+M.sTS+M.sTA+M.sTP)*Molweight*1000/(VOLUME.sT))/(FRACw.sT*1000+(1-FRACa.sT-FRACw.sT)*RHOsolid)</f>
        <v>6.7455250063436331E-5</v>
      </c>
      <c r="R91" s="160" t="s">
        <v>151</v>
      </c>
      <c r="S91" s="163"/>
      <c r="T91" s="163"/>
      <c r="U91" s="163"/>
      <c r="V91" s="163"/>
      <c r="W91" s="162"/>
      <c r="X91" s="166"/>
      <c r="Y91" s="156"/>
      <c r="Z91" s="17"/>
      <c r="AA91" s="312" t="s">
        <v>182</v>
      </c>
      <c r="AB91" s="162" t="s">
        <v>173</v>
      </c>
      <c r="AC91" s="161">
        <f>E.sAS*Molweight</f>
        <v>0</v>
      </c>
      <c r="AD91" s="163"/>
      <c r="AE91" s="163"/>
      <c r="AF91" s="163">
        <f>kleach.sA*(M.sAS+M.sAA)*Molweight</f>
        <v>2.736514526064714E-7</v>
      </c>
      <c r="AG91" s="163">
        <f>(kdis.s1S.s1D*M.sAS+kdis.s1A.s1D*M.sAA+kdis.s1P.s1D*M.sAP)*Molweight</f>
        <v>3.9269739557517714E-3</v>
      </c>
      <c r="AH91" s="162">
        <f>(kdegS.s1*C.sAS+kdegA.s1*C.sAA+kdegP.s1*C.sAP)*VOLUME.sA*Molweight</f>
        <v>0</v>
      </c>
      <c r="AI91" s="163"/>
      <c r="AJ91" s="163"/>
      <c r="AK91" s="163">
        <f>((k.aAS.sAS*M.aAS+k.aAA.sAA*M.aAA+k.aAP.sAP*M.aAP)+(k.cwAS.sAS*M.cwAS+k.cwAA.sAA*M.cwAA+k.cwAP.sAP*M.cwAP))*Molweight</f>
        <v>3.9678764254863844E-3</v>
      </c>
      <c r="AL91" s="163"/>
      <c r="AM91" s="163">
        <f>AM88</f>
        <v>4.0628818282006388E-5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4.002998533881346E-3</v>
      </c>
      <c r="BU91" s="113"/>
      <c r="BV91" s="113"/>
      <c r="BW91" s="113"/>
      <c r="BX91" s="113"/>
      <c r="BY91" s="113"/>
      <c r="BZ91" s="2"/>
      <c r="CA91" s="113"/>
      <c r="CB91" s="2"/>
      <c r="CC91" s="2"/>
      <c r="CD91" s="2"/>
      <c r="CE91" s="2"/>
    </row>
    <row r="92" spans="1:83" ht="12.75" customHeight="1" x14ac:dyDescent="0.3">
      <c r="A92" s="17"/>
      <c r="B92" s="443" t="s">
        <v>116</v>
      </c>
      <c r="C92" s="295">
        <f>M.s3R*Molweight</f>
        <v>129932680.42578</v>
      </c>
      <c r="D92" s="446">
        <f t="shared" si="30"/>
        <v>4.9843037274730157E-3</v>
      </c>
      <c r="E92" s="295">
        <f>M.s3C*Molweight</f>
        <v>96683461.6500393</v>
      </c>
      <c r="F92" s="446">
        <f t="shared" ref="F92:F97" si="34">E92/$E$103</f>
        <v>4.5496296022522587E-2</v>
      </c>
      <c r="G92" s="296">
        <f>M.sMD*Molweight</f>
        <v>1125831342.7323482</v>
      </c>
      <c r="H92" s="446">
        <f t="shared" si="31"/>
        <v>5.9830230242077412E-2</v>
      </c>
      <c r="I92" s="296">
        <f>M.sAD*Molweight</f>
        <v>151291744.53221974</v>
      </c>
      <c r="J92" s="446">
        <f t="shared" si="32"/>
        <v>1.2763454194640889E-2</v>
      </c>
      <c r="K92" s="296">
        <f>M.sTD*Molweight</f>
        <v>219312376.34697792</v>
      </c>
      <c r="L92" s="461">
        <f t="shared" si="33"/>
        <v>4.9950756189618972E-3</v>
      </c>
      <c r="M92" s="124">
        <f>C.s3R*(Molweight*1000)/(FRACw.s3R*1000+(1-FRACa.s3R-FRACw.s3R)*RHOsolid)</f>
        <v>6.6877532909614498E-2</v>
      </c>
      <c r="N92" s="124">
        <f>C.s3C*(Molweight*1000)/(FRACw.s3C*1000+(1-FRACa.s3C-FRACw.s3C)*RHOsolid)</f>
        <v>3.2630656886158348E-3</v>
      </c>
      <c r="O92" s="124">
        <f>C.sM*(Molweight*1000)/(FRACw.sM*1000+(1-FRACa.sM-FRACw.sM)*RHOsolid)</f>
        <v>3.4149473091373797E-4</v>
      </c>
      <c r="P92" s="124">
        <f>C.sA*(Molweight*1000)/(FRACw.sA*1000+(1-FRACa.sA-FRACw.sA)*RHOsolid)</f>
        <v>1.0470016922644962E-4</v>
      </c>
      <c r="Q92" s="124">
        <f>C.sT*(Molweight*1000)/(FRACw.sT*1000+(1-FRACa.sT-FRACw.sT)*RHOsolid)</f>
        <v>6.7454787034825937E-5</v>
      </c>
      <c r="R92" s="160" t="s">
        <v>151</v>
      </c>
      <c r="S92" s="163">
        <f>F.s3R</f>
        <v>9.9110838426837491E-25</v>
      </c>
      <c r="T92" s="163">
        <f>F.s3C</f>
        <v>4.8357820955752921E-26</v>
      </c>
      <c r="U92" s="163">
        <f>F.sM</f>
        <v>5.0608668751209344E-27</v>
      </c>
      <c r="V92" s="163">
        <f>F.sA</f>
        <v>3.1889218858565031E-33</v>
      </c>
      <c r="W92" s="162">
        <f>F.sT</f>
        <v>9.2414346057473117E-25</v>
      </c>
      <c r="X92" s="166"/>
      <c r="Y92" s="156"/>
      <c r="Z92" s="17"/>
      <c r="AA92" s="907" t="s">
        <v>186</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2.1914367347750468E-13</v>
      </c>
      <c r="BR92" s="113"/>
      <c r="BS92" s="113"/>
      <c r="BT92" s="113"/>
      <c r="BU92" s="113"/>
      <c r="BV92" s="113"/>
      <c r="BW92" s="55"/>
      <c r="BX92" s="2"/>
      <c r="BY92" s="55"/>
      <c r="BZ92" s="55"/>
      <c r="CA92" s="2"/>
      <c r="CB92" s="55"/>
      <c r="CC92" s="113"/>
      <c r="CD92" s="113"/>
      <c r="CE92" s="2"/>
    </row>
    <row r="93" spans="1:83" ht="12.75" customHeight="1" x14ac:dyDescent="0.3">
      <c r="A93" s="17"/>
      <c r="B93" s="159" t="s">
        <v>215</v>
      </c>
      <c r="C93" s="295">
        <f>C92*FRwD.s3R</f>
        <v>911.80188507996434</v>
      </c>
      <c r="D93" s="446">
        <f t="shared" si="30"/>
        <v>3.4977324562445283E-8</v>
      </c>
      <c r="E93" s="295">
        <f>E92*FRw.s3C</f>
        <v>678.47567139907289</v>
      </c>
      <c r="F93" s="446">
        <f t="shared" si="34"/>
        <v>3.1927001229831777E-7</v>
      </c>
      <c r="G93" s="296">
        <f>FRw.sM*G92</f>
        <v>7900.5153839786963</v>
      </c>
      <c r="H93" s="446">
        <f t="shared" si="31"/>
        <v>4.1985831848251882E-7</v>
      </c>
      <c r="I93" s="296">
        <f>FRw.sA*I92</f>
        <v>1061.6890024085426</v>
      </c>
      <c r="J93" s="446">
        <f t="shared" si="32"/>
        <v>8.9567471067858389E-8</v>
      </c>
      <c r="K93" s="296">
        <f>FRw.sT*K92</f>
        <v>1539.0234198144428</v>
      </c>
      <c r="L93" s="461">
        <f t="shared" si="33"/>
        <v>3.5052916252951887E-8</v>
      </c>
      <c r="M93" s="124">
        <f>M94/Kp.s3R</f>
        <v>3.989158179463465E-6</v>
      </c>
      <c r="N93" s="124">
        <f>N94/Kp.s3C</f>
        <v>1.9463764010943498E-7</v>
      </c>
      <c r="O93" s="124">
        <f>O94/Kp.sM</f>
        <v>2.0369718196832109E-8</v>
      </c>
      <c r="P93" s="124">
        <f>P94/Kp.sA</f>
        <v>6.2452294259326021E-9</v>
      </c>
      <c r="Q93" s="124">
        <f>Q94/Kp.sT</f>
        <v>4.0235906400377564E-9</v>
      </c>
      <c r="R93" s="160" t="s">
        <v>134</v>
      </c>
      <c r="S93" s="163">
        <f>S92*FRACw.s3R</f>
        <v>1.98221676853675E-25</v>
      </c>
      <c r="T93" s="163">
        <f>T92*FRACw.s3C</f>
        <v>9.6715641911505847E-27</v>
      </c>
      <c r="U93" s="163">
        <f>U92*FRACw.sM</f>
        <v>1.0121733750241869E-27</v>
      </c>
      <c r="V93" s="163">
        <f>V92*FRACw.sA</f>
        <v>6.3778437717130062E-34</v>
      </c>
      <c r="W93" s="162">
        <f>W92*FRACw.sT</f>
        <v>1.8482869211494625E-25</v>
      </c>
      <c r="X93" s="166"/>
      <c r="Y93" s="156"/>
      <c r="Z93" s="17"/>
      <c r="AA93" s="312" t="s">
        <v>117</v>
      </c>
      <c r="AB93" s="162" t="s">
        <v>174</v>
      </c>
      <c r="AC93" s="161">
        <f>E.aTS*Molweight</f>
        <v>0</v>
      </c>
      <c r="AD93" s="163">
        <f>k.aM.aT*(M.aMS+M.aMA+M.aMP)*Molweight</f>
        <v>4.9459935675695683E-2</v>
      </c>
      <c r="AE93" s="163">
        <f>k.aT.aM*(M.aTS+M.aTA+M.aTP)*Molweight</f>
        <v>9.2610601201939414E-3</v>
      </c>
      <c r="AF93" s="163">
        <f>kesc.aT*VOLUME.aT*(C.aTS+C.aTA+C.aTP)*Molweight</f>
        <v>8.4872764621805582E-6</v>
      </c>
      <c r="AG93" s="163"/>
      <c r="AH93" s="162">
        <f>(kdegS.a*C.aTS+kdegA.a*C.aTA+kdegP.a*C.aTP)*VOLUME.aT*Molweight</f>
        <v>0</v>
      </c>
      <c r="AI93" s="163">
        <f>SUM(AI94,AK97)</f>
        <v>4.0190388279039591E-2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164</v>
      </c>
      <c r="BR93" s="2"/>
      <c r="BS93" s="113"/>
      <c r="BT93" s="113"/>
      <c r="BU93" s="113"/>
      <c r="BV93" s="113"/>
      <c r="BW93" s="2"/>
      <c r="BX93" s="2"/>
      <c r="BY93" s="113"/>
      <c r="BZ93" s="113"/>
      <c r="CA93" s="113"/>
      <c r="CB93" s="113"/>
      <c r="CC93" s="113"/>
      <c r="CD93" s="113"/>
      <c r="CE93" s="2"/>
    </row>
    <row r="94" spans="1:83" ht="12.75" customHeight="1" x14ac:dyDescent="0.3">
      <c r="A94" s="17"/>
      <c r="B94" s="159" t="s">
        <v>155</v>
      </c>
      <c r="C94" s="295">
        <f>C92*FRs.s3R</f>
        <v>129931768.6238949</v>
      </c>
      <c r="D94" s="446">
        <f t="shared" si="30"/>
        <v>4.9842687501484521E-3</v>
      </c>
      <c r="E94" s="295">
        <f>E92*FRs.s3C</f>
        <v>96682783.17436789</v>
      </c>
      <c r="F94" s="446">
        <f t="shared" si="34"/>
        <v>4.5495976752510284E-2</v>
      </c>
      <c r="G94" s="296">
        <f>(1-FRw.sM)*G92</f>
        <v>1125823442.2169642</v>
      </c>
      <c r="H94" s="446">
        <f t="shared" si="31"/>
        <v>5.9829810383758932E-2</v>
      </c>
      <c r="I94" s="296">
        <f>(1-FRw.sA)*I92</f>
        <v>151290682.84321734</v>
      </c>
      <c r="J94" s="446">
        <f t="shared" si="32"/>
        <v>1.2763364627169822E-2</v>
      </c>
      <c r="K94" s="296">
        <f>(1-FRw.sT)*K92</f>
        <v>219310837.32355809</v>
      </c>
      <c r="L94" s="461">
        <f t="shared" si="33"/>
        <v>4.9950405660456436E-3</v>
      </c>
      <c r="M94" s="124">
        <f>C.s3R*FRs.s3R*(Molweight*1000)/(FRACs.s3R*RHOsolid)</f>
        <v>7.579400540980584E-2</v>
      </c>
      <c r="N94" s="124">
        <f>C.s3C*FRs.s3C*(Molweight*1000)/(FRACs.s3C*RHOsolid)</f>
        <v>3.6981151620792646E-3</v>
      </c>
      <c r="O94" s="124">
        <f>C.sM*FRs.sM*(Molweight*1000)/(FRACs.sM*RHOsolid)</f>
        <v>3.8702464573981007E-4</v>
      </c>
      <c r="P94" s="124">
        <f>C.sA*FRs.sA*(Molweight*1000)/(FRACs.sA*RHOsolid)</f>
        <v>1.1865935909271944E-4</v>
      </c>
      <c r="Q94" s="124">
        <f>C.sT*FRs.sT*(Molweight*1000)/(FRACs.sT*RHOsolid)</f>
        <v>7.6448222160717378E-5</v>
      </c>
      <c r="R94" s="160" t="s">
        <v>140</v>
      </c>
      <c r="S94" s="163">
        <f>S92*(1-FRACw.s3R)</f>
        <v>7.9288670741469998E-25</v>
      </c>
      <c r="T94" s="163">
        <f>T92*(1-FRACw.s3C)</f>
        <v>3.8686256764602339E-26</v>
      </c>
      <c r="U94" s="163">
        <f>U92*(1-FRACw.sM)</f>
        <v>4.0486935000967476E-27</v>
      </c>
      <c r="V94" s="163">
        <f>V92*(1-FRACw.sA)</f>
        <v>2.5511375086852025E-33</v>
      </c>
      <c r="W94" s="162">
        <f>W92*(1-FRACw.sT)</f>
        <v>7.3931476845978499E-25</v>
      </c>
      <c r="X94" s="166"/>
      <c r="Y94" s="156"/>
      <c r="Z94" s="17"/>
      <c r="AA94" s="312" t="s">
        <v>162</v>
      </c>
      <c r="AB94" s="162" t="s">
        <v>175</v>
      </c>
      <c r="AC94" s="161">
        <f>E.w2TS*Molweight</f>
        <v>0</v>
      </c>
      <c r="AD94" s="163">
        <f>(k.w2M.w2T*(M.w2MS+M.w2MA+M.w2MP)+k.w3T.w2T*(M.w3TS+M.w3TA+M.w3TP))*Molweight</f>
        <v>3.9864324611335556E-7</v>
      </c>
      <c r="AE94" s="163">
        <f>(k.w2T.w2M*(M.w2TS+M.w2TA+M.w2TP)+k.w2TS.w3TS*M.w2TS+k.w2TA.w3TA*M.w2TA+k.w2TP.w3TP*M.w2TP)*Molweight</f>
        <v>6.6709755511509372E-4</v>
      </c>
      <c r="AF94" s="163"/>
      <c r="AG94" s="163">
        <f>(kdis.w2S.w2D*M.w2TS+kdis.w2A.w2D*M.w2TA+kdis.w2P.w2D*M.w2TP)*Molweight</f>
        <v>3.2189628698311802E-2</v>
      </c>
      <c r="AH94" s="162">
        <f>(kdegS.w2*C.w2TS+kdegA.w2*C.w2TA+kdegP.w2*C.w2TP)*VOLUME.w2T*Molweight</f>
        <v>0</v>
      </c>
      <c r="AI94" s="163">
        <f>((k.aTS.w2TS*M.aTS+k.aTA.w2TA*M.aTA+k.aTP.w2TP*M.aTP)+(k.cwTS.w2TS*M.cwTS+k.cwTA.w2TA*M.cwTA+k.cwTP.w2TP*M.cwTP))*Molweight</f>
        <v>3.2462017003697295E-2</v>
      </c>
      <c r="AJ94" s="163"/>
      <c r="AK94" s="163"/>
      <c r="AL94" s="163"/>
      <c r="AM94" s="163">
        <f>(k.sTS.w2TS*M.sTS+k.sTA.w2TA*M.sTA+k.sTP.w2TP*M.sTP)*Molweight</f>
        <v>3.9431060648349806E-4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3.3666936922467556</v>
      </c>
      <c r="BQ94" s="96">
        <f>IF(ISERROR(F52),0,F52)</f>
        <v>3.7458343931386501E-2</v>
      </c>
      <c r="BR94" s="113"/>
      <c r="BS94" s="113"/>
      <c r="BT94" s="113"/>
      <c r="BU94" s="113"/>
      <c r="BV94" s="113"/>
      <c r="BW94" s="113"/>
      <c r="BX94" s="113"/>
      <c r="BY94" s="113"/>
      <c r="BZ94" s="113"/>
      <c r="CA94" s="113"/>
      <c r="CB94" s="113"/>
      <c r="CC94" s="113"/>
      <c r="CD94" s="113"/>
      <c r="CE94" s="2"/>
    </row>
    <row r="95" spans="1:83" ht="12.75" customHeight="1" x14ac:dyDescent="0.35">
      <c r="A95" s="17"/>
      <c r="B95" s="159" t="s">
        <v>123</v>
      </c>
      <c r="C95" s="295">
        <f>M.s3RS*Molweight</f>
        <v>0.14840038343673287</v>
      </c>
      <c r="D95" s="446">
        <f t="shared" si="30"/>
        <v>5.6927370535132406E-12</v>
      </c>
      <c r="E95" s="295">
        <f>M.s3CS*Molweight</f>
        <v>1.4899818707938262E-2</v>
      </c>
      <c r="F95" s="446">
        <f t="shared" si="34"/>
        <v>7.0114014439407863E-12</v>
      </c>
      <c r="G95" s="296">
        <f>M.sMS*Molweight</f>
        <v>3.6098261951399532E-3</v>
      </c>
      <c r="H95" s="446">
        <f t="shared" si="31"/>
        <v>1.9183755522824463E-13</v>
      </c>
      <c r="I95" s="296">
        <f>M.sAS*Molweight</f>
        <v>2.1445384349287605E-5</v>
      </c>
      <c r="J95" s="446">
        <f t="shared" si="32"/>
        <v>1.8092010352244231E-15</v>
      </c>
      <c r="K95" s="296">
        <f>M.sTS*Molweight</f>
        <v>3.3040392720448103E-5</v>
      </c>
      <c r="L95" s="461">
        <f t="shared" si="33"/>
        <v>7.5253053597725363E-16</v>
      </c>
      <c r="M95" s="124">
        <f>C.s3RS*(Molweight*1000)/(FRACw.s3R*1000+(1-FRACa.s3R-FRACw.s3R)*RHOsolid)</f>
        <v>7.6383027692241445E-11</v>
      </c>
      <c r="N95" s="124">
        <f>C.s3CS*(Molweight*1000)/(FRACw.s3C*1000+(1-FRACa.s3C-FRACw.s3C)*RHOsolid)</f>
        <v>5.0286870538886946E-13</v>
      </c>
      <c r="O95" s="124">
        <f>C.sMS*(Molweight*1000)/(FRACw.sM*1000+(1-FRACa.sM-FRACw.sM)*RHOsolid)</f>
        <v>1.0949567473959977E-15</v>
      </c>
      <c r="P95" s="124">
        <f>C.sAS*(Molweight*1000)/(FRACw.sA*1000+(1-FRACa.sA-FRACw.sA)*RHOsolid)</f>
        <v>1.4841096435493152E-17</v>
      </c>
      <c r="Q95" s="124">
        <f>C.sTS*(Molweight*1000)/(FRACw.sT*1000+(1-FRACa.sT-FRACw.sT)*RHOsolid)</f>
        <v>1.0162366080875997E-17</v>
      </c>
      <c r="R95" s="160" t="s">
        <v>213</v>
      </c>
      <c r="S95" s="163"/>
      <c r="T95" s="163"/>
      <c r="U95" s="163"/>
      <c r="V95" s="163"/>
      <c r="W95" s="162"/>
      <c r="X95" s="166"/>
      <c r="Y95" s="156"/>
      <c r="Z95" s="17"/>
      <c r="AA95" s="312" t="s">
        <v>165</v>
      </c>
      <c r="AB95" s="162" t="s">
        <v>176</v>
      </c>
      <c r="AC95" s="161"/>
      <c r="AD95" s="163">
        <f>(k.w2TS.w3TS*M.w2TS+k.w2TA.w3TA*M.w2TA+k.w2TP.w3TP*M.w2TP+k.w3M.w3T*(M.w3MS+M.w3MA+M.w3MP))*Molweight</f>
        <v>6.214035399633533E-4</v>
      </c>
      <c r="AE95" s="163">
        <f>(k.w3T.w2T+k.w3T.w3M)*(M.w3TS+M.w3TA+M.w3TP)*Molweight</f>
        <v>3.9864324611335556E-7</v>
      </c>
      <c r="AF95" s="163"/>
      <c r="AG95" s="163">
        <f>(kdis.w2S.w2D*M.w3TS+kdis.w2A.w2D*M.w3TA+kdis.w2P.w2D*M.w3TP)*Molweight</f>
        <v>6.2100403157243995E-4</v>
      </c>
      <c r="AH95" s="162">
        <f>(kdegS.w3*C.w3TS+kdegA.w3*C.w3TA+kdegP.w3*C.w3TP)*VOLUME.w3T*Molweight</f>
        <v>0</v>
      </c>
      <c r="AI95" s="163"/>
      <c r="AJ95" s="163"/>
      <c r="AK95" s="163"/>
      <c r="AL95" s="163"/>
      <c r="AM95" s="163"/>
      <c r="AN95" s="163">
        <f>(k.w3TS.sdTS*M.w3TS+k.w3TA.sdTA*M.w3TA+k.w3TP.sdTP*M.w3TP)*Molweight</f>
        <v>8.6585179574444559E-10</v>
      </c>
      <c r="AO95" s="162">
        <f>(k.sdTS.w3TS*M.sdTS+k.sdTA.w3TA*M.sdTA+k.sdTP.w3TP*M.sdTP)*Molweight</f>
        <v>7.0699535617690161E-13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126</v>
      </c>
      <c r="C96" s="295">
        <f>M.s3RA*Molweight</f>
        <v>637.78398002143854</v>
      </c>
      <c r="D96" s="446">
        <f t="shared" si="30"/>
        <v>2.4465816132834142E-8</v>
      </c>
      <c r="E96" s="295">
        <f>M.s3CA*Molweight</f>
        <v>563.64157536074561</v>
      </c>
      <c r="F96" s="446">
        <f t="shared" si="34"/>
        <v>2.6523257985977411E-7</v>
      </c>
      <c r="G96" s="296">
        <f>M.sMA*Molweight</f>
        <v>6734.4270595157368</v>
      </c>
      <c r="H96" s="446">
        <f t="shared" si="31"/>
        <v>3.5788870519577679E-7</v>
      </c>
      <c r="I96" s="296">
        <f>M.sAA*Molweight</f>
        <v>806.3203905036828</v>
      </c>
      <c r="J96" s="446">
        <f t="shared" si="32"/>
        <v>6.8023760332851487E-8</v>
      </c>
      <c r="K96" s="296">
        <f>M.sTA*Molweight</f>
        <v>1505.3623342790509</v>
      </c>
      <c r="L96" s="461">
        <f t="shared" si="33"/>
        <v>3.4286248769491627E-8</v>
      </c>
      <c r="M96" s="124">
        <f>C.s3RA*(Molweight*1000)/(FRACw.s3R*1000+(1-FRACa.s3R-FRACw.s3R)*RHOsolid)</f>
        <v>3.2827321789511698E-7</v>
      </c>
      <c r="N96" s="124">
        <f>C.s3CA*(Molweight*1000)/(FRACw.s3C*1000+(1-FRACa.s3C-FRACw.s3C)*RHOsolid)</f>
        <v>1.9022896510411388E-8</v>
      </c>
      <c r="O96" s="124">
        <f>C.sMA*(Molweight*1000)/(FRACw.sM*1000+(1-FRACa.sM-FRACw.sM)*RHOsolid)</f>
        <v>2.0427316856946514E-9</v>
      </c>
      <c r="P96" s="124">
        <f>C.sAA*(Molweight*1000)/(FRACw.sA*1000+(1-FRACa.sA-FRACw.sA)*RHOsolid)</f>
        <v>5.5800719065998799E-10</v>
      </c>
      <c r="Q96" s="124">
        <f>C.sTA*(Molweight*1000)/(FRACw.sT*1000+(1-FRACa.sT-FRACw.sT)*RHOsolid)</f>
        <v>4.6301032965138035E-10</v>
      </c>
      <c r="R96" s="160" t="s">
        <v>213</v>
      </c>
      <c r="S96" s="163"/>
      <c r="T96" s="163"/>
      <c r="U96" s="163"/>
      <c r="V96" s="163"/>
      <c r="W96" s="162"/>
      <c r="X96" s="166"/>
      <c r="Y96" s="156"/>
      <c r="Z96" s="17"/>
      <c r="AA96" s="312" t="s">
        <v>181</v>
      </c>
      <c r="AB96" s="162" t="s">
        <v>177</v>
      </c>
      <c r="AC96" s="161"/>
      <c r="AD96" s="163"/>
      <c r="AE96" s="163"/>
      <c r="AF96" s="163">
        <f>kbur.sdT*(M.sdTS+M.sdTA+M.sdTP)*Molweight</f>
        <v>9.2995114262006571E-17</v>
      </c>
      <c r="AG96" s="163">
        <f>(kdis.sd2S.sd2D*M.sdTS+kdis.sd2A.sd2D*M.sdTA+kdis.sd2P.sd2D*M.sdTP)*Molweight</f>
        <v>8.6514470739315422E-10</v>
      </c>
      <c r="AH96" s="162">
        <f>(kdegS.sd2*C.sdTS+kdegA.sd2*C.sdTA+kdegP.sd2*C.sdTP)*VOLUME.sdT*Molweight</f>
        <v>0</v>
      </c>
      <c r="AI96" s="163"/>
      <c r="AJ96" s="163"/>
      <c r="AK96" s="163"/>
      <c r="AL96" s="163"/>
      <c r="AM96" s="163"/>
      <c r="AN96" s="163">
        <f>AN95</f>
        <v>8.6585179574444559E-10</v>
      </c>
      <c r="AO96" s="162">
        <f>AO95</f>
        <v>7.0699535617690161E-13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128</v>
      </c>
      <c r="C97" s="295">
        <f>M.s3RP*Molweight</f>
        <v>140.03371626231012</v>
      </c>
      <c r="D97" s="446">
        <f t="shared" si="30"/>
        <v>5.3717861561150887E-9</v>
      </c>
      <c r="E97" s="295">
        <f>M.s3CP*Molweight</f>
        <v>15.231415270229288</v>
      </c>
      <c r="F97" s="446">
        <f t="shared" si="34"/>
        <v>7.1674406992650422E-9</v>
      </c>
      <c r="G97" s="296">
        <f>M.sMP*Molweight</f>
        <v>6.4340025861432615</v>
      </c>
      <c r="H97" s="446">
        <f t="shared" si="31"/>
        <v>3.4192320065705363E-10</v>
      </c>
      <c r="I97" s="296">
        <f>M.sAP*Molweight</f>
        <v>3.974323610147705E-2</v>
      </c>
      <c r="J97" s="446">
        <f t="shared" si="32"/>
        <v>3.3528661798196925E-12</v>
      </c>
      <c r="K97" s="296">
        <f>M.sTP*Molweight</f>
        <v>5.940226560464866E-2</v>
      </c>
      <c r="L97" s="461">
        <f t="shared" si="33"/>
        <v>1.3529505884493971E-12</v>
      </c>
      <c r="M97" s="124">
        <f>C.s3RP*(Molweight*1000)/(FRACw.s3R*1000+(1-FRACa.s3R-FRACw.s3R)*RHOsolid)</f>
        <v>7.2076627966878502E-8</v>
      </c>
      <c r="N97" s="124">
        <f>C.s3CP*(Molweight*1000)/(FRACw.s3C*1000+(1-FRACa.s3C-FRACw.s3C)*RHOsolid)</f>
        <v>5.1406008544920855E-10</v>
      </c>
      <c r="O97" s="124">
        <f>C.sMP*(Molweight*1000)/(FRACw.sM*1000+(1-FRACa.sM-FRACw.sM)*RHOsolid)</f>
        <v>1.9516049149251989E-12</v>
      </c>
      <c r="P97" s="124">
        <f>C.sAP*(Molweight*1000)/(FRACw.sA*1000+(1-FRACa.sA-FRACw.sA)*RHOsolid)</f>
        <v>2.7503969620399335E-14</v>
      </c>
      <c r="Q97" s="124">
        <f>C.sTP*(Molweight*1000)/(FRACw.sT*1000+(1-FRACa.sT-FRACw.sT)*RHOsolid)</f>
        <v>1.8270593034878473E-14</v>
      </c>
      <c r="R97" s="160" t="s">
        <v>213</v>
      </c>
      <c r="S97" s="163"/>
      <c r="T97" s="163"/>
      <c r="U97" s="163"/>
      <c r="V97" s="163"/>
      <c r="W97" s="162"/>
      <c r="X97" s="166"/>
      <c r="Y97" s="156"/>
      <c r="Z97" s="17"/>
      <c r="AA97" s="312" t="s">
        <v>182</v>
      </c>
      <c r="AB97" s="162" t="s">
        <v>178</v>
      </c>
      <c r="AC97" s="161">
        <f>E.sTS*Molweight</f>
        <v>0</v>
      </c>
      <c r="AD97" s="163"/>
      <c r="AE97" s="163"/>
      <c r="AF97" s="163">
        <f>kleach.sT*(M.sTS+M.sTA)*Molweight</f>
        <v>2.6566509796095034E-6</v>
      </c>
      <c r="AG97" s="163">
        <f>(kdis.s1S.s1D*M.sTS+kdis.s1A.s1D*M.sTA+kdis.s1P.s1D*M.sTP)*Molweight</f>
        <v>7.3314040178791839E-3</v>
      </c>
      <c r="AH97" s="162">
        <f>(kdegS.s1*C.sTS+kdegA.s1*C.sTA+kdegP.s1*C.sTP)*VOLUME.sT*Molweight</f>
        <v>0</v>
      </c>
      <c r="AI97" s="163"/>
      <c r="AJ97" s="163"/>
      <c r="AK97" s="163">
        <f>((k.aTS.sTS*M.aTS+k.aTA.sTA*M.aTA+k.aTP.sTP*M.aTP)+(k.cwTS.sTS*M.cwTS+k.cwTA.sTA*M.cwTA+k.cwTP.sTP*M.cwTP))*Molweight</f>
        <v>7.7283712753422936E-3</v>
      </c>
      <c r="AL97" s="163"/>
      <c r="AM97" s="163">
        <f>AM94</f>
        <v>3.9431060648349806E-4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3.7172926531290233</v>
      </c>
      <c r="BQ97" s="55">
        <f>AH27</f>
        <v>1.5590090981757306E-12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1.8378442445082127E-3</v>
      </c>
      <c r="AG98" s="914"/>
      <c r="AH98" s="915">
        <f>SUM(AH60:AH97)</f>
        <v>0</v>
      </c>
      <c r="AI98" s="929"/>
      <c r="AJ98" s="930"/>
      <c r="AK98" s="930"/>
      <c r="AL98" s="929"/>
      <c r="AM98" s="929"/>
      <c r="AN98" s="929"/>
      <c r="AO98" s="486"/>
      <c r="AP98" s="931">
        <f>SUM(AP61:AP97)</f>
        <v>-3.0296684091629656E-4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184</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218</v>
      </c>
      <c r="C99" s="296">
        <f>SUM(C12,C20,C28,C36,C44,C52,C68,C76,C84,C92)</f>
        <v>26066478270.787327</v>
      </c>
      <c r="D99" s="446">
        <f>C99/$C$103</f>
        <v>0.99992738071307807</v>
      </c>
      <c r="E99" s="296">
        <f>SUM(E12,E20,E28,E36,E44,E52,E68,E76,E84,E92)</f>
        <v>2124931515.9782772</v>
      </c>
      <c r="F99" s="446">
        <f>E99/$E$103</f>
        <v>0.9999281327810845</v>
      </c>
      <c r="G99" s="296">
        <f>SUM(G12,G52,G60,G68,G92)</f>
        <v>18817010216.866123</v>
      </c>
      <c r="H99" s="446">
        <f>G99/$G$103</f>
        <v>0.99999530214737831</v>
      </c>
      <c r="I99" s="296">
        <f>SUM(I12,I52,I60,I68,I92)</f>
        <v>11853493344.936769</v>
      </c>
      <c r="J99" s="446">
        <f>I99/$I$103</f>
        <v>0.99999851163300835</v>
      </c>
      <c r="K99" s="296">
        <f>SUM(K12,K52,K60,K68,K92)</f>
        <v>43905689373.50061</v>
      </c>
      <c r="L99" s="461">
        <f>K99/$K$103</f>
        <v>0.99999937156446495</v>
      </c>
      <c r="M99" s="484">
        <f xml:space="preserve"> (M.aRG+M.w0RD+M.w1RD+M.w2RD+M.sd0RD+M.sd1RD+M.sd2RD+M.s1RD+M.s2RD+M.s3RD)*Molweight/(VOLUME.aR+VOLUME.cwR+VOLUME.w0R+VOLUME.w1R+VOLUME.w2R+VOLUME.sd0R+VOLUME.sd1R+VOLUME.sd2R+VOLUME.s1R+VOLUME.s2R+VOLUME.s3R)</f>
        <v>1.1348651434365395E-4</v>
      </c>
      <c r="N99" s="484">
        <f xml:space="preserve"> (M.aCG+M.w0CD+M.w1CD+M.w2CD+M.sd0CD+M.sd1CD+M.sd2CD+M.s1CD+M.s2CD+M.s3CD)*Molweight/(VOLUME.aC+VOLUME.cwC+VOLUME.w0C+VOLUME.w1C+VOLUME.w2C+VOLUME.sd0C+VOLUME.sd1C+VOLUME.sd2C+VOLUME.s1C+VOLUME.s2C+VOLUME.s3C)</f>
        <v>2.6749935507931068E-7</v>
      </c>
      <c r="O99" s="484">
        <f xml:space="preserve"> (M.aMG+M.w2MD+M.w3MD+M.sdMD+M.sMD)*Molweight/(VOLUME.aM+VOLUME.cwM+VOLUME.w2M+VOLUME.w3M+VOLUME.sdM+VOLUME.sM)</f>
        <v>9.5126874984225585E-8</v>
      </c>
      <c r="P99" s="484">
        <f xml:space="preserve"> (M.aAG+M.w2AD+M.w3AD+M.sdAD+M.sAD)*Molweight/(VOLUME.aA+VOLUME.cwA+VOLUME.w2A+VOLUME.w3A+VOLUME.sdA+VOLUME.sA)</f>
        <v>9.7518188836381528E-8</v>
      </c>
      <c r="Q99" s="484">
        <f xml:space="preserve"> (M.aTG+M.w2TD+M.w3TD+M.sdTD+M.sTD)*Molweight/(VOLUME.aT+VOLUME.cwT+VOLUME.w2T+VOLUME.w3T+VOLUME.sdT+VOLUME.sT)</f>
        <v>1.0862916005605788E-7</v>
      </c>
      <c r="R99" s="160" t="s">
        <v>134</v>
      </c>
      <c r="S99" s="163">
        <f>SUM(S12,S20,S36,S44,S52,S68,S76,S84,S92)</f>
        <v>4.5714089149486433E-23</v>
      </c>
      <c r="T99" s="163">
        <f>SUM(T12,T20,T36,T44,T52,T68,T76,T84,T92)</f>
        <v>4.1086784387872609E-25</v>
      </c>
      <c r="U99" s="163">
        <f>SUM(U12,U20,U36,U44,U52,U68,U76,U84,U92)</f>
        <v>5.7774631263159993E-25</v>
      </c>
      <c r="V99" s="163">
        <f>SUM(V12,V20,V36,V44,V52,V68,V76,V84,V92)</f>
        <v>3.7196093756196419E-26</v>
      </c>
      <c r="W99" s="774">
        <f>SUM(W12,W20,W36,W44,W52,W68,W76,W84,W92)</f>
        <v>7.1428010588187992E-23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0.1806389888513833</v>
      </c>
      <c r="BR99" s="113"/>
      <c r="BS99" s="113"/>
      <c r="BT99" s="113"/>
      <c r="BU99" s="113"/>
      <c r="BV99" s="2"/>
      <c r="BW99" s="113"/>
      <c r="BX99" s="2"/>
      <c r="BY99" s="113"/>
      <c r="BZ99" s="2"/>
      <c r="CA99" s="2"/>
      <c r="CB99" s="113"/>
      <c r="CC99" s="2"/>
      <c r="CD99" s="113"/>
      <c r="CE99" s="2"/>
    </row>
    <row r="100" spans="1:83" ht="12.75" customHeight="1" x14ac:dyDescent="0.3">
      <c r="A100" s="304"/>
      <c r="B100" s="768" t="s">
        <v>219</v>
      </c>
      <c r="C100" s="453">
        <f>SUM(C15,C23,C31,C39,C47,C55,C71,C79,C87,C95)</f>
        <v>6329.7463928630123</v>
      </c>
      <c r="D100" s="446">
        <f>C100/$C$103</f>
        <v>2.4281326635085918E-7</v>
      </c>
      <c r="E100" s="453">
        <f>SUM(E15,E23,E31,E39,E47,E55,E71,E79,E87,E95)</f>
        <v>1258.2987996749437</v>
      </c>
      <c r="F100" s="446">
        <f>E100/$E$103</f>
        <v>5.9211713873065298E-7</v>
      </c>
      <c r="G100" s="453">
        <f>SUM(G15,G55,G71,G63,G95)</f>
        <v>37.998054369192047</v>
      </c>
      <c r="H100" s="446">
        <f>G100/$G$103</f>
        <v>2.0193365163757168E-9</v>
      </c>
      <c r="I100" s="453">
        <f>SUM(I15,I55,I71,I63,I95)</f>
        <v>0.33349527229168707</v>
      </c>
      <c r="J100" s="446">
        <f>I100/$I$103</f>
        <v>2.8134725031991056E-11</v>
      </c>
      <c r="K100" s="453">
        <f>SUM(K15,K55,K71,K63,K95)</f>
        <v>0.51821683464321522</v>
      </c>
      <c r="L100" s="461">
        <f>K100/$K$103</f>
        <v>1.1802946642493952E-11</v>
      </c>
      <c r="M100" s="484">
        <f xml:space="preserve"> (M.aRS+M.cwRS+M.w0RS+M.w1RS+M.w2RS+M.sd0RS+M.sd1RS+M.sd2RS+M.s1RS+M.s2RS+M.s3RS)*Molweight/(VOLUME.aR+VOLUME.cwR+VOLUME.w0R+VOLUME.w1R+VOLUME.w2R+VOLUME.sd0R+VOLUME.sd1R+VOLUME.sd2R+VOLUME.s1R+VOLUME.s2R+VOLUME.s3R)</f>
        <v>2.7558032479223861E-11</v>
      </c>
      <c r="N100" s="484">
        <f xml:space="preserve"> (M.aCS+M.cwCS+M.w0CS+M.w1CS+M.w2CS+M.sd0CS+M.sd1CS+M.sd2CS+M.s1CS+M.s2CS+M.s3CS)*Molweight/(VOLUME.aC+VOLUME.cwC+VOLUME.w0C+VOLUME.w1C+VOLUME.w2C+VOLUME.sd0C+VOLUME.sd1C+VOLUME.sd2C+VOLUME.s1C+VOLUME.s2C+VOLUME.s3C)</f>
        <v>1.5840233667726313E-13</v>
      </c>
      <c r="O100" s="484">
        <f xml:space="preserve"> (M.aMS+M.cwMS+M.w2MS+M.w3MS+M.sdMS+M.sMS)*Molweight/(VOLUME.aM+VOLUME.cwM+VOLUME.w2M+VOLUME.w3M+VOLUME.sdM+VOLUME.sM)</f>
        <v>1.9209407477400729E-16</v>
      </c>
      <c r="P100" s="484">
        <f xml:space="preserve"> (M.aAS+M.cwAS+M.w2AS+M.w3AS+M.sdAS+M.sAS)*Molweight/(VOLUME.aA+VOLUME.cwA+VOLUME.w2A+VOLUME.w3A+VOLUME.sdA+VOLUME.sA)</f>
        <v>2.7436515120897206E-18</v>
      </c>
      <c r="Q100" s="484">
        <f xml:space="preserve"> (M.aTS+M.cwTS+M.w2TS+M.w3TS+M.sdTS+M.sTS)*Molweight/(VOLUME.aT+VOLUME.cwT+VOLUME.w2T+VOLUME.w3T+VOLUME.sdT+VOLUME.sT)</f>
        <v>1.282144985706057E-18</v>
      </c>
      <c r="R100" s="160" t="s">
        <v>134</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220</v>
      </c>
      <c r="C101" s="453">
        <f>SUM(C16,C24,C32,C40,C48,C56,C72,C80,C88,C96)</f>
        <v>1396327.5538367936</v>
      </c>
      <c r="D101" s="446">
        <f>C101/$C$103</f>
        <v>5.3564050310941839E-5</v>
      </c>
      <c r="E101" s="453">
        <f>SUM(E16,E24,E32,E40,E48,E56,E72,E80,E88,E96)</f>
        <v>151081.80592686549</v>
      </c>
      <c r="F101" s="446">
        <f>E101/$E$103</f>
        <v>7.1094502087091813E-5</v>
      </c>
      <c r="G101" s="453">
        <f>SUM(G16,G56,G64,G72,G96)</f>
        <v>88354.634778992957</v>
      </c>
      <c r="H101" s="446">
        <f>G101/$G$103</f>
        <v>4.6954441052886487E-6</v>
      </c>
      <c r="I101" s="453">
        <f>SUM(I16,I56,I64,I72,I96)</f>
        <v>17641.986551585105</v>
      </c>
      <c r="J101" s="446">
        <f>I101/$I$103</f>
        <v>1.4883342640395907E-6</v>
      </c>
      <c r="K101" s="453">
        <f>SUM(K16,K56,K64,K72,K96)</f>
        <v>27591.320328395788</v>
      </c>
      <c r="L101" s="461">
        <f>K101/$K$103</f>
        <v>6.2842204239896153E-7</v>
      </c>
      <c r="M101" s="484">
        <f xml:space="preserve"> (M.aRA+M.cwRA+M.w0RA+M.w1RA+M.w2RA+M.sd0RA+M.sd1RA+M.sd2RA+M.s1RA+M.s2RA+M.s3RA)*Molweight/(VOLUME.aR+VOLUME.cwR+VOLUME.w0R+VOLUME.w1R+VOLUME.w2R+VOLUME.sd0R+VOLUME.sd1R+VOLUME.sd2R+VOLUME.s1R+VOLUME.s2R+VOLUME.s3R)</f>
        <v>6.0792388339060492E-9</v>
      </c>
      <c r="N101" s="484">
        <f xml:space="preserve"> (M.aCA+M.cwCA+M.w0CA+M.w1CA+M.w2CA+M.sd0CA+M.sd1CA+M.sd2CA+M.s1CA+M.s2CA+M.s3CA)*Molweight/(VOLUME.aC+VOLUME.cwC+VOLUME.w0C+VOLUME.w1C+VOLUME.w2C+VOLUME.sd0C+VOLUME.sd1C+VOLUME.sd2C+VOLUME.s1C+VOLUME.s2C+VOLUME.s3C)</f>
        <v>1.9019100307827161E-11</v>
      </c>
      <c r="O101" s="484">
        <f xml:space="preserve"> (M.aMA+M.cwMA+M.w2MA+M.w3MA+M.sdMA+M.sMA)*Molweight/(VOLUME.aM+VOLUME.cwM+VOLUME.w2M+VOLUME.w3M+VOLUME.sdM+VOLUME.sM)</f>
        <v>4.4666502276566052E-13</v>
      </c>
      <c r="P101" s="484">
        <f xml:space="preserve"> (M.aAA+M.cwAA+M.w2AA+M.w3AA+M.sdAA+M.sAA)*Molweight/(VOLUME.aA+VOLUME.cwA+VOLUME.w2A+VOLUME.w3A+VOLUME.sdA+VOLUME.sA)</f>
        <v>1.4513987783367302E-13</v>
      </c>
      <c r="Q101" s="484">
        <f xml:space="preserve"> (M.aTA+M.cwTA+M.w2TA+M.w3TA+M.sdTA+M.sTA)*Molweight/(VOLUME.aT+VOLUME.cwT+VOLUME.w2T+VOLUME.w3T+VOLUME.sdT+VOLUME.sT)</f>
        <v>6.8265001526664347E-14</v>
      </c>
      <c r="R101" s="160" t="s">
        <v>221</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222</v>
      </c>
      <c r="C102" s="453">
        <f>SUM(C17,C25,C33,C41,C49,C57,C73,C81,C89,C97)</f>
        <v>490409.2375013259</v>
      </c>
      <c r="D102" s="446">
        <f>C102/$C$103</f>
        <v>1.8812423344574317E-5</v>
      </c>
      <c r="E102" s="453">
        <f>SUM(E17,E25,E33,E41,E49,E57,E73,E81,E89,E97)</f>
        <v>383.78955437827682</v>
      </c>
      <c r="F102" s="446">
        <f>E102/$E$103</f>
        <v>1.8059968973337865E-7</v>
      </c>
      <c r="G102" s="453">
        <f>SUM(G17,G57,G65,G73,G97)</f>
        <v>7.3232354598648035</v>
      </c>
      <c r="H102" s="446">
        <f>G102/$G$103</f>
        <v>3.8917984164242755E-10</v>
      </c>
      <c r="I102" s="453">
        <f>SUM(I17,I57,I65,I73,I97)</f>
        <v>5.4440943687635156E-2</v>
      </c>
      <c r="J102" s="446">
        <f>I102/$I$103</f>
        <v>4.5928116779840297E-12</v>
      </c>
      <c r="K102" s="453">
        <f>SUM(K17,K57,K65,K73,K97)</f>
        <v>7.4190308528729557E-2</v>
      </c>
      <c r="L102" s="461">
        <f>K102/$K$103</f>
        <v>1.6897641960196857E-12</v>
      </c>
      <c r="M102" s="484">
        <f xml:space="preserve"> (M.aRP+M.cwRP+M.w0RP+M.w1RP+M.w2RP+M.sd0RP+M.sd1RP+M.sd2RP+M.s1RP+M.s2RP+M.s3RP)*Molweight/(VOLUME.aR+VOLUME.cwR+VOLUME.w0R+VOLUME.w1R+VOLUME.w2R+VOLUME.sd0R+VOLUME.sd1R+VOLUME.sd2R+VOLUME.s1R+VOLUME.s2R+VOLUME.s3R)</f>
        <v>2.1351114020004355E-9</v>
      </c>
      <c r="N102" s="484">
        <f xml:space="preserve"> (M.aCP+M.cwCP+M.w0CP+M.w1CP+M.w2CP+M.sd0CP+M.sd1CP+M.sd2CP+M.s1CP+M.s2CP+M.s3CP)*Molweight/(VOLUME.aC+VOLUME.cwC+VOLUME.w0C+VOLUME.w1C+VOLUME.w2C+VOLUME.sd0C+VOLUME.sd1C+VOLUME.sd2C+VOLUME.s1C+VOLUME.s2C+VOLUME.s3C)</f>
        <v>4.8313772707682215E-14</v>
      </c>
      <c r="O102" s="484">
        <f xml:space="preserve"> (M.aMP+M.cwMP+M.w2MP+M.w3MP+M.sdMP+M.sMP)*Molweight/(VOLUME.aM+VOLUME.cwM+VOLUME.w2M+VOLUME.w3M+VOLUME.sdM+VOLUME.sM)</f>
        <v>3.7021636064489969E-17</v>
      </c>
      <c r="P102" s="484">
        <f xml:space="preserve"> (M.aAP+M.cwAP+M.w2AP+M.w3AP+M.sdAP+M.sAP)*Molweight/(VOLUME.aA+VOLUME.cwA+VOLUME.w2A+VOLUME.w3A+VOLUME.sdA+VOLUME.sA)</f>
        <v>4.4788334311836887E-19</v>
      </c>
      <c r="Q102" s="484">
        <f xml:space="preserve"> (M.aTP+M.cwTP+M.w2TP+M.w3TP+M.sdTP+M.sTP)*Molweight/(VOLUME.aT+VOLUME.cwT+VOLUME.w2T+VOLUME.w3T+VOLUME.sdT+VOLUME.sT)</f>
        <v>1.8355778066065059E-19</v>
      </c>
      <c r="R102" s="160" t="s">
        <v>221</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223</v>
      </c>
      <c r="C103" s="772">
        <f>SUM(C99:C102)</f>
        <v>26068371337.325058</v>
      </c>
      <c r="D103" s="770"/>
      <c r="E103" s="772">
        <f>SUM(E99:E102)</f>
        <v>2125084239.8725581</v>
      </c>
      <c r="F103" s="770"/>
      <c r="G103" s="772">
        <f>SUM(G99:G102)</f>
        <v>18817098616.822193</v>
      </c>
      <c r="H103" s="770"/>
      <c r="I103" s="772">
        <f>SUM(I99:I102)</f>
        <v>11853510987.311258</v>
      </c>
      <c r="J103" s="770"/>
      <c r="K103" s="772">
        <f>SUM(K99:K102)</f>
        <v>43905716965.413345</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1.1349475625192234E-4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2.6751858089572785E-7</v>
      </c>
      <c r="O103" s="767">
        <f xml:space="preserve"> (M.aMG+M.aMS+M.aMA+M.aMP+M.cwMS+M.cwMA+M.cwMP+M.w2MD+M.w2MS+M.w2MA+M.w2MP+M.w3MD+M.w3MS+M.w3MA+M.w3MP+M.sdMD+M.sdMS+M.sdMA+M.sdMP+M.sMD+M.sMS+M.sMA+M.sMP)*Molweight/(VOLUME.aM+VOLUME.cwM+VOLUME.w2M+VOLUME.w3M+VOLUME.sdM+VOLUME.sM)</f>
        <v>9.5127321878364089E-8</v>
      </c>
      <c r="P103" s="767">
        <f xml:space="preserve"> (M.aAG+M.aAS+M.aAA+M.aAP+M.cwAS+M.cwAA+M.cwAP+M.w2AD+M.w2AS+M.w2AA+M.w2AP+M.w3AD+M.w3AS+M.w3AA+M.w3AP+M.sdAD+M.sdAS+M.sdAA+M.sdAP+M.sAD+M.sAS+M.sAA+M.sAP)*Molweight/(VOLUME.aA+VOLUME.cwA+VOLUME.w2A+VOLUME.w3A+VOLUME.sdA+VOLUME.sA)</f>
        <v>9.7518333979450909E-8</v>
      </c>
      <c r="Q103" s="767">
        <f xml:space="preserve"> (M.aTG+M.aTS+M.aTA+M.aTP+M.cwTS+M.cwTA+M.cwTP+M.w2TD+M.w2TS+M.w2TA+M.w2TP+M.w3TD+M.w3TS+M.w3TA+M.w3TP+M.sdTD+M.sdTS+M.sdTA+M.sdTP+M.sTD+M.sTS+M.sTA+M.sTP)*Molweight/(VOLUME.aT+VOLUME.cwT+VOLUME.w2T+VOLUME.w3T+VOLUME.sdT+VOLUME.sT)</f>
        <v>1.0862922832252511E-7</v>
      </c>
      <c r="R103" s="486" t="s">
        <v>221</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0.35060406906065839</v>
      </c>
      <c r="BQ103" s="113"/>
      <c r="BR103" s="113"/>
      <c r="BS103" s="22">
        <f>AF26</f>
        <v>2.4450224834713399E-2</v>
      </c>
      <c r="BT103" s="113"/>
      <c r="BU103" s="113"/>
      <c r="BV103" s="113"/>
      <c r="BW103" s="22">
        <f>AF28</f>
        <v>8.7039465657365807E-6</v>
      </c>
      <c r="BX103" s="2"/>
      <c r="BY103" s="113"/>
      <c r="BZ103" s="22">
        <f>AF30</f>
        <v>3.2236836671763344E-6</v>
      </c>
      <c r="CA103" s="113"/>
      <c r="CB103" s="112">
        <f>AF29</f>
        <v>1.9637456269204847E-5</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1.1348651434365395E-4</v>
      </c>
      <c r="N105" s="765">
        <f>E99/(VOLUME.aC+VOLUME.cwC+VOLUME.s1C+VOLUME.s2C+VOLUME.s3C+VOLUME.sd0C+VOLUME.sd1C+VOLUME.sd2C+VOLUME.w0C+VOLUME.w1C+VOLUME.w2C)</f>
        <v>2.6749935507931068E-7</v>
      </c>
      <c r="O105" s="765">
        <f>G99/(VOLUME.aM+VOLUME.cwM+VOLUME.sdM+VOLUME.sM+VOLUME.w2M+VOLUME.w3M)</f>
        <v>9.5126874984225611E-8</v>
      </c>
      <c r="P105" s="765">
        <f>I99/(VOLUME.aA+VOLUME.cwA+VOLUME.sdA+VOLUME.sA+VOLUME.w2A+VOLUME.w3A)</f>
        <v>9.7518188836381502E-8</v>
      </c>
      <c r="Q105" s="765">
        <f>K99/(VOLUME.aT+VOLUME.cwT+VOLUME.sdT+VOLUME.sT+VOLUME.w2T+VOLUME.w3T)</f>
        <v>1.0862916005605791E-7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2.7558032479223858E-11</v>
      </c>
      <c r="N106" s="765">
        <f>E100/(VOLUME.aC+VOLUME.cwC+VOLUME.s1C+VOLUME.s2C+VOLUME.s3C+VOLUME.sd0C+VOLUME.sd1C+VOLUME.sd2C+VOLUME.w0C+VOLUME.w1C+VOLUME.w2C)</f>
        <v>1.5840233667726311E-13</v>
      </c>
      <c r="O106" s="765">
        <f>G100/(VOLUME.aM+VOLUME.cwM+VOLUME.sdM+VOLUME.sM+VOLUME.w2M+VOLUME.w3M)</f>
        <v>1.9209407477400726E-16</v>
      </c>
      <c r="P106" s="765">
        <f>I100/(VOLUME.aA+VOLUME.cwA+VOLUME.sdA+VOLUME.sA+VOLUME.w2A+VOLUME.w3A)</f>
        <v>2.7436515120897206E-18</v>
      </c>
      <c r="Q106" s="765">
        <f>K100/(VOLUME.aT+VOLUME.cwT+VOLUME.sdT+VOLUME.sT+VOLUME.w2T+VOLUME.w3T)</f>
        <v>1.282144985706057E-18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187</v>
      </c>
      <c r="BO106" s="117"/>
      <c r="BP106" s="117"/>
      <c r="BQ106" s="117"/>
      <c r="BR106" s="118"/>
      <c r="BS106" s="2"/>
      <c r="BT106" s="127" t="s">
        <v>188</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6.0792388339060492E-9</v>
      </c>
      <c r="N107" s="765">
        <f>E101/(VOLUME.aC+VOLUME.cwC+VOLUME.s1C+VOLUME.s2C+VOLUME.s3C+VOLUME.sd0C+VOLUME.sd1C+VOLUME.sd2C+VOLUME.w0C+VOLUME.w1C+VOLUME.w2C)</f>
        <v>1.9019100307827164E-11</v>
      </c>
      <c r="O107" s="765">
        <f>G101/(VOLUME.aM+VOLUME.cwM+VOLUME.sdM+VOLUME.sM+VOLUME.w2M+VOLUME.w3M)</f>
        <v>4.4666502276566057E-13</v>
      </c>
      <c r="P107" s="765">
        <f>I101/(VOLUME.aA+VOLUME.cwA+VOLUME.sdA+VOLUME.sA+VOLUME.w2A+VOLUME.w3A)</f>
        <v>1.4513987783367304E-13</v>
      </c>
      <c r="Q107" s="765">
        <f>K101/(VOLUME.aT+VOLUME.cwT+VOLUME.sdT+VOLUME.sT+VOLUME.w2T+VOLUME.w3T)</f>
        <v>6.826500152666436E-14</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189</v>
      </c>
      <c r="BP107" s="2"/>
      <c r="BQ107" s="113"/>
      <c r="BR107" s="121"/>
      <c r="BS107" s="2"/>
      <c r="BT107" s="88" t="s">
        <v>190</v>
      </c>
      <c r="BU107" s="2"/>
      <c r="BV107" s="2"/>
      <c r="BW107" s="89">
        <f>N12</f>
        <v>4.9755229271438211E-27</v>
      </c>
      <c r="BX107" s="120" t="s">
        <v>113</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2.1351114020004355E-9</v>
      </c>
      <c r="N108" s="765">
        <f>E102/(VOLUME.aC+VOLUME.cwC+VOLUME.s1C+VOLUME.s2C+VOLUME.s3C+VOLUME.sd0C+VOLUME.sd1C+VOLUME.sd2C+VOLUME.w0C+VOLUME.w1C+VOLUME.w2C)</f>
        <v>4.8313772707682215E-14</v>
      </c>
      <c r="O108" s="765">
        <f>G102/(VOLUME.aM+VOLUME.cwM+VOLUME.sdM+VOLUME.sM+VOLUME.w2M+VOLUME.w3M)</f>
        <v>3.7021636064489969E-17</v>
      </c>
      <c r="P108" s="765">
        <f>I102/(VOLUME.aA+VOLUME.cwA+VOLUME.sdA+VOLUME.sA+VOLUME.w2A+VOLUME.w3A)</f>
        <v>4.4788334311836887E-19</v>
      </c>
      <c r="Q108" s="765">
        <f>K102/(VOLUME.aT+VOLUME.cwT+VOLUME.sdT+VOLUME.sT+VOLUME.w2T+VOLUME.w3T)</f>
        <v>1.8355778066065057E-19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1.1349475625192234E-4</v>
      </c>
      <c r="N109" s="765">
        <f>E103/(VOLUME.aC+VOLUME.cwC+VOLUME.s1C+VOLUME.s2C+VOLUME.s3C+VOLUME.sd0C+VOLUME.sd1C+VOLUME.sd2C+VOLUME.w0C+VOLUME.w1C+VOLUME.w2C)</f>
        <v>2.6751858089572791E-7</v>
      </c>
      <c r="O109" s="765">
        <f>G103/(VOLUME.aM+VOLUME.cwM+VOLUME.sdM+VOLUME.sM+VOLUME.w2M+VOLUME.w3M)</f>
        <v>9.5127321878364089E-8</v>
      </c>
      <c r="P109" s="765">
        <f>I103/(VOLUME.aA+VOLUME.cwA+VOLUME.sdA+VOLUME.sA+VOLUME.w2A+VOLUME.w3A)</f>
        <v>9.7518333979450882E-8</v>
      </c>
      <c r="Q109" s="765">
        <f>K103/(VOLUME.aT+VOLUME.cwT+VOLUME.sdT+VOLUME.sT+VOLUME.w2T+VOLUME.w3T)</f>
        <v>1.0862922832252514E-7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224</v>
      </c>
      <c r="BP109" s="2"/>
      <c r="BQ109" s="2"/>
      <c r="BR109" s="120"/>
      <c r="BS109" s="2"/>
      <c r="BT109" s="90" t="s">
        <v>192</v>
      </c>
      <c r="BU109" s="113"/>
      <c r="BV109" s="113"/>
      <c r="BW109" s="89">
        <f>N20</f>
        <v>1.881931797827628E-7</v>
      </c>
      <c r="BX109" s="304" t="s">
        <v>134</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193</v>
      </c>
      <c r="BU110" s="2"/>
      <c r="BV110" s="2"/>
      <c r="BW110" s="89">
        <f>N36</f>
        <v>1.5098123312672398E-7</v>
      </c>
      <c r="BX110" s="120" t="s">
        <v>134</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194</v>
      </c>
      <c r="BP111" s="2"/>
      <c r="BQ111" s="2"/>
      <c r="BR111" s="120"/>
      <c r="BS111" s="2"/>
      <c r="BT111" s="90" t="s">
        <v>195</v>
      </c>
      <c r="BU111" s="2"/>
      <c r="BV111" s="2"/>
      <c r="BW111" s="89">
        <f>N52</f>
        <v>1.0718199221243456E-7</v>
      </c>
      <c r="BX111" s="120" t="s">
        <v>134</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198</v>
      </c>
      <c r="BP113" s="2"/>
      <c r="BQ113" s="2"/>
      <c r="BR113" s="120"/>
      <c r="BS113" s="2"/>
      <c r="BT113" s="90" t="s">
        <v>199</v>
      </c>
      <c r="BU113" s="2"/>
      <c r="BV113" s="2"/>
      <c r="BW113" s="89">
        <f>N44</f>
        <v>2.2753951682574661E-3</v>
      </c>
      <c r="BX113" s="120" t="s">
        <v>151</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200</v>
      </c>
      <c r="BU114" s="2"/>
      <c r="BV114" s="2"/>
      <c r="BW114" s="89">
        <f>N68</f>
        <v>2.6506362581976066E-3</v>
      </c>
      <c r="BX114" s="120" t="s">
        <v>151</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201</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202</v>
      </c>
      <c r="BU116" s="2"/>
      <c r="BV116" s="2"/>
      <c r="BW116" s="89">
        <f>N76</f>
        <v>3.2630659376812472E-3</v>
      </c>
      <c r="BX116" s="120" t="s">
        <v>151</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72</v>
      </c>
      <c r="BP117" s="2"/>
      <c r="BQ117" s="2"/>
      <c r="BR117" s="120"/>
      <c r="BS117" s="2"/>
      <c r="BT117" s="88" t="s">
        <v>203</v>
      </c>
      <c r="BU117" s="2"/>
      <c r="BV117" s="2"/>
      <c r="BW117" s="89">
        <f>N84</f>
        <v>1.8200538072653603E-3</v>
      </c>
      <c r="BX117" s="120" t="s">
        <v>151</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204</v>
      </c>
      <c r="BU118" s="2"/>
      <c r="BV118" s="2"/>
      <c r="BW118" s="89">
        <f>N92</f>
        <v>3.2630656886158348E-3</v>
      </c>
      <c r="BX118" s="120" t="s">
        <v>151</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208</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225</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226</v>
      </c>
      <c r="BO126" s="75" t="s">
        <v>227</v>
      </c>
      <c r="BP126" s="2"/>
      <c r="BQ126" s="113"/>
      <c r="BR126" s="113"/>
      <c r="BS126" s="114">
        <f>AF32</f>
        <v>6.5595702389640061E-22</v>
      </c>
      <c r="BT126" s="75"/>
      <c r="BU126" s="75" t="s">
        <v>228</v>
      </c>
      <c r="BV126" s="2"/>
      <c r="BW126" s="113"/>
      <c r="BX126" s="113"/>
      <c r="BY126" s="114">
        <f>AF38</f>
        <v>2.8568463801159326E-23</v>
      </c>
      <c r="BZ126" s="75"/>
      <c r="CA126" s="75" t="s">
        <v>229</v>
      </c>
      <c r="CB126" s="2"/>
      <c r="CC126" s="113"/>
      <c r="CD126" s="113"/>
      <c r="CE126" s="114">
        <f>AF44</f>
        <v>1.4632864023275126E-20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67</v>
      </c>
      <c r="BR132" s="77">
        <f>IF(ISERROR(H12),0,H12)</f>
        <v>9.516015091026036E-23</v>
      </c>
      <c r="BS132" s="339"/>
      <c r="BT132" s="2"/>
      <c r="BU132" s="106"/>
      <c r="BV132" s="113"/>
      <c r="BW132" s="76" t="s">
        <v>67</v>
      </c>
      <c r="BX132" s="77">
        <f>IF(ISERROR(J12),0,J12)</f>
        <v>6.5791877129365234E-24</v>
      </c>
      <c r="BY132" s="113"/>
      <c r="BZ132" s="2"/>
      <c r="CA132" s="106"/>
      <c r="CB132" s="113"/>
      <c r="CC132" s="76" t="s">
        <v>67</v>
      </c>
      <c r="CD132" s="77">
        <f>IF(ISERROR(L12),0,L12)</f>
        <v>9.0978895424862588E-22</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230</v>
      </c>
      <c r="BO134" s="344">
        <f>AD32</f>
        <v>1.6070428852933759E-17</v>
      </c>
      <c r="BP134" s="339"/>
      <c r="BQ134" s="339">
        <f>AH32</f>
        <v>6.8194052006739249E-45</v>
      </c>
      <c r="BR134" s="339"/>
      <c r="BS134" s="339"/>
      <c r="BT134" s="308" t="s">
        <v>231</v>
      </c>
      <c r="BU134" s="301">
        <f>AD38</f>
        <v>6.792300647379116E-19</v>
      </c>
      <c r="BV134" s="113"/>
      <c r="BW134" s="55">
        <f>AH38</f>
        <v>1.2910223234476619E-50</v>
      </c>
      <c r="BX134" s="113"/>
      <c r="BY134" s="113"/>
      <c r="BZ134" s="308" t="s">
        <v>231</v>
      </c>
      <c r="CA134" s="301">
        <f>AD44</f>
        <v>1.1764609821543605E-18</v>
      </c>
      <c r="CB134" s="113"/>
      <c r="CC134" s="55">
        <f>AH44</f>
        <v>6.7022812039968374E-43</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2.0853246501289636E-18</v>
      </c>
      <c r="BO135" s="344" t="s">
        <v>230</v>
      </c>
      <c r="BP135" s="339"/>
      <c r="BQ135" s="339"/>
      <c r="BR135" s="339"/>
      <c r="BS135" s="347">
        <f>k.sM.aM*M.sM*Molweight</f>
        <v>1.1897653714348951E-20</v>
      </c>
      <c r="BT135" s="131">
        <f>AE38</f>
        <v>5.399329975048095E-20</v>
      </c>
      <c r="BU135" s="128" t="s">
        <v>231</v>
      </c>
      <c r="BV135" s="113"/>
      <c r="BW135" s="113"/>
      <c r="BX135" s="113"/>
      <c r="BY135" s="347">
        <f>k.sA.aA*M.sA*Molweight</f>
        <v>3.5608028038144484E-27</v>
      </c>
      <c r="BZ135" s="131">
        <f>AE44</f>
        <v>1.5966939931087989E-17</v>
      </c>
      <c r="CA135" s="128" t="s">
        <v>231</v>
      </c>
      <c r="CB135" s="113"/>
      <c r="CC135" s="113"/>
      <c r="CD135" s="113"/>
      <c r="CE135" s="347">
        <f>k.sT.aT*M.sT*Molweight</f>
        <v>2.0491100327050425E-18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1.64859558880909E-19</v>
      </c>
      <c r="BQ136" s="339"/>
      <c r="BR136" s="339"/>
      <c r="BS136" s="339"/>
      <c r="BT136" s="2"/>
      <c r="BU136" s="113"/>
      <c r="BV136" s="345">
        <f>k.w2A.aA*M.w2A*Molweight</f>
        <v>2.9436245566401191E-25</v>
      </c>
      <c r="BW136" s="113"/>
      <c r="BX136" s="113"/>
      <c r="BY136" s="113"/>
      <c r="BZ136" s="2"/>
      <c r="CA136" s="113"/>
      <c r="CB136" s="345">
        <f>k.w2T.aT*M.w2T*Molweight</f>
        <v>3.3576768165566024E-16</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3.2790472737462842E-2</v>
      </c>
      <c r="BR139" s="339"/>
      <c r="BS139" s="347">
        <f>IF(AK36&lt;0,"",AK36)</f>
        <v>7.0806027291873415E-18</v>
      </c>
      <c r="BT139" s="2"/>
      <c r="BU139" s="113"/>
      <c r="BV139" s="2"/>
      <c r="BW139" s="306">
        <f>AM39</f>
        <v>3.9251723595439564E-3</v>
      </c>
      <c r="BX139" s="113"/>
      <c r="BY139" s="138">
        <f>IF(AK42&lt;0,"",AK42)</f>
        <v>2.5008339777875514E-19</v>
      </c>
      <c r="BZ139" s="2"/>
      <c r="CA139" s="113"/>
      <c r="CB139" s="2"/>
      <c r="CC139" s="306">
        <f>AM45</f>
        <v>7.3178237370613748E-3</v>
      </c>
      <c r="CD139" s="113"/>
      <c r="CE139" s="138">
        <f>IF(AK48&lt;0,"",AK48)</f>
        <v>9.6903503962567746E-17</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7.080602729188816E-18</v>
      </c>
      <c r="BQ140" s="339"/>
      <c r="BR140" s="339"/>
      <c r="BS140" s="339"/>
      <c r="BT140" s="2"/>
      <c r="BU140" s="307">
        <f>AC39</f>
        <v>0</v>
      </c>
      <c r="BV140" s="136">
        <f>IF(AI39&lt;0,"",AI39)</f>
        <v>3.7512509666813266E-19</v>
      </c>
      <c r="BW140" s="2"/>
      <c r="BX140" s="113"/>
      <c r="BY140" s="113"/>
      <c r="BZ140" s="2"/>
      <c r="CA140" s="307">
        <f>AC45</f>
        <v>0</v>
      </c>
      <c r="CB140" s="136">
        <f>IF(AI45&lt;0,"",AI45)</f>
        <v>2.2610817591284063E-16</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127.80358311310736</v>
      </c>
      <c r="BP141" s="339"/>
      <c r="BQ141" s="342" t="s">
        <v>232</v>
      </c>
      <c r="BR141" s="339"/>
      <c r="BS141" s="339"/>
      <c r="BT141" s="2"/>
      <c r="BU141" s="134">
        <f>AD39</f>
        <v>93.942780492387428</v>
      </c>
      <c r="BV141" s="113"/>
      <c r="BW141" s="98" t="s">
        <v>232</v>
      </c>
      <c r="BX141" s="113"/>
      <c r="BY141" s="113"/>
      <c r="BZ141" s="2"/>
      <c r="CA141" s="134">
        <f>AD45</f>
        <v>244.66359817270489</v>
      </c>
      <c r="CB141" s="113"/>
      <c r="CC141" s="98" t="s">
        <v>232</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127.90289549876681</v>
      </c>
      <c r="BO142" s="339"/>
      <c r="BP142" s="349"/>
      <c r="BQ142" s="96">
        <f>IF(ISERROR(H52),0,H52)</f>
        <v>2.3131058216837894E-2</v>
      </c>
      <c r="BR142" s="339"/>
      <c r="BS142" s="339"/>
      <c r="BT142" s="131">
        <f>AE39</f>
        <v>93.960557511642833</v>
      </c>
      <c r="BU142" s="113"/>
      <c r="BV142" s="97"/>
      <c r="BW142" s="96">
        <f>IF(ISERROR(J52),0,J52)</f>
        <v>2.9439114124056316E-2</v>
      </c>
      <c r="BX142" s="123"/>
      <c r="BY142" s="113"/>
      <c r="BZ142" s="131">
        <f>AE45</f>
        <v>244.70310562513353</v>
      </c>
      <c r="CA142" s="113"/>
      <c r="CB142" s="97"/>
      <c r="CC142" s="96">
        <f>IF(ISERROR(L52),0,L52)</f>
        <v>2.2836920444155917E-2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108.42926457931975</v>
      </c>
      <c r="BQ143" s="339">
        <f>AH33</f>
        <v>1.1982636270948323E-12</v>
      </c>
      <c r="BR143" s="339"/>
      <c r="BS143" s="339"/>
      <c r="BT143" s="2"/>
      <c r="BU143" s="113"/>
      <c r="BV143" s="350">
        <f>k.w3A.w2A*M.w3A*Molweight</f>
        <v>77.109489949004143</v>
      </c>
      <c r="BW143" s="2">
        <f>AH39</f>
        <v>2.0907878483826765E-13</v>
      </c>
      <c r="BX143" s="113"/>
      <c r="BY143" s="113"/>
      <c r="BZ143" s="2"/>
      <c r="CA143" s="113"/>
      <c r="CB143" s="350">
        <f>k.w3T.w2T*M.w3T*Molweight</f>
        <v>244.66359817270489</v>
      </c>
      <c r="CC143" s="2">
        <f>AH45</f>
        <v>6.7967582149291039E-12</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108.42828287875659</v>
      </c>
      <c r="BQ145" s="351"/>
      <c r="BR145" s="339"/>
      <c r="BS145" s="339"/>
      <c r="BT145" s="2"/>
      <c r="BU145" s="113"/>
      <c r="BV145" s="350">
        <f>k.w2A.w3A*M.w2A*Molweight</f>
        <v>93.960557511642833</v>
      </c>
      <c r="BW145" s="78"/>
      <c r="BX145" s="2"/>
      <c r="BY145" s="113"/>
      <c r="BZ145" s="2"/>
      <c r="CA145" s="113"/>
      <c r="CB145" s="350">
        <f>k.w2T.w3T*M.w2T*Molweight</f>
        <v>227.85148603886844</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233</v>
      </c>
      <c r="BR147" s="342" t="s">
        <v>234</v>
      </c>
      <c r="BS147" s="77">
        <f>IF(ISERROR(H92),0,H92)</f>
        <v>5.9830230242077412E-2</v>
      </c>
      <c r="BT147" s="2"/>
      <c r="BU147" s="2"/>
      <c r="BV147" s="113"/>
      <c r="BW147" s="98" t="s">
        <v>233</v>
      </c>
      <c r="BX147" s="76" t="s">
        <v>234</v>
      </c>
      <c r="BY147" s="77">
        <f>IF(ISERROR(J92),0,J92)</f>
        <v>1.2763454194640889E-2</v>
      </c>
      <c r="BZ147" s="2"/>
      <c r="CA147" s="2"/>
      <c r="CB147" s="113"/>
      <c r="CC147" s="98" t="s">
        <v>233</v>
      </c>
      <c r="CD147" s="76" t="s">
        <v>234</v>
      </c>
      <c r="CE147" s="77">
        <f>IF(ISERROR(L92),0,L92)</f>
        <v>4.9950756189618972E-3</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235</v>
      </c>
      <c r="BO148" s="344">
        <f>AD34</f>
        <v>125.27382794301126</v>
      </c>
      <c r="BP148" s="339"/>
      <c r="BQ148" s="96">
        <f>IF(ISERROR(H60),0,H60)</f>
        <v>0.69393802930486637</v>
      </c>
      <c r="BR148" s="339"/>
      <c r="BS148" s="339"/>
      <c r="BT148" s="308" t="s">
        <v>235</v>
      </c>
      <c r="BU148" s="301">
        <f>AD40</f>
        <v>93.960557511642833</v>
      </c>
      <c r="BV148" s="113"/>
      <c r="BW148" s="96">
        <f>IF(ISERROR(J60),0,J60)</f>
        <v>0.72478339894116384</v>
      </c>
      <c r="BX148" s="113"/>
      <c r="BY148" s="113"/>
      <c r="BZ148" s="308" t="s">
        <v>235</v>
      </c>
      <c r="CA148" s="301">
        <f>AD46</f>
        <v>244.68492898944999</v>
      </c>
      <c r="CB148" s="113"/>
      <c r="CC148" s="96">
        <f>IF(ISERROR(L60),0,L60)</f>
        <v>0.73565854989831336</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125.26270752990128</v>
      </c>
      <c r="BO149" s="344" t="s">
        <v>235</v>
      </c>
      <c r="BP149" s="339">
        <f>AH34</f>
        <v>3.5948234282191055E-11</v>
      </c>
      <c r="BQ149" s="339"/>
      <c r="BR149" s="353"/>
      <c r="BS149" s="339"/>
      <c r="BT149" s="131">
        <f>AE40</f>
        <v>93.955035013258822</v>
      </c>
      <c r="BU149" s="128" t="s">
        <v>235</v>
      </c>
      <c r="BV149" s="55">
        <f>AH40</f>
        <v>5.1474657723392165E-12</v>
      </c>
      <c r="BW149" s="2"/>
      <c r="BX149" s="114"/>
      <c r="BY149" s="113"/>
      <c r="BZ149" s="131">
        <f>AE46</f>
        <v>244.66359817270489</v>
      </c>
      <c r="CA149" s="128" t="s">
        <v>235</v>
      </c>
      <c r="CB149" s="55">
        <f>AH46</f>
        <v>2.1894779134652292E-10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40.639679639220908</v>
      </c>
      <c r="BR150" s="339">
        <f>AH36</f>
        <v>4.5722960301365403E-12</v>
      </c>
      <c r="BS150" s="339"/>
      <c r="BT150" s="2"/>
      <c r="BU150" s="113"/>
      <c r="BV150" s="113"/>
      <c r="BW150" s="345">
        <f>k.sdA.w3A*M.sdA*Molweight</f>
        <v>26.740602985553942</v>
      </c>
      <c r="BX150" s="55">
        <f>AK42</f>
        <v>2.5008339777875514E-19</v>
      </c>
      <c r="BY150" s="113"/>
      <c r="BZ150" s="2"/>
      <c r="CA150" s="113"/>
      <c r="CB150" s="113"/>
      <c r="CC150" s="345">
        <f>k.sdT.w3T*M.sdT*Molweight</f>
        <v>100.53408101525726</v>
      </c>
      <c r="CD150" s="55">
        <f>AH48</f>
        <v>2.1931237634697792E-12</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40.652206250394592</v>
      </c>
      <c r="BR153" s="340">
        <f>AC36</f>
        <v>0</v>
      </c>
      <c r="BS153" s="339"/>
      <c r="BT153" s="2"/>
      <c r="BU153" s="113"/>
      <c r="BV153" s="113"/>
      <c r="BW153" s="136">
        <f>IF(AN41&lt;0,"",AN41)</f>
        <v>26.746441850231768</v>
      </c>
      <c r="BX153" s="307">
        <f>AC42</f>
        <v>0</v>
      </c>
      <c r="BY153" s="113"/>
      <c r="BZ153" s="2"/>
      <c r="CA153" s="113"/>
      <c r="CB153" s="113"/>
      <c r="CC153" s="136">
        <f>IF(AN47&lt;0,"",AN47)</f>
        <v>100.55603283581495</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184</v>
      </c>
      <c r="BQ154" s="339"/>
      <c r="BR154" s="339"/>
      <c r="BS154" s="339"/>
      <c r="BT154" s="2"/>
      <c r="BU154" s="113"/>
      <c r="BV154" s="76" t="s">
        <v>184</v>
      </c>
      <c r="BW154" s="2"/>
      <c r="BX154" s="113"/>
      <c r="BY154" s="113"/>
      <c r="BZ154" s="2"/>
      <c r="CA154" s="113"/>
      <c r="CB154" s="76" t="s">
        <v>184</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0.22309598438359657</v>
      </c>
      <c r="BQ155" s="339"/>
      <c r="BR155" s="339"/>
      <c r="BS155" s="339"/>
      <c r="BT155" s="2"/>
      <c r="BU155" s="2"/>
      <c r="BV155" s="96">
        <f>IF(ISERROR(J68),0,J68)</f>
        <v>0.23301254437314745</v>
      </c>
      <c r="BW155" s="2"/>
      <c r="BX155" s="113"/>
      <c r="BY155" s="113"/>
      <c r="BZ155" s="2"/>
      <c r="CA155" s="2"/>
      <c r="CB155" s="96">
        <f>IF(ISERROR(L68),0,L68)</f>
        <v>0.23650882560303371</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1.704925552867309E-11</v>
      </c>
      <c r="BP156" s="339"/>
      <c r="BQ156" s="339"/>
      <c r="BR156" s="339"/>
      <c r="BS156" s="339"/>
      <c r="BT156" s="2"/>
      <c r="BU156" s="55">
        <f>AH41</f>
        <v>2.4413009714332887E-12</v>
      </c>
      <c r="BV156" s="113"/>
      <c r="BW156" s="113"/>
      <c r="BX156" s="113"/>
      <c r="BY156" s="113"/>
      <c r="BZ156" s="2"/>
      <c r="CA156" s="55">
        <f>AH47</f>
        <v>1.0384089556749103E-10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1.252661336293226E-2</v>
      </c>
      <c r="BQ159" s="339"/>
      <c r="BR159" s="339">
        <f>AF36</f>
        <v>3.7538210254597328E-5</v>
      </c>
      <c r="BS159" s="339"/>
      <c r="BT159" s="113"/>
      <c r="BU159" s="113"/>
      <c r="BV159" s="55">
        <f>AF41</f>
        <v>5.8388651169212456E-3</v>
      </c>
      <c r="BW159" s="113"/>
      <c r="BX159" s="55">
        <f>AF42</f>
        <v>1.8015960740912339E-6</v>
      </c>
      <c r="BY159" s="113"/>
      <c r="BZ159" s="113"/>
      <c r="CA159" s="113"/>
      <c r="CB159" s="55">
        <f>AF47</f>
        <v>2.1951821319019859E-2</v>
      </c>
      <c r="CC159" s="113"/>
      <c r="CD159" s="55">
        <f>AF48</f>
        <v>1.3580278624782377E-5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187</v>
      </c>
      <c r="BO161" s="117"/>
      <c r="BP161" s="117"/>
      <c r="BQ161" s="117"/>
      <c r="BR161" s="118"/>
      <c r="BS161" s="310" t="s">
        <v>56</v>
      </c>
      <c r="BT161" s="311" t="str">
        <f>ChemName</f>
        <v>nAg_10nm</v>
      </c>
      <c r="BU161" s="117"/>
      <c r="BV161" s="118"/>
      <c r="BW161" s="2"/>
      <c r="BX161" s="309"/>
      <c r="BY161" s="127" t="s">
        <v>236</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237</v>
      </c>
      <c r="BT162" s="257" t="str">
        <f>ChemClass</f>
        <v>Particle</v>
      </c>
      <c r="BU162" s="2"/>
      <c r="BV162" s="120"/>
      <c r="BW162" s="2"/>
      <c r="BX162" s="2"/>
      <c r="BY162" s="88" t="s">
        <v>190</v>
      </c>
      <c r="BZ162" s="2"/>
      <c r="CA162" s="89">
        <f>G12</f>
        <v>1.7906379440700514E-12</v>
      </c>
      <c r="CB162" s="120" t="s">
        <v>113</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189</v>
      </c>
      <c r="BP163" s="2"/>
      <c r="BQ163" s="113"/>
      <c r="BR163" s="121"/>
      <c r="BS163" s="119" t="s">
        <v>57</v>
      </c>
      <c r="BT163" s="2" t="str">
        <f>CONCATENATE(version!$B$2," ",version!$B$3," ",version!$C$3)</f>
        <v>SimpleBox4plastics vs 4.02-plastic 45338</v>
      </c>
      <c r="BU163" s="2"/>
      <c r="BV163" s="120"/>
      <c r="BW163" s="2"/>
      <c r="BX163" s="2"/>
      <c r="BY163" s="90" t="s">
        <v>238</v>
      </c>
      <c r="BZ163" s="2"/>
      <c r="CA163" s="89">
        <f>G52</f>
        <v>435259403.57769394</v>
      </c>
      <c r="CB163" s="120" t="s">
        <v>134</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59</v>
      </c>
      <c r="BT164" s="313">
        <f ca="1">TODAY()</f>
        <v>45397</v>
      </c>
      <c r="BU164" s="80"/>
      <c r="BV164" s="122"/>
      <c r="BW164" s="2"/>
      <c r="BX164" s="2"/>
      <c r="BY164" s="90" t="s">
        <v>239</v>
      </c>
      <c r="BZ164" s="2"/>
      <c r="CA164" s="89">
        <f>G60</f>
        <v>13057900331.39292</v>
      </c>
      <c r="CB164" s="304" t="s">
        <v>134</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224</v>
      </c>
      <c r="BP165" s="2"/>
      <c r="BQ165" s="2"/>
      <c r="BR165" s="120"/>
      <c r="BS165" s="2"/>
      <c r="BT165" s="45"/>
      <c r="BU165" s="2"/>
      <c r="BV165" s="2"/>
      <c r="BW165" s="2"/>
      <c r="BX165" s="2"/>
      <c r="BY165" s="90" t="s">
        <v>200</v>
      </c>
      <c r="BZ165" s="2"/>
      <c r="CA165" s="89">
        <f>G68</f>
        <v>4198019139.1631608</v>
      </c>
      <c r="CB165" s="120" t="s">
        <v>134</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240</v>
      </c>
      <c r="BZ166" s="80"/>
      <c r="CA166" s="93">
        <f>G92</f>
        <v>1125831342.7323482</v>
      </c>
      <c r="CB166" s="122" t="s">
        <v>151</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194</v>
      </c>
      <c r="BP167" s="2"/>
      <c r="BQ167" s="2"/>
      <c r="BR167" s="120"/>
      <c r="BS167" s="2"/>
      <c r="BT167" s="2"/>
      <c r="BU167" s="2"/>
      <c r="BV167" s="2"/>
      <c r="BW167" s="2"/>
      <c r="BX167" s="2"/>
      <c r="BY167" s="127" t="s">
        <v>241</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190</v>
      </c>
      <c r="BZ168" s="2"/>
      <c r="CA168" s="89">
        <f>I12</f>
        <v>7.7986473842876308E-14</v>
      </c>
      <c r="CB168" s="120" t="s">
        <v>113</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198</v>
      </c>
      <c r="BP169" s="2"/>
      <c r="BQ169" s="2"/>
      <c r="BR169" s="120"/>
      <c r="BS169" s="2"/>
      <c r="BT169" s="2"/>
      <c r="BU169" s="2"/>
      <c r="BV169" s="2"/>
      <c r="BW169" s="2"/>
      <c r="BX169" s="2"/>
      <c r="BY169" s="90" t="s">
        <v>238</v>
      </c>
      <c r="BZ169" s="2"/>
      <c r="CA169" s="89">
        <f>I52</f>
        <v>348956862.72621161</v>
      </c>
      <c r="CB169" s="120" t="s">
        <v>134</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239</v>
      </c>
      <c r="BZ170" s="2"/>
      <c r="CA170" s="89">
        <f>I60</f>
        <v>8591227982.7698841</v>
      </c>
      <c r="CB170" s="304" t="s">
        <v>134</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201</v>
      </c>
      <c r="BP171" s="2"/>
      <c r="BQ171" s="2"/>
      <c r="BR171" s="120"/>
      <c r="BS171" s="2"/>
      <c r="BT171" s="2"/>
      <c r="BU171" s="2"/>
      <c r="BV171" s="2"/>
      <c r="BW171" s="2"/>
      <c r="BX171" s="2"/>
      <c r="BY171" s="90" t="s">
        <v>200</v>
      </c>
      <c r="BZ171" s="2"/>
      <c r="CA171" s="89">
        <f>I68</f>
        <v>2762016754.9084554</v>
      </c>
      <c r="CB171" s="120" t="s">
        <v>134</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240</v>
      </c>
      <c r="BZ172" s="80"/>
      <c r="CA172" s="93">
        <f>I92</f>
        <v>151291744.53221974</v>
      </c>
      <c r="CB172" s="122" t="s">
        <v>151</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72</v>
      </c>
      <c r="BP173" s="2"/>
      <c r="BQ173" s="2"/>
      <c r="BR173" s="120"/>
      <c r="BS173" s="2"/>
      <c r="BT173" s="2"/>
      <c r="BU173" s="2"/>
      <c r="BV173" s="2"/>
      <c r="BW173" s="2"/>
      <c r="BX173" s="2"/>
      <c r="BY173" s="127" t="s">
        <v>242</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190</v>
      </c>
      <c r="BZ174" s="2"/>
      <c r="CA174" s="89">
        <f>K12</f>
        <v>3.9944936323499558E-11</v>
      </c>
      <c r="CB174" s="120" t="s">
        <v>113</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208</v>
      </c>
      <c r="BP175" s="2"/>
      <c r="BQ175" s="2"/>
      <c r="BR175" s="120"/>
      <c r="BS175" s="2"/>
      <c r="BT175" s="2"/>
      <c r="BU175" s="2"/>
      <c r="BV175" s="2"/>
      <c r="BW175" s="2"/>
      <c r="BX175" s="2"/>
      <c r="BY175" s="90" t="s">
        <v>238</v>
      </c>
      <c r="BZ175" s="2"/>
      <c r="CA175" s="89">
        <f>K52</f>
        <v>1002671365.3827714</v>
      </c>
      <c r="CB175" s="120" t="s">
        <v>134</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239</v>
      </c>
      <c r="BZ176" s="2"/>
      <c r="CA176" s="89">
        <f>K60</f>
        <v>32299616075.021759</v>
      </c>
      <c r="CB176" s="304" t="s">
        <v>134</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200</v>
      </c>
      <c r="BZ177" s="2"/>
      <c r="CA177" s="89">
        <f>K68</f>
        <v>10384089556.749104</v>
      </c>
      <c r="CB177" s="120" t="s">
        <v>134</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240</v>
      </c>
      <c r="BZ178" s="80"/>
      <c r="CA178" s="93">
        <f>K92</f>
        <v>219312376.34697792</v>
      </c>
      <c r="CB178" s="122" t="s">
        <v>151</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243</v>
      </c>
      <c r="B2" s="633"/>
      <c r="C2" s="633"/>
      <c r="D2" s="633"/>
      <c r="E2" s="633"/>
      <c r="F2" s="633"/>
      <c r="G2" s="836"/>
      <c r="I2" s="835" t="s">
        <v>244</v>
      </c>
      <c r="J2" s="633"/>
      <c r="K2" s="633"/>
      <c r="L2" s="633"/>
      <c r="M2" s="633"/>
      <c r="N2" s="633"/>
      <c r="O2" s="836"/>
      <c r="Q2" s="840" t="s">
        <v>245</v>
      </c>
      <c r="R2" s="707"/>
      <c r="S2" s="707"/>
      <c r="T2" s="633"/>
      <c r="U2" s="633"/>
      <c r="V2" s="633"/>
      <c r="W2" s="836"/>
    </row>
    <row r="3" spans="1:23" x14ac:dyDescent="0.3">
      <c r="A3" s="398"/>
      <c r="B3" t="s">
        <v>246</v>
      </c>
      <c r="C3" t="s">
        <v>247</v>
      </c>
      <c r="D3" t="s">
        <v>248</v>
      </c>
      <c r="E3" t="s">
        <v>249</v>
      </c>
      <c r="F3" t="s">
        <v>250</v>
      </c>
      <c r="G3" s="837"/>
      <c r="I3" s="398"/>
      <c r="J3" t="s">
        <v>246</v>
      </c>
      <c r="K3" t="s">
        <v>247</v>
      </c>
      <c r="L3" t="s">
        <v>248</v>
      </c>
      <c r="M3" t="s">
        <v>249</v>
      </c>
      <c r="N3" t="s">
        <v>250</v>
      </c>
      <c r="O3" s="837"/>
      <c r="Q3" s="841" t="s">
        <v>251</v>
      </c>
      <c r="R3" s="843">
        <v>450</v>
      </c>
      <c r="S3" s="842" t="s">
        <v>252</v>
      </c>
      <c r="W3" s="837"/>
    </row>
    <row r="4" spans="1:23" ht="14.5" x14ac:dyDescent="0.3">
      <c r="A4" s="452" t="s">
        <v>112</v>
      </c>
      <c r="B4">
        <f>J4+J18+J32</f>
        <v>1.4554793127355698E-7</v>
      </c>
      <c r="C4">
        <f>K4+K18+K32</f>
        <v>1.6978039354823565E-8</v>
      </c>
      <c r="D4">
        <f>L4+L18+L32</f>
        <v>9.7848803681621776E-10</v>
      </c>
      <c r="E4">
        <f>M4+M18+M32</f>
        <v>3.6788984145225677E-10</v>
      </c>
      <c r="F4">
        <f>N4+N18+N32</f>
        <v>1.8279159840694712E-10</v>
      </c>
      <c r="G4" s="160" t="s">
        <v>253</v>
      </c>
      <c r="I4" s="452" t="s">
        <v>112</v>
      </c>
      <c r="J4">
        <f>'all species output'!$M15</f>
        <v>2.6519442158497383E-8</v>
      </c>
      <c r="K4">
        <f>'all species output'!$N15</f>
        <v>1.7459110942303167E-10</v>
      </c>
      <c r="L4">
        <f>'all species output'!$O15</f>
        <v>4.8951619541864356E-13</v>
      </c>
      <c r="M4">
        <f>'all species output'!$P15</f>
        <v>7.8415026605826247E-15</v>
      </c>
      <c r="N4">
        <f>'all species output'!$Q15</f>
        <v>4.0606140613619743E-15</v>
      </c>
      <c r="O4" s="160" t="s">
        <v>113</v>
      </c>
      <c r="Q4" s="398"/>
      <c r="R4" t="s">
        <v>246</v>
      </c>
      <c r="S4" t="s">
        <v>247</v>
      </c>
      <c r="T4" t="s">
        <v>248</v>
      </c>
      <c r="U4" t="s">
        <v>249</v>
      </c>
      <c r="V4" t="s">
        <v>250</v>
      </c>
      <c r="W4" s="837"/>
    </row>
    <row r="5" spans="1:23" ht="14.5" x14ac:dyDescent="0.3">
      <c r="A5" s="104" t="s">
        <v>133</v>
      </c>
      <c r="B5">
        <f t="shared" ref="B5:C9" si="0">J5+J19+J33</f>
        <v>6.6957078007204188E-8</v>
      </c>
      <c r="C5">
        <f t="shared" si="0"/>
        <v>2.2325062540930276E-9</v>
      </c>
      <c r="G5" s="160" t="s">
        <v>210</v>
      </c>
      <c r="I5" s="104" t="s">
        <v>133</v>
      </c>
      <c r="J5">
        <f>'all species output'!$M23</f>
        <v>3.5371023498675498E-12</v>
      </c>
      <c r="K5">
        <f>'all species output'!$N23</f>
        <v>2.3267454676014914E-14</v>
      </c>
      <c r="O5" s="160" t="s">
        <v>134</v>
      </c>
      <c r="Q5" s="452" t="s">
        <v>112</v>
      </c>
      <c r="R5">
        <f>IF((RadP.a*2)&lt;bioavai.cutoff.diameter*0.000000001,'nano micro output'!B4,IF((RadA.w*2)&lt;bioavai.cutoff.diameter*0.000000001,'nano micro output'!J4+'nano micro output'!J18,IF((RadS*2)&lt;bioavai.cutoff.diameter*0.000000001,'nano micro output'!J4,0)))</f>
        <v>1.4545248641292405E-7</v>
      </c>
      <c r="S5">
        <f>IF((RadP.a*2)&lt;bioavai.cutoff.diameter*0.000000001,'nano micro output'!C4,IF((RadA.w*2)&lt;bioavai.cutoff.diameter*0.000000001,'nano micro output'!K4+'nano micro output'!K18,IF((RadS*2)&lt;bioavai.cutoff.diameter*0.000000001,'nano micro output'!K4,0)))</f>
        <v>1.6976974431792335E-8</v>
      </c>
      <c r="T5">
        <f>IF((RadP.a*2)&lt;bioavai.cutoff.diameter*0.000000001,'nano micro output'!D4,IF((RadA.w*2)&lt;bioavai.cutoff.diameter*0.000000001,'nano micro output'!L4+'nano micro output'!L18,IF((RadS*2)&lt;bioavai.cutoff.diameter*0.000000001,'nano micro output'!L4,0)))</f>
        <v>9.7848433744271594E-10</v>
      </c>
      <c r="U5">
        <f>IF((RadP.a*2)&lt;bioavai.cutoff.diameter*0.000000001,'nano micro output'!E4,IF((RadA.w*2)&lt;bioavai.cutoff.diameter*0.000000001,'nano micro output'!M4+'nano micro output'!M18,IF((RadS*2)&lt;bioavai.cutoff.diameter*0.000000001,'nano micro output'!M4,0)))</f>
        <v>3.6788967541679859E-10</v>
      </c>
      <c r="V5">
        <f>IF((RadP.a*2)&lt;bioavai.cutoff.diameter*0.000000001,'nano micro output'!F4,IF((RadA.w*2)&lt;bioavai.cutoff.diameter*0.000000001,'nano micro output'!N4+'nano micro output'!N18,IF((RadS*2)&lt;bioavai.cutoff.diameter*0.000000001,'nano micro output'!N4,0)))</f>
        <v>1.827915786501403E-10</v>
      </c>
      <c r="W5" s="160" t="s">
        <v>113</v>
      </c>
    </row>
    <row r="6" spans="1:23" ht="14.5" x14ac:dyDescent="0.3">
      <c r="A6" s="104" t="s">
        <v>150</v>
      </c>
      <c r="B6">
        <f t="shared" si="0"/>
        <v>1.2715715168373139E-6</v>
      </c>
      <c r="C6">
        <f t="shared" si="0"/>
        <v>2.7208247740033301E-8</v>
      </c>
      <c r="G6" s="160" t="s">
        <v>213</v>
      </c>
      <c r="I6" s="104" t="s">
        <v>150</v>
      </c>
      <c r="J6">
        <f>'all species output'!$M31</f>
        <v>9.8191477303904415E-18</v>
      </c>
      <c r="K6">
        <f>'all species output'!$N31</f>
        <v>1.8882590586454369E-20</v>
      </c>
      <c r="O6" s="160" t="s">
        <v>151</v>
      </c>
      <c r="Q6" s="104" t="s">
        <v>133</v>
      </c>
      <c r="R6">
        <f>IF((RadP.w*2)&lt;bioavai.cutoff.diameter*0.000000001,'nano micro output'!B5,IF((RadA.w*2)&lt;bioavai.cutoff.diameter*0.000000001,'nano micro output'!J5+'nano micro output'!J19,IF((RadS*2)&lt;bioavai.cutoff.diameter*0.000000001,'nano micro output'!J5,0)))</f>
        <v>6.6841127993701646E-8</v>
      </c>
      <c r="S6">
        <f>IF((RadP.w*2)&lt;bioavai.cutoff.diameter*0.000000001,'nano micro output'!C5,IF((RadA.w*2)&lt;bioavai.cutoff.diameter*0.000000001,'nano micro output'!K5+'nano micro output'!K19,IF((RadS*2)&lt;bioavai.cutoff.diameter*0.000000001,'nano micro output'!K5,0)))</f>
        <v>2.2313626571117391E-9</v>
      </c>
      <c r="W6" s="160" t="s">
        <v>134</v>
      </c>
    </row>
    <row r="7" spans="1:23" ht="14.5" x14ac:dyDescent="0.3">
      <c r="A7" s="104" t="s">
        <v>180</v>
      </c>
      <c r="B7">
        <f t="shared" si="0"/>
        <v>6.3164556305200927E-5</v>
      </c>
      <c r="C7">
        <f t="shared" si="0"/>
        <v>4.5667065131932157E-8</v>
      </c>
      <c r="G7" s="160" t="s">
        <v>210</v>
      </c>
      <c r="I7" s="104" t="s">
        <v>180</v>
      </c>
      <c r="J7">
        <f>'all species output'!$M39</f>
        <v>1.1870554485194249E-8</v>
      </c>
      <c r="K7">
        <f>'all species output'!$N39</f>
        <v>2.8859350401648248E-13</v>
      </c>
      <c r="O7" s="160" t="s">
        <v>134</v>
      </c>
      <c r="Q7" s="104" t="s">
        <v>150</v>
      </c>
      <c r="R7">
        <f>IF((RadP.w*2)&lt;bioavai.cutoff.diameter*0.000000001,'nano micro output'!B6,IF((RadA.w*2)&lt;bioavai.cutoff.diameter*0.000000001,'nano micro output'!J6+'nano micro output'!J20,IF((RadS*2)&lt;bioavai.cutoff.diameter*0.000000001,'nano micro output'!J6,0)))</f>
        <v>6.2336921895272918E-7</v>
      </c>
      <c r="S7">
        <f>IF((RadP.w*2)&lt;bioavai.cutoff.diameter*0.000000001,'nano micro output'!C6,IF((RadA.w*2)&lt;bioavai.cutoff.diameter*0.000000001,'nano micro output'!K6+'nano micro output'!K20,IF((RadS*2)&lt;bioavai.cutoff.diameter*0.000000001,'nano micro output'!K6,0)))</f>
        <v>2.0814127605557265E-8</v>
      </c>
      <c r="W7" s="160" t="s">
        <v>151</v>
      </c>
    </row>
    <row r="8" spans="1:23" ht="14.5" x14ac:dyDescent="0.3">
      <c r="A8" s="104" t="s">
        <v>185</v>
      </c>
      <c r="B8">
        <f t="shared" si="0"/>
        <v>2.3906383107613095E-3</v>
      </c>
      <c r="C8">
        <f t="shared" si="0"/>
        <v>4.1055096070929371E-7</v>
      </c>
      <c r="G8" s="160" t="s">
        <v>213</v>
      </c>
      <c r="I8" s="104" t="s">
        <v>185</v>
      </c>
      <c r="J8">
        <f>'all species output'!$M47</f>
        <v>2.6314566502840775E-14</v>
      </c>
      <c r="K8">
        <f>'all species output'!$N47</f>
        <v>2.1812013107973137E-19</v>
      </c>
      <c r="O8" s="160" t="s">
        <v>151</v>
      </c>
      <c r="Q8" s="104" t="s">
        <v>180</v>
      </c>
      <c r="R8">
        <f>IF((RadP.w*2)&lt;bioavai.cutoff.diameter*0.000000001,'nano micro output'!B7,IF((RadA.w*2)&lt;bioavai.cutoff.diameter*0.000000001,'nano micro output'!J7+'nano micro output'!J21,IF((RadS*2)&lt;bioavai.cutoff.diameter*0.000000001,'nano micro output'!J7,0)))</f>
        <v>6.275754549354871E-5</v>
      </c>
      <c r="S8">
        <f>IF((RadP.w*2)&lt;bioavai.cutoff.diameter*0.000000001,'nano micro output'!C7,IF((RadA.w*2)&lt;bioavai.cutoff.diameter*0.000000001,'nano micro output'!K7+'nano micro output'!K21,IF((RadS*2)&lt;bioavai.cutoff.diameter*0.000000001,'nano micro output'!K7,0)))</f>
        <v>4.565561821066332E-8</v>
      </c>
      <c r="W8" s="160" t="s">
        <v>134</v>
      </c>
    </row>
    <row r="9" spans="1:23" ht="14.5" x14ac:dyDescent="0.3">
      <c r="A9" s="104" t="s">
        <v>196</v>
      </c>
      <c r="B9">
        <f t="shared" si="0"/>
        <v>6.5829638621903195E-7</v>
      </c>
      <c r="C9">
        <f t="shared" si="0"/>
        <v>1.1045624357699198E-11</v>
      </c>
      <c r="D9">
        <f t="shared" ref="D9:F11" si="1">L9+L23+L37</f>
        <v>1.4534909093110931E-12</v>
      </c>
      <c r="E9">
        <f t="shared" si="1"/>
        <v>4.6034718830403475E-13</v>
      </c>
      <c r="F9">
        <f t="shared" si="1"/>
        <v>3.0565093954623557E-13</v>
      </c>
      <c r="G9" s="160" t="s">
        <v>210</v>
      </c>
      <c r="I9" s="104" t="s">
        <v>196</v>
      </c>
      <c r="J9">
        <f>'all species output'!$M55</f>
        <v>5.2486419327473147E-12</v>
      </c>
      <c r="K9">
        <f>'all species output'!$N55</f>
        <v>1.5517958329465811E-15</v>
      </c>
      <c r="L9">
        <f>'all species output'!$O55</f>
        <v>5.6966304754666415E-18</v>
      </c>
      <c r="M9">
        <f>'all species output'!$P55</f>
        <v>8.233475365540091E-20</v>
      </c>
      <c r="N9">
        <f>'all species output'!$Q55</f>
        <v>5.1034724296603755E-20</v>
      </c>
      <c r="O9" s="160" t="s">
        <v>134</v>
      </c>
      <c r="Q9" s="104" t="s">
        <v>185</v>
      </c>
      <c r="R9">
        <f>IF((RadP.w*2)&lt;bioavai.cutoff.diameter*0.000000001,'nano micro output'!B8,IF((RadA.w*2)&lt;bioavai.cutoff.diameter*0.000000001,'nano micro output'!J8+'nano micro output'!J22,IF((RadS*2)&lt;bioavai.cutoff.diameter*0.000000001,'nano micro output'!J8,0)))</f>
        <v>4.8907347237323875E-4</v>
      </c>
      <c r="S9">
        <f>IF((RadP.w*2)&lt;bioavai.cutoff.diameter*0.000000001,'nano micro output'!C8,IF((RadA.w*2)&lt;bioavai.cutoff.diameter*0.000000001,'nano micro output'!K8+'nano micro output'!K22,IF((RadS*2)&lt;bioavai.cutoff.diameter*0.000000001,'nano micro output'!K8,0)))</f>
        <v>3.5691272572273396E-7</v>
      </c>
      <c r="W9" s="160" t="s">
        <v>151</v>
      </c>
    </row>
    <row r="10" spans="1:23" ht="14.5" x14ac:dyDescent="0.3">
      <c r="A10" s="104" t="s">
        <v>209</v>
      </c>
      <c r="D10">
        <f t="shared" si="1"/>
        <v>1.0241718679661629E-15</v>
      </c>
      <c r="E10">
        <f t="shared" si="1"/>
        <v>3.5046670983078436E-16</v>
      </c>
      <c r="F10">
        <f t="shared" si="1"/>
        <v>1.9655447358636473E-16</v>
      </c>
      <c r="G10" s="160" t="s">
        <v>210</v>
      </c>
      <c r="I10" s="104" t="s">
        <v>209</v>
      </c>
      <c r="L10">
        <f>'all species output'!$O63</f>
        <v>7.8883700505142356E-24</v>
      </c>
      <c r="M10">
        <f>'all species output'!$P63</f>
        <v>1.3347431336843696E-25</v>
      </c>
      <c r="N10">
        <f>'all species output'!$Q63</f>
        <v>6.1671493905659077E-26</v>
      </c>
      <c r="O10" s="160" t="s">
        <v>134</v>
      </c>
      <c r="Q10" s="104" t="s">
        <v>196</v>
      </c>
      <c r="R10">
        <f>IF((RadP.w*2)&lt;bioavai.cutoff.diameter*0.000000001,'nano micro output'!B9,IF((RadA.w*2)&lt;bioavai.cutoff.diameter*0.000000001,'nano micro output'!J9+'nano micro output'!J23,IF((RadS*2)&lt;bioavai.cutoff.diameter*0.000000001,'nano micro output'!J9,0)))</f>
        <v>6.5479704593500827E-7</v>
      </c>
      <c r="S10">
        <f>IF((RadP.w*2)&lt;bioavai.cutoff.diameter*0.000000001,'nano micro output'!C9,IF((RadA.w*2)&lt;bioavai.cutoff.diameter*0.000000001,'nano micro output'!K9+'nano micro output'!K23,IF((RadS*2)&lt;bioavai.cutoff.diameter*0.000000001,'nano micro output'!K9,0)))</f>
        <v>1.101719134279917E-11</v>
      </c>
      <c r="T10">
        <f>IF((RadP.w*2)&lt;bioavai.cutoff.diameter*0.000000001,'nano micro output'!D9,IF((RadA.w*2)&lt;bioavai.cutoff.diameter*0.000000001,'nano micro output'!L9+'nano micro output'!L23,IF((RadS*2)&lt;bioavai.cutoff.diameter*0.000000001,'nano micro output'!L9,0)))</f>
        <v>1.4533424573762292E-12</v>
      </c>
      <c r="U10">
        <f>IF((RadP.w*2)&lt;bioavai.cutoff.diameter*0.000000001,'nano micro output'!E9,IF((RadA.w*2)&lt;bioavai.cutoff.diameter*0.000000001,'nano micro output'!M9+'nano micro output'!M23,IF((RadS*2)&lt;bioavai.cutoff.diameter*0.000000001,'nano micro output'!M9,0)))</f>
        <v>4.6034432819408787E-13</v>
      </c>
      <c r="V10">
        <f>IF((RadP.w*2)&lt;bioavai.cutoff.diameter*0.000000001,'nano micro output'!F9,IF((RadA.w*2)&lt;bioavai.cutoff.diameter*0.000000001,'nano micro output'!N9+'nano micro output'!N23,IF((RadS*2)&lt;bioavai.cutoff.diameter*0.000000001,'nano micro output'!N9,0)))</f>
        <v>3.0564962331113837E-13</v>
      </c>
      <c r="W10" s="160" t="s">
        <v>134</v>
      </c>
    </row>
    <row r="11" spans="1:23" ht="14.5" x14ac:dyDescent="0.3">
      <c r="A11" s="104" t="s">
        <v>212</v>
      </c>
      <c r="B11">
        <f t="shared" ref="B11:C14" si="2">J11+J25+J39</f>
        <v>2.9320597245030565E-7</v>
      </c>
      <c r="C11">
        <f t="shared" si="2"/>
        <v>2.9891428559296834E-12</v>
      </c>
      <c r="D11">
        <f t="shared" si="1"/>
        <v>1.2360864755167643E-16</v>
      </c>
      <c r="E11">
        <f t="shared" si="1"/>
        <v>3.7626006490689226E-17</v>
      </c>
      <c r="F11">
        <f t="shared" si="1"/>
        <v>2.1063663889726529E-17</v>
      </c>
      <c r="G11" s="160" t="s">
        <v>213</v>
      </c>
      <c r="I11" s="104" t="s">
        <v>212</v>
      </c>
      <c r="J11">
        <f>'all species output'!$M71</f>
        <v>6.8992963963999975E-18</v>
      </c>
      <c r="K11">
        <f>'all species output'!$N71</f>
        <v>8.971833563710961E-22</v>
      </c>
      <c r="L11">
        <f>'all species output'!$O71</f>
        <v>4.5607251727046114E-30</v>
      </c>
      <c r="M11">
        <f>'all species output'!$P71</f>
        <v>7.8489273861998663E-32</v>
      </c>
      <c r="N11">
        <f>'all species output'!$Q71</f>
        <v>3.5300876791175342E-32</v>
      </c>
      <c r="O11" s="160" t="s">
        <v>151</v>
      </c>
      <c r="Q11" s="104" t="s">
        <v>209</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1.0239444076528505E-15</v>
      </c>
      <c r="U11">
        <f>IF((RadP.w*2)&lt;bioavai.cutoff.diameter*0.000000001,'nano micro output'!E10,IF((RadA.w*2)&lt;bioavai.cutoff.diameter*0.000000001,'nano micro output'!M10+'nano micro output'!M24,IF((RadS*2)&lt;bioavai.cutoff.diameter*0.000000001,'nano micro output'!M10,0)))</f>
        <v>3.5046216562593227E-16</v>
      </c>
      <c r="V11">
        <f>IF((RadP.w*2)&lt;bioavai.cutoff.diameter*0.000000001,'nano micro output'!F10,IF((RadA.w*2)&lt;bioavai.cutoff.diameter*0.000000001,'nano micro output'!N10+'nano micro output'!N24,IF((RadS*2)&lt;bioavai.cutoff.diameter*0.000000001,'nano micro output'!N10,0)))</f>
        <v>1.9655252692292125E-16</v>
      </c>
      <c r="W11" s="160" t="s">
        <v>134</v>
      </c>
    </row>
    <row r="12" spans="1:23" ht="14.5" x14ac:dyDescent="0.3">
      <c r="A12" s="104" t="s">
        <v>214</v>
      </c>
      <c r="B12">
        <f t="shared" si="2"/>
        <v>4.0042645540520325E-7</v>
      </c>
      <c r="C12">
        <f t="shared" si="2"/>
        <v>1.9537460955833965E-8</v>
      </c>
      <c r="G12" s="160" t="s">
        <v>213</v>
      </c>
      <c r="I12" s="104" t="s">
        <v>214</v>
      </c>
      <c r="J12">
        <f>'all species output'!$M79</f>
        <v>4.2970869180136627E-11</v>
      </c>
      <c r="K12">
        <f>'all species output'!$N79</f>
        <v>2.8289930377091687E-13</v>
      </c>
      <c r="O12" s="160" t="s">
        <v>151</v>
      </c>
      <c r="Q12" s="104" t="s">
        <v>212</v>
      </c>
      <c r="R12">
        <f>IF((RadP.w*2)&lt;bioavai.cutoff.diameter*0.000000001,'nano micro output'!B11,IF((RadA.w*2)&lt;bioavai.cutoff.diameter*0.000000001,'nano micro output'!J11+'nano micro output'!J25,IF((RadS*2)&lt;bioavai.cutoff.diameter*0.000000001,'nano micro output'!J11,0)))</f>
        <v>6.9756090442205715E-8</v>
      </c>
      <c r="S12">
        <f>IF((RadP.w*2)&lt;bioavai.cutoff.diameter*0.000000001,'nano micro output'!C11,IF((RadA.w*2)&lt;bioavai.cutoff.diameter*0.000000001,'nano micro output'!K11+'nano micro output'!K25,IF((RadS*2)&lt;bioavai.cutoff.diameter*0.000000001,'nano micro output'!K11,0)))</f>
        <v>1.1735310618496853E-12</v>
      </c>
      <c r="T12">
        <f>IF((RadP.w*2)&lt;bioavai.cutoff.diameter*0.000000001,'nano micro output'!D11,IF((RadA.w*2)&lt;bioavai.cutoff.diameter*0.000000001,'nano micro output'!L11+'nano micro output'!L25,IF((RadS*2)&lt;bioavai.cutoff.diameter*0.000000001,'nano micro output'!L11,0)))</f>
        <v>1.0908400653803241E-16</v>
      </c>
      <c r="U12">
        <f>IF((RadP.w*2)&lt;bioavai.cutoff.diameter*0.000000001,'nano micro output'!E11,IF((RadA.w*2)&lt;bioavai.cutoff.diameter*0.000000001,'nano micro output'!M11+'nano micro output'!M25,IF((RadS*2)&lt;bioavai.cutoff.diameter*0.000000001,'nano micro output'!M11,0)))</f>
        <v>3.7335833039311924E-17</v>
      </c>
      <c r="V12">
        <f>IF((RadP.w*2)&lt;bioavai.cutoff.diameter*0.000000001,'nano micro output'!F11,IF((RadA.w*2)&lt;bioavai.cutoff.diameter*0.000000001,'nano micro output'!N11+'nano micro output'!N25,IF((RadS*2)&lt;bioavai.cutoff.diameter*0.000000001,'nano micro output'!N11,0)))</f>
        <v>2.0939358294160337E-17</v>
      </c>
      <c r="W12" s="160" t="s">
        <v>151</v>
      </c>
    </row>
    <row r="13" spans="1:23" ht="14.5" x14ac:dyDescent="0.3">
      <c r="A13" s="104" t="s">
        <v>216</v>
      </c>
      <c r="B13">
        <f t="shared" si="2"/>
        <v>1.4837761872880255E-6</v>
      </c>
      <c r="C13">
        <f t="shared" si="2"/>
        <v>4.9589492115452595E-9</v>
      </c>
      <c r="G13" s="160" t="s">
        <v>213</v>
      </c>
      <c r="I13" s="104" t="s">
        <v>216</v>
      </c>
      <c r="J13">
        <f>'all species output'!$M87</f>
        <v>3.6900975604465776E-10</v>
      </c>
      <c r="K13">
        <f>'all species output'!$N87</f>
        <v>1.1314917146525312E-13</v>
      </c>
      <c r="O13" s="160" t="s">
        <v>151</v>
      </c>
      <c r="Q13" s="104" t="s">
        <v>214</v>
      </c>
      <c r="R13">
        <f>IF((RadP.w*2)&lt;bioavai.cutoff.diameter*0.000000001,'nano micro output'!B12,IF((RadA.w*2)&lt;bioavai.cutoff.diameter*0.000000001,'nano micro output'!J12+'nano micro output'!J26,IF((RadS*2)&lt;bioavai.cutoff.diameter*0.000000001,'nano micro output'!J12,0)))</f>
        <v>3.283418314486001E-7</v>
      </c>
      <c r="S13">
        <f>IF((RadP.w*2)&lt;bioavai.cutoff.diameter*0.000000001,'nano micro output'!C12,IF((RadA.w*2)&lt;bioavai.cutoff.diameter*0.000000001,'nano micro output'!K12+'nano micro output'!K26,IF((RadS*2)&lt;bioavai.cutoff.diameter*0.000000001,'nano micro output'!K12,0)))</f>
        <v>1.9023348228677263E-8</v>
      </c>
      <c r="W13" s="160" t="s">
        <v>151</v>
      </c>
    </row>
    <row r="14" spans="1:23" ht="14.5" x14ac:dyDescent="0.3">
      <c r="A14" s="838" t="s">
        <v>217</v>
      </c>
      <c r="B14" s="487">
        <f t="shared" si="2"/>
        <v>4.0042622888968775E-7</v>
      </c>
      <c r="C14" s="487">
        <f t="shared" si="2"/>
        <v>1.9537459464565985E-8</v>
      </c>
      <c r="D14" s="487">
        <f>L14+L28+L42</f>
        <v>2.0446843855663243E-9</v>
      </c>
      <c r="E14" s="487">
        <f>M14+M28+M42</f>
        <v>5.5803470947070478E-10</v>
      </c>
      <c r="F14" s="487">
        <f>N14+N28+N42</f>
        <v>4.6302861040678133E-10</v>
      </c>
      <c r="G14" s="839" t="s">
        <v>213</v>
      </c>
      <c r="I14" s="838" t="s">
        <v>217</v>
      </c>
      <c r="J14" s="487">
        <f>'all species output'!$M95</f>
        <v>7.6383027692241445E-11</v>
      </c>
      <c r="K14" s="487">
        <f>'all species output'!$N95</f>
        <v>5.0286870538886946E-13</v>
      </c>
      <c r="L14" s="487">
        <f>'all species output'!$O95</f>
        <v>1.0949567473959977E-15</v>
      </c>
      <c r="M14" s="487">
        <f>'all species output'!$P95</f>
        <v>1.4841096435493152E-17</v>
      </c>
      <c r="N14" s="487">
        <f>'all species output'!$Q95</f>
        <v>1.0162366080875997E-17</v>
      </c>
      <c r="O14" s="839" t="s">
        <v>151</v>
      </c>
      <c r="Q14" s="104" t="s">
        <v>216</v>
      </c>
      <c r="R14">
        <f>IF((RadP.w*2)&lt;bioavai.cutoff.diameter*0.000000001,'nano micro output'!B13,IF((RadA.w*2)&lt;bioavai.cutoff.diameter*0.000000001,'nano micro output'!J13+'nano micro output'!J27,IF((RadS*2)&lt;bioavai.cutoff.diameter*0.000000001,'nano micro output'!J13,0)))</f>
        <v>1.1411248340574126E-6</v>
      </c>
      <c r="S14">
        <f>IF((RadP.w*2)&lt;bioavai.cutoff.diameter*0.000000001,'nano micro output'!C13,IF((RadA.w*2)&lt;bioavai.cutoff.diameter*0.000000001,'nano micro output'!K13+'nano micro output'!K27,IF((RadS*2)&lt;bioavai.cutoff.diameter*0.000000001,'nano micro output'!K13,0)))</f>
        <v>4.830430387821443E-9</v>
      </c>
      <c r="W14" s="160" t="s">
        <v>151</v>
      </c>
    </row>
    <row r="15" spans="1:23" ht="14.5" x14ac:dyDescent="0.3">
      <c r="Q15" s="838" t="s">
        <v>217</v>
      </c>
      <c r="R15" s="487">
        <f>IF((RadP.w*2)&lt;bioavai.cutoff.diameter*0.000000001,'nano micro output'!B14,IF((RadA.w*2)&lt;bioavai.cutoff.diameter*0.000000001,'nano micro output'!J14+'nano micro output'!J28,IF((RadS*2)&lt;bioavai.cutoff.diameter*0.000000001,'nano micro output'!J14,0)))</f>
        <v>3.2834960092280923E-7</v>
      </c>
      <c r="S15" s="487">
        <f>IF((RadP.w*2)&lt;bioavai.cutoff.diameter*0.000000001,'nano micro output'!C14,IF((RadA.w*2)&lt;bioavai.cutoff.diameter*0.000000001,'nano micro output'!K14+'nano micro output'!K28,IF((RadS*2)&lt;bioavai.cutoff.diameter*0.000000001,'nano micro output'!K14,0)))</f>
        <v>1.9023399379116776E-8</v>
      </c>
      <c r="T15" s="487">
        <f>IF((RadP.w*2)&lt;bioavai.cutoff.diameter*0.000000001,'nano micro output'!D14,IF((RadA.w*2)&lt;bioavai.cutoff.diameter*0.000000001,'nano micro output'!L14+'nano micro output'!L28,IF((RadS*2)&lt;bioavai.cutoff.diameter*0.000000001,'nano micro output'!L14,0)))</f>
        <v>2.042732780651399E-9</v>
      </c>
      <c r="U15" s="487">
        <f>IF((RadP.w*2)&lt;bioavai.cutoff.diameter*0.000000001,'nano micro output'!E14,IF((RadA.w*2)&lt;bioavai.cutoff.diameter*0.000000001,'nano micro output'!M14+'nano micro output'!M28,IF((RadS*2)&lt;bioavai.cutoff.diameter*0.000000001,'nano micro output'!M14,0)))</f>
        <v>5.5800720550108438E-10</v>
      </c>
      <c r="V15" s="487">
        <f>IF((RadP.w*2)&lt;bioavai.cutoff.diameter*0.000000001,'nano micro output'!F14,IF((RadA.w*2)&lt;bioavai.cutoff.diameter*0.000000001,'nano micro output'!N14+'nano micro output'!N28,IF((RadS*2)&lt;bioavai.cutoff.diameter*0.000000001,'nano micro output'!N14,0)))</f>
        <v>4.6301033981374643E-10</v>
      </c>
      <c r="W15" s="839" t="s">
        <v>151</v>
      </c>
    </row>
    <row r="16" spans="1:23" x14ac:dyDescent="0.3">
      <c r="I16" s="835" t="s">
        <v>254</v>
      </c>
      <c r="J16" s="633"/>
      <c r="K16" s="633"/>
      <c r="L16" s="633"/>
      <c r="M16" s="633"/>
      <c r="N16" s="633"/>
      <c r="O16" s="836"/>
    </row>
    <row r="17" spans="9:15" x14ac:dyDescent="0.3">
      <c r="I17" s="398"/>
      <c r="J17" t="s">
        <v>246</v>
      </c>
      <c r="K17" t="s">
        <v>247</v>
      </c>
      <c r="L17" t="s">
        <v>248</v>
      </c>
      <c r="M17" t="s">
        <v>249</v>
      </c>
      <c r="N17" t="s">
        <v>250</v>
      </c>
      <c r="O17" s="837"/>
    </row>
    <row r="18" spans="9:15" ht="14.5" x14ac:dyDescent="0.3">
      <c r="I18" s="452" t="s">
        <v>112</v>
      </c>
      <c r="J18">
        <f>'all species output'!$M16</f>
        <v>1.1893304425442666E-7</v>
      </c>
      <c r="K18">
        <f>'all species output'!$N16</f>
        <v>1.6802383322369305E-8</v>
      </c>
      <c r="L18">
        <f>'all species output'!$O16</f>
        <v>9.7799482124729739E-10</v>
      </c>
      <c r="M18">
        <f>'all species output'!$P16</f>
        <v>3.6788183391413802E-10</v>
      </c>
      <c r="N18">
        <f>'all species output'!$Q16</f>
        <v>1.8278751803607893E-10</v>
      </c>
      <c r="O18" s="160" t="s">
        <v>113</v>
      </c>
    </row>
    <row r="19" spans="9:15" ht="14.5" x14ac:dyDescent="0.3">
      <c r="I19" s="104" t="s">
        <v>133</v>
      </c>
      <c r="J19">
        <f>'all species output'!$M24</f>
        <v>6.6837590891351777E-8</v>
      </c>
      <c r="K19">
        <f>'all species output'!$N24</f>
        <v>2.2313393896570632E-9</v>
      </c>
      <c r="O19" s="160" t="s">
        <v>134</v>
      </c>
    </row>
    <row r="20" spans="9:15" ht="14.5" x14ac:dyDescent="0.3">
      <c r="I20" s="104" t="s">
        <v>150</v>
      </c>
      <c r="J20">
        <f>'all species output'!$M32</f>
        <v>6.2336921894291006E-7</v>
      </c>
      <c r="K20">
        <f>'all species output'!$N32</f>
        <v>2.0814127605538382E-8</v>
      </c>
      <c r="O20" s="160" t="s">
        <v>151</v>
      </c>
    </row>
    <row r="21" spans="9:15" ht="14.5" x14ac:dyDescent="0.3">
      <c r="I21" s="104" t="s">
        <v>180</v>
      </c>
      <c r="J21">
        <f>'all species output'!$M40</f>
        <v>6.2745674939063511E-5</v>
      </c>
      <c r="K21">
        <f>'all species output'!$N40</f>
        <v>4.5655329617159306E-8</v>
      </c>
      <c r="O21" s="160" t="s">
        <v>134</v>
      </c>
    </row>
    <row r="22" spans="9:15" ht="14.5" x14ac:dyDescent="0.3">
      <c r="I22" s="104" t="s">
        <v>185</v>
      </c>
      <c r="J22">
        <f>'all species output'!$M48</f>
        <v>4.8907347234692419E-4</v>
      </c>
      <c r="K22">
        <f>'all species output'!$N48</f>
        <v>3.5691272572251584E-7</v>
      </c>
      <c r="O22" s="160" t="s">
        <v>151</v>
      </c>
    </row>
    <row r="23" spans="9:15" ht="14.5" x14ac:dyDescent="0.3">
      <c r="I23" s="104" t="s">
        <v>196</v>
      </c>
      <c r="J23">
        <f>'all species output'!$M56</f>
        <v>6.5479179729307547E-7</v>
      </c>
      <c r="K23">
        <f>'all species output'!$N56</f>
        <v>1.1015639546966224E-11</v>
      </c>
      <c r="L23">
        <f>'all species output'!$O56</f>
        <v>1.4533367607457538E-12</v>
      </c>
      <c r="M23">
        <f>'all species output'!$P56</f>
        <v>4.6034424585933425E-13</v>
      </c>
      <c r="N23">
        <f>'all species output'!$Q56</f>
        <v>3.0564957227641405E-13</v>
      </c>
      <c r="O23" s="160" t="s">
        <v>134</v>
      </c>
    </row>
    <row r="24" spans="9:15" ht="14.5" x14ac:dyDescent="0.3">
      <c r="I24" s="104" t="s">
        <v>209</v>
      </c>
      <c r="L24">
        <f>'all species output'!$O64</f>
        <v>1.0239443997644805E-15</v>
      </c>
      <c r="M24">
        <f>'all species output'!$P64</f>
        <v>3.5046216549245794E-16</v>
      </c>
      <c r="N24">
        <f>'all species output'!$Q64</f>
        <v>1.9655252686124976E-16</v>
      </c>
      <c r="O24" s="160" t="s">
        <v>134</v>
      </c>
    </row>
    <row r="25" spans="9:15" ht="14.5" x14ac:dyDescent="0.3">
      <c r="I25" s="104" t="s">
        <v>212</v>
      </c>
      <c r="J25">
        <f>'all species output'!$M72</f>
        <v>6.9756090435306419E-8</v>
      </c>
      <c r="K25">
        <f>'all species output'!$N72</f>
        <v>1.1735310609525019E-12</v>
      </c>
      <c r="L25">
        <f>'all species output'!$O72</f>
        <v>1.0908400653802785E-16</v>
      </c>
      <c r="M25">
        <f>'all species output'!$P72</f>
        <v>3.7335833039311844E-17</v>
      </c>
      <c r="N25">
        <f>'all species output'!$Q72</f>
        <v>2.0939358294160303E-17</v>
      </c>
      <c r="O25" s="160" t="s">
        <v>151</v>
      </c>
    </row>
    <row r="26" spans="9:15" ht="14.5" x14ac:dyDescent="0.3">
      <c r="I26" s="104" t="s">
        <v>214</v>
      </c>
      <c r="J26">
        <f>'all species output'!$M80</f>
        <v>3.2829886057941997E-7</v>
      </c>
      <c r="K26">
        <f>'all species output'!$N80</f>
        <v>1.9023065329373492E-8</v>
      </c>
      <c r="O26" s="160" t="s">
        <v>151</v>
      </c>
    </row>
    <row r="27" spans="9:15" ht="14.5" x14ac:dyDescent="0.3">
      <c r="I27" s="104" t="s">
        <v>216</v>
      </c>
      <c r="J27">
        <f>'all species output'!$M88</f>
        <v>1.140755824301368E-6</v>
      </c>
      <c r="K27">
        <f>'all species output'!$N88</f>
        <v>4.830317238649978E-9</v>
      </c>
      <c r="O27" s="160" t="s">
        <v>151</v>
      </c>
    </row>
    <row r="28" spans="9:15" ht="14.5" x14ac:dyDescent="0.3">
      <c r="I28" s="838" t="s">
        <v>217</v>
      </c>
      <c r="J28" s="487">
        <f>'all species output'!$M96</f>
        <v>3.2827321789511698E-7</v>
      </c>
      <c r="K28" s="487">
        <f>'all species output'!$N96</f>
        <v>1.9022896510411388E-8</v>
      </c>
      <c r="L28" s="487">
        <f>'all species output'!$O96</f>
        <v>2.0427316856946514E-9</v>
      </c>
      <c r="M28" s="487">
        <f>'all species output'!$P96</f>
        <v>5.5800719065998799E-10</v>
      </c>
      <c r="N28" s="487">
        <f>'all species output'!$Q96</f>
        <v>4.6301032965138035E-10</v>
      </c>
      <c r="O28" s="839" t="s">
        <v>151</v>
      </c>
    </row>
    <row r="30" spans="9:15" x14ac:dyDescent="0.3">
      <c r="I30" s="835" t="s">
        <v>255</v>
      </c>
      <c r="J30" s="633"/>
      <c r="K30" s="633"/>
      <c r="L30" s="633"/>
      <c r="M30" s="633"/>
      <c r="N30" s="633"/>
      <c r="O30" s="836"/>
    </row>
    <row r="31" spans="9:15" x14ac:dyDescent="0.3">
      <c r="I31" s="398"/>
      <c r="J31" t="s">
        <v>246</v>
      </c>
      <c r="K31" t="s">
        <v>247</v>
      </c>
      <c r="L31" t="s">
        <v>248</v>
      </c>
      <c r="M31" t="s">
        <v>249</v>
      </c>
      <c r="N31" t="s">
        <v>250</v>
      </c>
      <c r="O31" s="837"/>
    </row>
    <row r="32" spans="9:15" ht="14.5" x14ac:dyDescent="0.3">
      <c r="I32" s="452" t="s">
        <v>112</v>
      </c>
      <c r="J32">
        <f>'all species output'!$M17</f>
        <v>9.5444860632940946E-11</v>
      </c>
      <c r="K32">
        <f>'all species output'!$N17</f>
        <v>1.0649230312302365E-12</v>
      </c>
      <c r="L32">
        <f>'all species output'!$O17</f>
        <v>3.6993735019024289E-15</v>
      </c>
      <c r="M32">
        <f>'all species output'!$P17</f>
        <v>1.6603545818510658E-16</v>
      </c>
      <c r="N32">
        <f>'all species output'!$Q17</f>
        <v>1.9756806806419309E-17</v>
      </c>
      <c r="O32" s="160" t="s">
        <v>113</v>
      </c>
    </row>
    <row r="33" spans="9:15" ht="14.5" x14ac:dyDescent="0.3">
      <c r="I33" s="104" t="s">
        <v>133</v>
      </c>
      <c r="J33">
        <f>'all species output'!$M25</f>
        <v>1.1595001350254124E-10</v>
      </c>
      <c r="K33">
        <f>'all species output'!$N25</f>
        <v>1.1435969812884285E-12</v>
      </c>
      <c r="O33" s="160" t="s">
        <v>134</v>
      </c>
    </row>
    <row r="34" spans="9:15" ht="14.5" x14ac:dyDescent="0.3">
      <c r="I34" s="104" t="s">
        <v>150</v>
      </c>
      <c r="J34">
        <f>'all species output'!$M33</f>
        <v>6.4820229788458474E-7</v>
      </c>
      <c r="K34">
        <f>'all species output'!$N33</f>
        <v>6.3941201344760346E-9</v>
      </c>
      <c r="O34" s="160" t="s">
        <v>151</v>
      </c>
    </row>
    <row r="35" spans="9:15" ht="14.5" x14ac:dyDescent="0.3">
      <c r="I35" s="104" t="s">
        <v>180</v>
      </c>
      <c r="J35">
        <f>'all species output'!$M41</f>
        <v>4.0701081165221957E-7</v>
      </c>
      <c r="K35">
        <f>'all species output'!$N41</f>
        <v>1.1446921268834868E-11</v>
      </c>
      <c r="O35" s="160" t="s">
        <v>134</v>
      </c>
    </row>
    <row r="36" spans="9:15" ht="14.5" x14ac:dyDescent="0.3">
      <c r="I36" s="104" t="s">
        <v>185</v>
      </c>
      <c r="J36">
        <f>'all species output'!$M49</f>
        <v>1.9015648383880709E-3</v>
      </c>
      <c r="K36">
        <f>'all species output'!$N49</f>
        <v>5.3638234986559777E-8</v>
      </c>
      <c r="O36" s="160" t="s">
        <v>151</v>
      </c>
    </row>
    <row r="37" spans="9:15" ht="14.5" x14ac:dyDescent="0.3">
      <c r="I37" s="104" t="s">
        <v>196</v>
      </c>
      <c r="J37">
        <f>'all species output'!$M57</f>
        <v>3.4993402840236526E-9</v>
      </c>
      <c r="K37">
        <f>'all species output'!$N57</f>
        <v>2.8433014900028123E-14</v>
      </c>
      <c r="L37">
        <f>'all species output'!$O57</f>
        <v>1.4845193486394723E-16</v>
      </c>
      <c r="M37">
        <f>'all species output'!$P57</f>
        <v>2.860109946905354E-18</v>
      </c>
      <c r="N37">
        <f>'all species output'!$Q57</f>
        <v>1.3162350972071257E-18</v>
      </c>
      <c r="O37" s="160" t="s">
        <v>134</v>
      </c>
    </row>
    <row r="38" spans="9:15" ht="14.5" x14ac:dyDescent="0.3">
      <c r="I38" s="104" t="s">
        <v>209</v>
      </c>
      <c r="L38">
        <f>'all species output'!$O65</f>
        <v>2.2746031331231292E-19</v>
      </c>
      <c r="M38">
        <f>'all species output'!$P65</f>
        <v>4.544204852100191E-21</v>
      </c>
      <c r="N38">
        <f>'all species output'!$Q65</f>
        <v>1.9466634434633247E-21</v>
      </c>
      <c r="O38" s="160" t="s">
        <v>134</v>
      </c>
    </row>
    <row r="39" spans="9:15" ht="14.5" x14ac:dyDescent="0.3">
      <c r="I39" s="104" t="s">
        <v>212</v>
      </c>
      <c r="J39">
        <f>'all species output'!$M73</f>
        <v>2.2344988200809994E-7</v>
      </c>
      <c r="K39">
        <f>'all species output'!$N73</f>
        <v>1.8156117940799982E-12</v>
      </c>
      <c r="L39">
        <f>'all species output'!$O73</f>
        <v>1.4524641013644019E-17</v>
      </c>
      <c r="M39">
        <f>'all species output'!$P73</f>
        <v>2.9017345137730042E-19</v>
      </c>
      <c r="N39">
        <f>'all species output'!$Q73</f>
        <v>1.2430559556619089E-19</v>
      </c>
      <c r="O39" s="160" t="s">
        <v>151</v>
      </c>
    </row>
    <row r="40" spans="9:15" ht="14.5" x14ac:dyDescent="0.3">
      <c r="I40" s="104" t="s">
        <v>214</v>
      </c>
      <c r="J40">
        <f>'all species output'!$M81</f>
        <v>7.2084623956603126E-8</v>
      </c>
      <c r="K40">
        <f>'all species output'!$N81</f>
        <v>5.1411272715670019E-10</v>
      </c>
      <c r="O40" s="160" t="s">
        <v>151</v>
      </c>
    </row>
    <row r="41" spans="9:15" ht="14.5" x14ac:dyDescent="0.3">
      <c r="I41" s="104" t="s">
        <v>216</v>
      </c>
      <c r="J41">
        <f>'all species output'!$M89</f>
        <v>3.4265135323061287E-7</v>
      </c>
      <c r="K41">
        <f>'all species output'!$N89</f>
        <v>1.2851882372381639E-10</v>
      </c>
      <c r="O41" s="160" t="s">
        <v>151</v>
      </c>
    </row>
    <row r="42" spans="9:15" ht="14.5" x14ac:dyDescent="0.3">
      <c r="I42" s="838" t="s">
        <v>217</v>
      </c>
      <c r="J42" s="487">
        <f>'all species output'!$M97</f>
        <v>7.2076627966878502E-8</v>
      </c>
      <c r="K42" s="487">
        <f>'all species output'!$N97</f>
        <v>5.1406008544920855E-10</v>
      </c>
      <c r="L42" s="487">
        <f>'all species output'!$O97</f>
        <v>1.9516049149251989E-12</v>
      </c>
      <c r="M42" s="487">
        <f>'all species output'!$P97</f>
        <v>2.7503969620399335E-14</v>
      </c>
      <c r="N42" s="487">
        <f>'all species output'!$Q97</f>
        <v>1.8270593034878473E-14</v>
      </c>
      <c r="O42" s="839" t="s">
        <v>151</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zoomScaleNormal="100" workbookViewId="0">
      <selection activeCell="N8" sqref="N8"/>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256</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257</v>
      </c>
      <c r="B3" s="147"/>
      <c r="C3" s="147"/>
      <c r="D3" s="147"/>
      <c r="E3" s="147"/>
      <c r="F3" s="147"/>
      <c r="G3" s="148" t="s">
        <v>258</v>
      </c>
      <c r="H3" s="148"/>
      <c r="I3" s="150" t="s">
        <v>259</v>
      </c>
      <c r="J3" s="150"/>
      <c r="K3" s="150" t="s">
        <v>260</v>
      </c>
      <c r="L3" s="150" t="s">
        <v>261</v>
      </c>
      <c r="M3" s="147"/>
      <c r="N3" s="148" t="s">
        <v>262</v>
      </c>
      <c r="O3" s="271" t="s">
        <v>263</v>
      </c>
      <c r="P3" s="411" t="s">
        <v>264</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4.9" customHeight="1" x14ac:dyDescent="0.3">
      <c r="A5" s="144" t="s">
        <v>61</v>
      </c>
      <c r="B5" s="17"/>
      <c r="C5" s="17"/>
      <c r="D5" s="17"/>
      <c r="E5" s="17"/>
      <c r="F5" s="17"/>
      <c r="G5" s="144" t="s">
        <v>265</v>
      </c>
      <c r="H5" s="992" t="s">
        <v>4258</v>
      </c>
      <c r="I5" s="993"/>
      <c r="J5" s="852" t="str">
        <f>IF(HLOOKUP(CaseName,CaseData,MATCH($G5,cases!$G$3:$G$1259,0)-1,FALSE)="","",HLOOKUP(CaseName,CaseData,MATCH($G5,cases!$G$3:$G$1259,0)-1,FALSE))</f>
        <v/>
      </c>
      <c r="K5" s="152" t="s">
        <v>267</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268</v>
      </c>
      <c r="H6" s="994"/>
      <c r="I6" s="995"/>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4.9" customHeight="1" x14ac:dyDescent="0.3">
      <c r="A8" s="145" t="s">
        <v>63</v>
      </c>
      <c r="B8" s="145"/>
      <c r="C8" s="145"/>
      <c r="D8" s="145"/>
      <c r="E8" s="145"/>
      <c r="F8" s="145"/>
      <c r="G8" s="144" t="s">
        <v>269</v>
      </c>
      <c r="H8" s="990" t="s">
        <v>270</v>
      </c>
      <c r="I8" s="991"/>
      <c r="J8" s="852" t="str">
        <f>IF(HLOOKUP(CaseName,CaseData,MATCH($G8,cases!$G$3:$G$1259,0)-1,FALSE)="","",HLOOKUP(CaseName,CaseData,MATCH($G8,cases!$G$3:$G$1259,0)-1,FALSE))</f>
        <v/>
      </c>
      <c r="K8" s="152" t="s">
        <v>270</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4.9" customHeight="1" x14ac:dyDescent="0.3">
      <c r="A10" s="144" t="s">
        <v>65</v>
      </c>
      <c r="B10" s="17"/>
      <c r="C10" s="17"/>
      <c r="D10" s="17"/>
      <c r="E10" s="17"/>
      <c r="F10" s="17"/>
      <c r="G10" s="144" t="s">
        <v>271</v>
      </c>
      <c r="H10" s="990" t="s">
        <v>272</v>
      </c>
      <c r="I10" s="991"/>
      <c r="J10" s="852" t="str">
        <f>IF(HLOOKUP(CaseName,CaseData,MATCH($G10,cases!$G$3:$G$1259,0)-1,FALSE)="","",HLOOKUP(CaseName,CaseData,MATCH($G10,cases!$G$3:$G$1259,0)-1,FALSE))</f>
        <v/>
      </c>
      <c r="K10" s="152" t="s">
        <v>272</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273</v>
      </c>
      <c r="B12" s="580"/>
      <c r="C12" s="580"/>
      <c r="D12" s="580"/>
      <c r="E12" s="580"/>
      <c r="F12" s="580"/>
      <c r="G12" s="587" t="s">
        <v>258</v>
      </c>
      <c r="H12" s="587" t="s">
        <v>274</v>
      </c>
      <c r="I12" s="728" t="s">
        <v>259</v>
      </c>
      <c r="J12" s="729" t="s">
        <v>275</v>
      </c>
      <c r="K12" s="588" t="s">
        <v>260</v>
      </c>
      <c r="L12" s="588" t="s">
        <v>261</v>
      </c>
      <c r="M12" s="580"/>
      <c r="N12" s="587" t="s">
        <v>262</v>
      </c>
      <c r="O12" s="583" t="s">
        <v>263</v>
      </c>
      <c r="P12" s="580" t="s">
        <v>264</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276</v>
      </c>
      <c r="C14" s="566"/>
      <c r="D14" s="566"/>
      <c r="E14" s="566"/>
      <c r="F14" s="591"/>
      <c r="G14" s="778" t="s">
        <v>277</v>
      </c>
      <c r="H14" s="592" t="s">
        <v>278</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279</v>
      </c>
      <c r="N14" s="566"/>
      <c r="O14" s="584">
        <f>MATCH(G14,substances!$3:$3,FALSE)</f>
        <v>30</v>
      </c>
      <c r="P14" s="584"/>
      <c r="S14"/>
      <c r="T14"/>
      <c r="U14"/>
      <c r="V14"/>
      <c r="W14"/>
      <c r="X14"/>
      <c r="Y14"/>
    </row>
    <row r="15" spans="1:34" s="11" customFormat="1" ht="12.75" customHeight="1" x14ac:dyDescent="0.3">
      <c r="A15" s="566"/>
      <c r="B15" s="566" t="s">
        <v>280</v>
      </c>
      <c r="C15" s="566"/>
      <c r="D15" s="566"/>
      <c r="E15" s="566"/>
      <c r="F15" s="591"/>
      <c r="G15" s="778" t="s">
        <v>281</v>
      </c>
      <c r="H15" s="592" t="s">
        <v>282</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283</v>
      </c>
      <c r="N15" s="566"/>
      <c r="O15" s="584"/>
      <c r="P15" s="584"/>
      <c r="S15"/>
      <c r="T15"/>
      <c r="U15"/>
      <c r="V15"/>
      <c r="W15"/>
      <c r="X15"/>
      <c r="Y15"/>
    </row>
    <row r="16" spans="1:34" s="11" customFormat="1" ht="12.75" customHeight="1" x14ac:dyDescent="0.3">
      <c r="A16" s="566"/>
      <c r="B16" s="566" t="s">
        <v>284</v>
      </c>
      <c r="C16" s="584"/>
      <c r="D16" s="566"/>
      <c r="E16" s="566"/>
      <c r="F16" s="566"/>
      <c r="G16" s="779" t="s">
        <v>285</v>
      </c>
      <c r="H16" s="566" t="s">
        <v>286</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286</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287</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288</v>
      </c>
      <c r="D20" s="598"/>
      <c r="E20" s="598"/>
      <c r="F20" s="598"/>
      <c r="G20" s="587" t="s">
        <v>258</v>
      </c>
      <c r="H20" s="587" t="s">
        <v>274</v>
      </c>
      <c r="I20" s="728" t="s">
        <v>259</v>
      </c>
      <c r="J20" s="729" t="s">
        <v>275</v>
      </c>
      <c r="K20" s="730" t="s">
        <v>260</v>
      </c>
      <c r="L20" s="588" t="s">
        <v>261</v>
      </c>
      <c r="M20" s="580"/>
      <c r="N20" s="587" t="s">
        <v>262</v>
      </c>
      <c r="O20" s="584"/>
      <c r="P20" s="584"/>
      <c r="S20"/>
      <c r="T20"/>
      <c r="U20"/>
      <c r="V20"/>
      <c r="W20"/>
      <c r="X20"/>
      <c r="Y20"/>
    </row>
    <row r="21" spans="1:34" s="11" customFormat="1" ht="12.75" customHeight="1" x14ac:dyDescent="0.3">
      <c r="A21" s="566"/>
      <c r="B21" s="566"/>
      <c r="C21" s="566" t="s">
        <v>289</v>
      </c>
      <c r="D21" s="566"/>
      <c r="E21" s="566"/>
      <c r="F21" s="566"/>
      <c r="G21" s="780" t="s">
        <v>290</v>
      </c>
      <c r="H21" s="567" t="s">
        <v>291</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292</v>
      </c>
      <c r="N21" s="566"/>
      <c r="O21" s="584"/>
      <c r="P21" s="584"/>
      <c r="S21"/>
      <c r="T21"/>
      <c r="U21"/>
      <c r="V21"/>
      <c r="W21"/>
      <c r="X21"/>
      <c r="Y21"/>
    </row>
    <row r="22" spans="1:34" s="11" customFormat="1" ht="12.75" customHeight="1" x14ac:dyDescent="0.3">
      <c r="A22" s="566"/>
      <c r="B22" s="566"/>
      <c r="C22" s="566" t="s">
        <v>293</v>
      </c>
      <c r="D22" s="566"/>
      <c r="E22" s="566"/>
      <c r="F22" s="566"/>
      <c r="G22" s="780" t="s">
        <v>294</v>
      </c>
      <c r="H22" s="567" t="s">
        <v>291</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292</v>
      </c>
      <c r="N22" s="566"/>
      <c r="O22" s="584"/>
      <c r="P22" s="584"/>
      <c r="S22"/>
      <c r="T22"/>
      <c r="U22"/>
      <c r="V22"/>
      <c r="W22"/>
      <c r="X22"/>
      <c r="Y22"/>
    </row>
    <row r="23" spans="1:34" s="11" customFormat="1" ht="12.75" customHeight="1" x14ac:dyDescent="0.3">
      <c r="A23" s="566"/>
      <c r="B23" s="566"/>
      <c r="C23" s="566" t="s">
        <v>295</v>
      </c>
      <c r="D23" s="566"/>
      <c r="E23" s="566"/>
      <c r="F23" s="566"/>
      <c r="G23" s="781" t="s">
        <v>296</v>
      </c>
      <c r="H23" s="567" t="s">
        <v>291</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292</v>
      </c>
      <c r="N23" s="566"/>
      <c r="O23" s="584"/>
      <c r="P23" s="584"/>
      <c r="S23"/>
      <c r="T23"/>
      <c r="U23"/>
      <c r="V23"/>
      <c r="W23"/>
      <c r="X23"/>
      <c r="Y23"/>
    </row>
    <row r="24" spans="1:34" s="11" customFormat="1" ht="12.75" customHeight="1" x14ac:dyDescent="0.3">
      <c r="A24" s="566"/>
      <c r="B24" s="566"/>
      <c r="C24" s="566" t="s">
        <v>297</v>
      </c>
      <c r="D24" s="566"/>
      <c r="E24" s="566"/>
      <c r="F24" s="566"/>
      <c r="G24" s="781" t="s">
        <v>298</v>
      </c>
      <c r="H24" s="567" t="s">
        <v>291</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292</v>
      </c>
      <c r="N24" s="566"/>
      <c r="O24" s="584"/>
      <c r="P24" s="584"/>
      <c r="S24"/>
      <c r="T24"/>
      <c r="U24"/>
      <c r="V24"/>
      <c r="W24"/>
      <c r="X24"/>
      <c r="Y24"/>
    </row>
    <row r="25" spans="1:34" s="11" customFormat="1" ht="12.75" customHeight="1" x14ac:dyDescent="0.3">
      <c r="A25" s="566"/>
      <c r="B25" s="566"/>
      <c r="C25" s="566" t="s">
        <v>299</v>
      </c>
      <c r="D25" s="566"/>
      <c r="E25" s="566"/>
      <c r="F25" s="566"/>
      <c r="G25" s="781" t="s">
        <v>300</v>
      </c>
      <c r="H25" s="567" t="s">
        <v>291</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292</v>
      </c>
      <c r="N25" s="566"/>
      <c r="O25" s="584"/>
      <c r="P25" s="584"/>
      <c r="S25"/>
      <c r="T25"/>
      <c r="U25"/>
      <c r="V25"/>
      <c r="W25"/>
      <c r="X25"/>
      <c r="Y25"/>
    </row>
    <row r="26" spans="1:34" s="11" customFormat="1" ht="12.75" customHeight="1" x14ac:dyDescent="0.3">
      <c r="A26" s="566"/>
      <c r="B26" s="566"/>
      <c r="C26" s="566" t="s">
        <v>301</v>
      </c>
      <c r="D26" s="566"/>
      <c r="E26" s="566"/>
      <c r="F26" s="566"/>
      <c r="G26" s="781" t="s">
        <v>302</v>
      </c>
      <c r="H26" s="567" t="s">
        <v>291</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292</v>
      </c>
      <c r="N26" s="566"/>
      <c r="O26" s="584"/>
      <c r="P26" s="584"/>
      <c r="S26"/>
      <c r="T26"/>
      <c r="U26"/>
      <c r="V26"/>
      <c r="W26"/>
      <c r="X26"/>
      <c r="Y26"/>
    </row>
    <row r="27" spans="1:34" s="11" customFormat="1" ht="12.75" customHeight="1" x14ac:dyDescent="0.3">
      <c r="A27" s="566"/>
      <c r="B27" s="566"/>
      <c r="C27" s="566" t="s">
        <v>303</v>
      </c>
      <c r="D27" s="566"/>
      <c r="E27" s="566"/>
      <c r="F27" s="566"/>
      <c r="G27" s="781" t="s">
        <v>304</v>
      </c>
      <c r="H27" s="567" t="s">
        <v>291</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292</v>
      </c>
      <c r="N27" s="566"/>
      <c r="O27" s="584"/>
      <c r="P27" s="584"/>
      <c r="S27"/>
      <c r="T27"/>
      <c r="U27"/>
      <c r="V27"/>
      <c r="W27"/>
      <c r="X27"/>
      <c r="Y27"/>
    </row>
    <row r="28" spans="1:34" s="11" customFormat="1" ht="12.75" customHeight="1" x14ac:dyDescent="0.3">
      <c r="A28" s="566"/>
      <c r="B28" s="566"/>
      <c r="C28" s="566" t="s">
        <v>305</v>
      </c>
      <c r="D28" s="566"/>
      <c r="E28" s="566"/>
      <c r="F28" s="566"/>
      <c r="G28" s="781" t="s">
        <v>306</v>
      </c>
      <c r="H28" s="567" t="s">
        <v>291</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292</v>
      </c>
      <c r="N28" s="566"/>
      <c r="O28" s="584"/>
      <c r="P28" s="584"/>
      <c r="S28"/>
      <c r="T28"/>
      <c r="U28"/>
      <c r="V28"/>
      <c r="W28"/>
      <c r="X28"/>
      <c r="Y28"/>
    </row>
    <row r="29" spans="1:34" s="11" customFormat="1" ht="12.75" customHeight="1" x14ac:dyDescent="0.3">
      <c r="A29" s="566"/>
      <c r="B29" s="566"/>
      <c r="C29" s="566" t="s">
        <v>307</v>
      </c>
      <c r="D29" s="566"/>
      <c r="E29" s="566"/>
      <c r="F29" s="566"/>
      <c r="G29" s="781" t="s">
        <v>308</v>
      </c>
      <c r="H29" s="567" t="s">
        <v>291</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292</v>
      </c>
      <c r="N29" s="566"/>
      <c r="O29" s="584"/>
      <c r="P29" s="584"/>
      <c r="S29"/>
      <c r="T29"/>
      <c r="U29"/>
      <c r="V29"/>
      <c r="W29"/>
      <c r="X29"/>
      <c r="Y29"/>
    </row>
    <row r="30" spans="1:34" s="11" customFormat="1" ht="12.75" customHeight="1" x14ac:dyDescent="0.3">
      <c r="A30" s="566"/>
      <c r="B30" s="566"/>
      <c r="C30" s="566" t="s">
        <v>309</v>
      </c>
      <c r="D30" s="566"/>
      <c r="E30" s="566"/>
      <c r="F30" s="566"/>
      <c r="G30" s="781" t="s">
        <v>310</v>
      </c>
      <c r="H30" s="567" t="s">
        <v>291</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292</v>
      </c>
      <c r="N30" s="566"/>
      <c r="O30" s="584"/>
      <c r="P30" s="584"/>
      <c r="S30"/>
      <c r="T30"/>
      <c r="U30"/>
      <c r="V30"/>
      <c r="W30"/>
      <c r="X30"/>
      <c r="Y30"/>
    </row>
    <row r="31" spans="1:34" s="11" customFormat="1" ht="12.75" customHeight="1" x14ac:dyDescent="0.3">
      <c r="A31" s="566"/>
      <c r="B31" s="566"/>
      <c r="C31" s="566" t="s">
        <v>311</v>
      </c>
      <c r="D31" s="566"/>
      <c r="E31" s="566"/>
      <c r="F31" s="566"/>
      <c r="G31" s="781" t="s">
        <v>312</v>
      </c>
      <c r="H31" s="567" t="s">
        <v>291</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292</v>
      </c>
      <c r="N31" s="566"/>
      <c r="O31" s="584"/>
      <c r="P31" s="584"/>
      <c r="S31"/>
      <c r="T31"/>
      <c r="U31"/>
      <c r="V31"/>
      <c r="W31"/>
      <c r="X31"/>
      <c r="Y31"/>
    </row>
    <row r="32" spans="1:34" s="11" customFormat="1" ht="12.75" customHeight="1" x14ac:dyDescent="0.3">
      <c r="A32" s="566"/>
      <c r="B32" s="566"/>
      <c r="C32" s="566" t="s">
        <v>313</v>
      </c>
      <c r="D32" s="566"/>
      <c r="E32" s="566"/>
      <c r="F32" s="566"/>
      <c r="G32" s="781" t="s">
        <v>314</v>
      </c>
      <c r="H32" s="567" t="s">
        <v>291</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292</v>
      </c>
      <c r="N32" s="566"/>
      <c r="O32" s="584"/>
      <c r="P32" s="584"/>
      <c r="S32"/>
      <c r="T32"/>
      <c r="U32"/>
      <c r="V32"/>
      <c r="W32"/>
      <c r="X32"/>
      <c r="Y32"/>
    </row>
    <row r="33" spans="1:25" s="11" customFormat="1" ht="12.75" customHeight="1" x14ac:dyDescent="0.3">
      <c r="A33" s="566"/>
      <c r="B33" s="566"/>
      <c r="C33" s="566" t="s">
        <v>315</v>
      </c>
      <c r="D33" s="566"/>
      <c r="E33" s="566"/>
      <c r="F33" s="566"/>
      <c r="G33" s="781" t="s">
        <v>316</v>
      </c>
      <c r="H33" s="567" t="s">
        <v>291</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292</v>
      </c>
      <c r="N33" s="566"/>
      <c r="O33" s="584"/>
      <c r="P33" s="584"/>
      <c r="S33"/>
      <c r="T33"/>
      <c r="U33"/>
      <c r="V33"/>
      <c r="W33"/>
      <c r="X33"/>
      <c r="Y33"/>
    </row>
    <row r="34" spans="1:25" s="11" customFormat="1" ht="12.75" customHeight="1" x14ac:dyDescent="0.3">
      <c r="A34" s="566"/>
      <c r="B34" s="566"/>
      <c r="C34" s="566" t="s">
        <v>317</v>
      </c>
      <c r="D34" s="566"/>
      <c r="E34" s="566"/>
      <c r="F34" s="566"/>
      <c r="G34" s="781" t="s">
        <v>318</v>
      </c>
      <c r="H34" s="567" t="s">
        <v>291</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292</v>
      </c>
      <c r="N34" s="566"/>
      <c r="O34" s="584"/>
      <c r="P34" s="584"/>
      <c r="S34"/>
      <c r="T34"/>
      <c r="U34"/>
      <c r="V34"/>
      <c r="W34"/>
      <c r="X34"/>
      <c r="Y34"/>
    </row>
    <row r="35" spans="1:25" s="11" customFormat="1" ht="12.75" customHeight="1" x14ac:dyDescent="0.3">
      <c r="A35" s="566"/>
      <c r="B35" s="566"/>
      <c r="C35" s="566" t="s">
        <v>319</v>
      </c>
      <c r="D35" s="566"/>
      <c r="E35" s="566"/>
      <c r="F35" s="566"/>
      <c r="G35" s="781" t="s">
        <v>320</v>
      </c>
      <c r="H35" s="567" t="s">
        <v>291</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292</v>
      </c>
      <c r="N35" s="566"/>
      <c r="O35" s="584"/>
      <c r="P35" s="584"/>
      <c r="S35"/>
      <c r="T35"/>
      <c r="U35"/>
      <c r="V35"/>
      <c r="W35"/>
      <c r="X35"/>
      <c r="Y35"/>
    </row>
    <row r="36" spans="1:25" s="11" customFormat="1" ht="12.75" customHeight="1" x14ac:dyDescent="0.3">
      <c r="A36" s="566"/>
      <c r="B36" s="566"/>
      <c r="C36" s="566" t="s">
        <v>321</v>
      </c>
      <c r="D36" s="566"/>
      <c r="E36" s="566"/>
      <c r="F36" s="566"/>
      <c r="G36" s="781" t="s">
        <v>322</v>
      </c>
      <c r="H36" s="567" t="s">
        <v>291</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292</v>
      </c>
      <c r="N36" s="566"/>
      <c r="O36" s="584"/>
      <c r="P36" s="584"/>
      <c r="S36"/>
      <c r="T36"/>
      <c r="U36"/>
      <c r="V36"/>
      <c r="W36"/>
      <c r="X36"/>
      <c r="Y36"/>
    </row>
    <row r="37" spans="1:25" s="11" customFormat="1" ht="12.75" customHeight="1" x14ac:dyDescent="0.3">
      <c r="A37" s="566"/>
      <c r="B37" s="566"/>
      <c r="C37" s="566" t="s">
        <v>323</v>
      </c>
      <c r="D37" s="566"/>
      <c r="E37" s="566"/>
      <c r="F37" s="566"/>
      <c r="G37" s="781" t="s">
        <v>324</v>
      </c>
      <c r="H37" s="567" t="s">
        <v>291</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292</v>
      </c>
      <c r="N37" s="566"/>
      <c r="O37" s="584"/>
      <c r="P37" s="584"/>
      <c r="S37"/>
      <c r="T37"/>
      <c r="U37"/>
      <c r="V37"/>
      <c r="W37"/>
      <c r="X37"/>
      <c r="Y37"/>
    </row>
    <row r="38" spans="1:25" s="11" customFormat="1" ht="12.75" customHeight="1" x14ac:dyDescent="0.3">
      <c r="A38" s="566"/>
      <c r="B38" s="566"/>
      <c r="C38" s="566" t="s">
        <v>325</v>
      </c>
      <c r="D38" s="566"/>
      <c r="E38" s="566"/>
      <c r="F38" s="566"/>
      <c r="G38" s="781" t="s">
        <v>326</v>
      </c>
      <c r="H38" s="567" t="s">
        <v>291</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292</v>
      </c>
      <c r="N38" s="566"/>
      <c r="O38" s="584"/>
      <c r="P38" s="584"/>
      <c r="S38"/>
      <c r="T38"/>
      <c r="U38"/>
      <c r="V38"/>
      <c r="W38"/>
      <c r="X38"/>
      <c r="Y38"/>
    </row>
    <row r="39" spans="1:25" s="11" customFormat="1" ht="12.75" customHeight="1" x14ac:dyDescent="0.3">
      <c r="A39" s="566"/>
      <c r="B39" s="566"/>
      <c r="C39" s="566" t="s">
        <v>327</v>
      </c>
      <c r="D39" s="566"/>
      <c r="E39" s="566"/>
      <c r="F39" s="566"/>
      <c r="G39" s="781" t="s">
        <v>328</v>
      </c>
      <c r="H39" s="567" t="s">
        <v>291</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292</v>
      </c>
      <c r="N39" s="566"/>
      <c r="O39" s="584"/>
      <c r="P39" s="584"/>
      <c r="S39"/>
      <c r="T39"/>
      <c r="U39"/>
      <c r="V39"/>
      <c r="W39"/>
      <c r="X39"/>
      <c r="Y39"/>
    </row>
    <row r="40" spans="1:25" s="11" customFormat="1" ht="12.75" customHeight="1" x14ac:dyDescent="0.3">
      <c r="A40" s="566"/>
      <c r="B40" s="566"/>
      <c r="C40" s="598" t="s">
        <v>329</v>
      </c>
      <c r="D40" s="598"/>
      <c r="E40" s="598"/>
      <c r="F40" s="598"/>
      <c r="G40" s="782" t="s">
        <v>330</v>
      </c>
      <c r="H40" s="601" t="s">
        <v>291</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292</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331</v>
      </c>
      <c r="D42" s="598"/>
      <c r="E42" s="598"/>
      <c r="F42" s="598"/>
      <c r="G42" s="587" t="s">
        <v>258</v>
      </c>
      <c r="H42" s="587" t="s">
        <v>274</v>
      </c>
      <c r="I42" s="728" t="s">
        <v>259</v>
      </c>
      <c r="J42" s="729" t="s">
        <v>275</v>
      </c>
      <c r="K42" s="730" t="s">
        <v>260</v>
      </c>
      <c r="L42" s="732" t="s">
        <v>261</v>
      </c>
      <c r="M42" s="580"/>
      <c r="N42" s="587" t="s">
        <v>262</v>
      </c>
      <c r="O42" s="584"/>
      <c r="P42" s="584"/>
      <c r="S42"/>
      <c r="T42"/>
      <c r="U42"/>
      <c r="V42"/>
      <c r="W42"/>
      <c r="X42"/>
      <c r="Y42"/>
    </row>
    <row r="43" spans="1:25" s="11" customFormat="1" ht="12.75" customHeight="1" x14ac:dyDescent="0.3">
      <c r="A43" s="566"/>
      <c r="B43" s="566"/>
      <c r="C43" s="779" t="s">
        <v>332</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333</v>
      </c>
      <c r="D44" s="566"/>
      <c r="E44" s="566"/>
      <c r="F44" s="566"/>
      <c r="G44" s="781" t="s">
        <v>334</v>
      </c>
      <c r="H44" s="567" t="s">
        <v>335</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336</v>
      </c>
      <c r="N44" s="566"/>
      <c r="O44" s="584"/>
      <c r="P44" s="584"/>
      <c r="S44"/>
      <c r="T44"/>
      <c r="U44"/>
      <c r="V44"/>
      <c r="W44"/>
      <c r="X44"/>
      <c r="Y44"/>
    </row>
    <row r="45" spans="1:25" s="11" customFormat="1" ht="12.75" customHeight="1" x14ac:dyDescent="0.3">
      <c r="A45" s="566"/>
      <c r="B45" s="566"/>
      <c r="C45" s="566" t="s">
        <v>337</v>
      </c>
      <c r="D45" s="566"/>
      <c r="E45" s="566"/>
      <c r="F45" s="566"/>
      <c r="G45" s="781" t="s">
        <v>338</v>
      </c>
      <c r="H45" s="567" t="s">
        <v>335</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336</v>
      </c>
      <c r="N45" s="566"/>
      <c r="O45" s="584"/>
      <c r="P45" s="584"/>
      <c r="S45"/>
      <c r="T45"/>
      <c r="U45"/>
      <c r="V45"/>
      <c r="W45"/>
      <c r="X45"/>
      <c r="Y45"/>
    </row>
    <row r="46" spans="1:25" s="11" customFormat="1" ht="12.75" customHeight="1" x14ac:dyDescent="0.3">
      <c r="A46" s="566"/>
      <c r="B46" s="566"/>
      <c r="C46" s="566" t="s">
        <v>339</v>
      </c>
      <c r="D46" s="566"/>
      <c r="E46" s="566"/>
      <c r="F46" s="566"/>
      <c r="G46" s="781" t="s">
        <v>340</v>
      </c>
      <c r="H46" s="567" t="s">
        <v>335</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336</v>
      </c>
      <c r="N46" s="566"/>
      <c r="O46" s="584"/>
      <c r="P46" s="584"/>
      <c r="S46"/>
      <c r="T46"/>
      <c r="U46"/>
      <c r="V46"/>
      <c r="W46"/>
      <c r="X46"/>
      <c r="Y46"/>
    </row>
    <row r="47" spans="1:25" s="11" customFormat="1" ht="12.75" customHeight="1" x14ac:dyDescent="0.3">
      <c r="A47" s="566"/>
      <c r="B47" s="566"/>
      <c r="C47" s="566" t="s">
        <v>341</v>
      </c>
      <c r="D47" s="566"/>
      <c r="E47" s="566"/>
      <c r="F47" s="566"/>
      <c r="G47" s="781" t="s">
        <v>342</v>
      </c>
      <c r="H47" s="567" t="s">
        <v>335</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336</v>
      </c>
      <c r="N47" s="566"/>
      <c r="O47" s="584"/>
      <c r="P47" s="584"/>
      <c r="S47"/>
      <c r="T47"/>
      <c r="U47"/>
      <c r="V47"/>
      <c r="W47"/>
      <c r="X47"/>
      <c r="Y47"/>
    </row>
    <row r="48" spans="1:25" s="11" customFormat="1" ht="12.75" customHeight="1" x14ac:dyDescent="0.3">
      <c r="A48" s="566"/>
      <c r="B48" s="566"/>
      <c r="C48" s="566" t="s">
        <v>343</v>
      </c>
      <c r="D48" s="566"/>
      <c r="E48" s="566"/>
      <c r="F48" s="566"/>
      <c r="G48" s="781" t="s">
        <v>344</v>
      </c>
      <c r="H48" s="567" t="s">
        <v>335</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336</v>
      </c>
      <c r="N48" s="566"/>
      <c r="O48" s="584"/>
      <c r="P48" s="584"/>
      <c r="S48"/>
      <c r="T48"/>
      <c r="U48"/>
      <c r="V48"/>
      <c r="W48"/>
      <c r="X48"/>
      <c r="Y48"/>
    </row>
    <row r="49" spans="1:25" s="11" customFormat="1" ht="12.75" customHeight="1" x14ac:dyDescent="0.3">
      <c r="A49" s="566"/>
      <c r="B49" s="566"/>
      <c r="C49" s="566" t="s">
        <v>345</v>
      </c>
      <c r="D49" s="566"/>
      <c r="E49" s="566"/>
      <c r="F49" s="566"/>
      <c r="G49" s="781" t="s">
        <v>346</v>
      </c>
      <c r="H49" s="567" t="s">
        <v>335</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336</v>
      </c>
      <c r="N49" s="566"/>
      <c r="O49" s="584"/>
      <c r="P49" s="584"/>
      <c r="S49"/>
      <c r="T49"/>
      <c r="U49"/>
      <c r="V49"/>
      <c r="W49"/>
      <c r="X49"/>
      <c r="Y49"/>
    </row>
    <row r="50" spans="1:25" s="11" customFormat="1" ht="12.75" customHeight="1" x14ac:dyDescent="0.3">
      <c r="A50" s="566"/>
      <c r="B50" s="566"/>
      <c r="C50" s="566" t="s">
        <v>347</v>
      </c>
      <c r="D50" s="566"/>
      <c r="E50" s="566"/>
      <c r="F50" s="566"/>
      <c r="G50" s="781" t="s">
        <v>348</v>
      </c>
      <c r="H50" s="567" t="s">
        <v>335</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336</v>
      </c>
      <c r="N50" s="566"/>
      <c r="O50" s="584"/>
      <c r="P50" s="584"/>
      <c r="S50"/>
      <c r="T50"/>
      <c r="U50"/>
      <c r="V50"/>
      <c r="W50"/>
      <c r="X50"/>
      <c r="Y50"/>
    </row>
    <row r="51" spans="1:25" s="11" customFormat="1" ht="12.75" customHeight="1" x14ac:dyDescent="0.3">
      <c r="A51" s="566"/>
      <c r="B51" s="566"/>
      <c r="C51" s="566" t="s">
        <v>349</v>
      </c>
      <c r="D51" s="566"/>
      <c r="E51" s="566"/>
      <c r="F51" s="566"/>
      <c r="G51" s="781" t="s">
        <v>350</v>
      </c>
      <c r="H51" s="567" t="s">
        <v>335</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336</v>
      </c>
      <c r="N51" s="566"/>
      <c r="O51" s="584"/>
      <c r="P51" s="584"/>
      <c r="S51"/>
      <c r="T51"/>
      <c r="U51"/>
      <c r="V51"/>
      <c r="W51"/>
      <c r="X51"/>
      <c r="Y51"/>
    </row>
    <row r="52" spans="1:25" s="11" customFormat="1" ht="12.75" customHeight="1" x14ac:dyDescent="0.3">
      <c r="A52" s="566"/>
      <c r="B52" s="566"/>
      <c r="C52" s="566" t="s">
        <v>351</v>
      </c>
      <c r="D52" s="566"/>
      <c r="E52" s="566"/>
      <c r="F52" s="566"/>
      <c r="G52" s="781" t="s">
        <v>352</v>
      </c>
      <c r="H52" s="567" t="s">
        <v>335</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336</v>
      </c>
      <c r="N52" s="566"/>
      <c r="O52" s="584"/>
      <c r="P52" s="584"/>
      <c r="S52"/>
      <c r="T52"/>
      <c r="U52"/>
      <c r="V52"/>
      <c r="W52"/>
      <c r="X52"/>
      <c r="Y52"/>
    </row>
    <row r="53" spans="1:25" s="11" customFormat="1" ht="12.75" customHeight="1" x14ac:dyDescent="0.3">
      <c r="A53" s="566"/>
      <c r="B53" s="566"/>
      <c r="C53" s="566" t="s">
        <v>353</v>
      </c>
      <c r="D53" s="566"/>
      <c r="E53" s="566"/>
      <c r="F53" s="566"/>
      <c r="G53" s="781" t="s">
        <v>354</v>
      </c>
      <c r="H53" s="567" t="s">
        <v>335</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336</v>
      </c>
      <c r="N53" s="566"/>
      <c r="O53" s="584"/>
      <c r="P53" s="584"/>
      <c r="S53"/>
      <c r="T53"/>
      <c r="U53"/>
      <c r="V53"/>
      <c r="W53"/>
      <c r="X53"/>
      <c r="Y53"/>
    </row>
    <row r="54" spans="1:25" s="11" customFormat="1" ht="12.75" customHeight="1" x14ac:dyDescent="0.3">
      <c r="A54" s="566"/>
      <c r="B54" s="566"/>
      <c r="C54" s="779" t="s">
        <v>355</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356</v>
      </c>
      <c r="D55" s="566"/>
      <c r="E55" s="566"/>
      <c r="F55" s="566"/>
      <c r="G55" s="781" t="s">
        <v>357</v>
      </c>
      <c r="H55" s="567" t="s">
        <v>335</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336</v>
      </c>
      <c r="N55" s="566"/>
      <c r="O55" s="584"/>
      <c r="P55" s="584"/>
      <c r="S55"/>
      <c r="T55"/>
      <c r="U55"/>
      <c r="V55"/>
      <c r="W55"/>
      <c r="X55"/>
      <c r="Y55"/>
    </row>
    <row r="56" spans="1:25" s="11" customFormat="1" ht="12.75" customHeight="1" x14ac:dyDescent="0.3">
      <c r="A56" s="566"/>
      <c r="B56" s="566"/>
      <c r="C56" s="566" t="s">
        <v>358</v>
      </c>
      <c r="D56" s="566"/>
      <c r="E56" s="566"/>
      <c r="F56" s="566"/>
      <c r="G56" s="781" t="s">
        <v>359</v>
      </c>
      <c r="H56" s="567" t="s">
        <v>335</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336</v>
      </c>
      <c r="N56" s="566"/>
      <c r="O56" s="584"/>
      <c r="P56" s="584"/>
      <c r="S56"/>
      <c r="T56"/>
      <c r="U56"/>
      <c r="V56"/>
      <c r="W56"/>
      <c r="X56"/>
      <c r="Y56"/>
    </row>
    <row r="57" spans="1:25" s="11" customFormat="1" ht="12.75" customHeight="1" x14ac:dyDescent="0.3">
      <c r="A57" s="566"/>
      <c r="B57" s="566"/>
      <c r="C57" s="566" t="s">
        <v>360</v>
      </c>
      <c r="D57" s="566"/>
      <c r="E57" s="566"/>
      <c r="F57" s="566"/>
      <c r="G57" s="781" t="s">
        <v>361</v>
      </c>
      <c r="H57" s="567" t="s">
        <v>335</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336</v>
      </c>
      <c r="N57" s="566"/>
      <c r="O57" s="584"/>
      <c r="P57" s="584"/>
      <c r="S57"/>
      <c r="T57"/>
      <c r="U57"/>
      <c r="V57"/>
      <c r="W57"/>
      <c r="X57"/>
      <c r="Y57"/>
    </row>
    <row r="58" spans="1:25" s="11" customFormat="1" ht="12.75" customHeight="1" x14ac:dyDescent="0.3">
      <c r="A58" s="566"/>
      <c r="B58" s="566"/>
      <c r="C58" s="566" t="s">
        <v>362</v>
      </c>
      <c r="D58" s="566"/>
      <c r="E58" s="566"/>
      <c r="F58" s="566"/>
      <c r="G58" s="781" t="s">
        <v>363</v>
      </c>
      <c r="H58" s="567" t="s">
        <v>335</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336</v>
      </c>
      <c r="N58" s="566"/>
      <c r="O58" s="584"/>
      <c r="P58" s="584"/>
      <c r="S58"/>
      <c r="T58"/>
      <c r="U58"/>
      <c r="V58"/>
      <c r="W58"/>
      <c r="X58"/>
      <c r="Y58"/>
    </row>
    <row r="59" spans="1:25" s="11" customFormat="1" ht="12.75" customHeight="1" x14ac:dyDescent="0.3">
      <c r="A59" s="566"/>
      <c r="B59" s="566"/>
      <c r="C59" s="566" t="s">
        <v>364</v>
      </c>
      <c r="D59" s="566"/>
      <c r="E59" s="566"/>
      <c r="F59" s="566"/>
      <c r="G59" s="781" t="s">
        <v>365</v>
      </c>
      <c r="H59" s="567" t="s">
        <v>335</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336</v>
      </c>
      <c r="N59" s="566"/>
      <c r="O59" s="584"/>
      <c r="P59" s="584"/>
      <c r="S59"/>
      <c r="T59"/>
      <c r="U59"/>
      <c r="V59"/>
      <c r="W59"/>
      <c r="X59"/>
      <c r="Y59"/>
    </row>
    <row r="60" spans="1:25" s="11" customFormat="1" ht="12.75" customHeight="1" x14ac:dyDescent="0.3">
      <c r="A60" s="566"/>
      <c r="B60" s="566"/>
      <c r="C60" s="566" t="s">
        <v>366</v>
      </c>
      <c r="D60" s="566"/>
      <c r="E60" s="566"/>
      <c r="F60" s="566"/>
      <c r="G60" s="781" t="s">
        <v>367</v>
      </c>
      <c r="H60" s="567" t="s">
        <v>335</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336</v>
      </c>
      <c r="N60" s="566"/>
      <c r="O60" s="584"/>
      <c r="P60" s="584"/>
      <c r="S60"/>
      <c r="T60"/>
      <c r="U60"/>
      <c r="V60"/>
      <c r="W60"/>
      <c r="X60"/>
      <c r="Y60"/>
    </row>
    <row r="61" spans="1:25" s="11" customFormat="1" ht="12.75" customHeight="1" x14ac:dyDescent="0.3">
      <c r="A61" s="566"/>
      <c r="B61" s="566"/>
      <c r="C61" s="566" t="s">
        <v>368</v>
      </c>
      <c r="D61" s="566"/>
      <c r="E61" s="566"/>
      <c r="F61" s="566"/>
      <c r="G61" s="781" t="s">
        <v>369</v>
      </c>
      <c r="H61" s="567" t="s">
        <v>335</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336</v>
      </c>
      <c r="N61" s="566"/>
      <c r="O61" s="584"/>
      <c r="P61" s="584"/>
      <c r="S61"/>
      <c r="T61"/>
      <c r="U61"/>
      <c r="V61"/>
      <c r="W61"/>
      <c r="X61"/>
      <c r="Y61"/>
    </row>
    <row r="62" spans="1:25" s="11" customFormat="1" ht="12.75" customHeight="1" x14ac:dyDescent="0.3">
      <c r="A62" s="566"/>
      <c r="B62" s="566"/>
      <c r="C62" s="566" t="s">
        <v>370</v>
      </c>
      <c r="D62" s="566"/>
      <c r="E62" s="566"/>
      <c r="F62" s="566"/>
      <c r="G62" s="781" t="s">
        <v>371</v>
      </c>
      <c r="H62" s="567" t="s">
        <v>335</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336</v>
      </c>
      <c r="N62" s="566"/>
      <c r="O62" s="584"/>
      <c r="P62" s="584"/>
      <c r="S62"/>
      <c r="T62"/>
      <c r="U62"/>
      <c r="V62"/>
      <c r="W62"/>
      <c r="X62"/>
      <c r="Y62"/>
    </row>
    <row r="63" spans="1:25" s="11" customFormat="1" ht="12.75" customHeight="1" x14ac:dyDescent="0.3">
      <c r="A63" s="566"/>
      <c r="B63" s="566"/>
      <c r="C63" s="566" t="s">
        <v>372</v>
      </c>
      <c r="D63" s="566"/>
      <c r="E63" s="566"/>
      <c r="F63" s="566"/>
      <c r="G63" s="781" t="s">
        <v>373</v>
      </c>
      <c r="H63" s="567" t="s">
        <v>335</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336</v>
      </c>
      <c r="N63" s="566"/>
      <c r="O63" s="584"/>
      <c r="P63" s="584"/>
      <c r="S63"/>
      <c r="T63"/>
      <c r="U63"/>
      <c r="V63"/>
      <c r="W63"/>
      <c r="X63"/>
      <c r="Y63"/>
    </row>
    <row r="64" spans="1:25" s="11" customFormat="1" ht="12.75" customHeight="1" x14ac:dyDescent="0.3">
      <c r="A64" s="566"/>
      <c r="B64" s="566"/>
      <c r="C64" s="566" t="s">
        <v>374</v>
      </c>
      <c r="D64" s="566"/>
      <c r="E64" s="566"/>
      <c r="F64" s="566"/>
      <c r="G64" s="781" t="s">
        <v>375</v>
      </c>
      <c r="H64" s="567" t="s">
        <v>335</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336</v>
      </c>
      <c r="N64" s="566"/>
      <c r="O64" s="584"/>
      <c r="P64" s="584"/>
      <c r="S64"/>
      <c r="T64"/>
      <c r="U64"/>
      <c r="V64"/>
      <c r="W64"/>
      <c r="X64"/>
      <c r="Y64"/>
    </row>
    <row r="65" spans="1:25" s="11" customFormat="1" ht="12.75" customHeight="1" x14ac:dyDescent="0.3">
      <c r="A65" s="566"/>
      <c r="B65" s="566"/>
      <c r="C65" s="566" t="s">
        <v>376</v>
      </c>
      <c r="D65" s="566"/>
      <c r="E65" s="566"/>
      <c r="F65" s="566"/>
      <c r="G65" s="781" t="s">
        <v>377</v>
      </c>
      <c r="H65" s="567" t="s">
        <v>335</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336</v>
      </c>
      <c r="N65" s="566"/>
      <c r="O65" s="584"/>
      <c r="P65" s="584"/>
      <c r="S65"/>
      <c r="T65"/>
      <c r="U65"/>
      <c r="V65"/>
      <c r="W65"/>
      <c r="X65"/>
      <c r="Y65"/>
    </row>
    <row r="66" spans="1:25" s="11" customFormat="1" ht="12.75" customHeight="1" x14ac:dyDescent="0.3">
      <c r="A66" s="566"/>
      <c r="B66" s="566"/>
      <c r="C66" s="566" t="s">
        <v>378</v>
      </c>
      <c r="D66" s="566"/>
      <c r="E66" s="566"/>
      <c r="F66" s="566"/>
      <c r="G66" s="781" t="s">
        <v>379</v>
      </c>
      <c r="H66" s="567" t="s">
        <v>335</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336</v>
      </c>
      <c r="N66" s="566"/>
      <c r="O66" s="584"/>
      <c r="P66" s="584"/>
      <c r="S66"/>
      <c r="T66"/>
      <c r="U66"/>
      <c r="V66"/>
      <c r="W66"/>
      <c r="X66"/>
      <c r="Y66"/>
    </row>
    <row r="67" spans="1:25" s="11" customFormat="1" ht="12.75" customHeight="1" x14ac:dyDescent="0.3">
      <c r="A67" s="566"/>
      <c r="B67" s="566"/>
      <c r="C67" s="566" t="s">
        <v>380</v>
      </c>
      <c r="D67" s="566"/>
      <c r="E67" s="566"/>
      <c r="F67" s="566"/>
      <c r="G67" s="781" t="s">
        <v>381</v>
      </c>
      <c r="H67" s="567" t="s">
        <v>335</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336</v>
      </c>
      <c r="N67" s="566"/>
      <c r="O67" s="584"/>
      <c r="P67" s="584"/>
      <c r="S67"/>
      <c r="T67"/>
      <c r="U67"/>
      <c r="V67"/>
      <c r="W67"/>
      <c r="X67"/>
      <c r="Y67"/>
    </row>
    <row r="68" spans="1:25" s="11" customFormat="1" ht="12.75" customHeight="1" x14ac:dyDescent="0.3">
      <c r="A68" s="566"/>
      <c r="B68" s="566"/>
      <c r="C68" s="566" t="s">
        <v>382</v>
      </c>
      <c r="D68" s="566"/>
      <c r="E68" s="566"/>
      <c r="F68" s="566"/>
      <c r="G68" s="781" t="s">
        <v>383</v>
      </c>
      <c r="H68" s="567" t="s">
        <v>335</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336</v>
      </c>
      <c r="N68" s="566"/>
      <c r="O68" s="584"/>
      <c r="P68" s="584"/>
      <c r="S68"/>
      <c r="T68"/>
      <c r="U68"/>
      <c r="V68"/>
      <c r="W68"/>
      <c r="X68"/>
      <c r="Y68"/>
    </row>
    <row r="69" spans="1:25" s="11" customFormat="1" ht="12.75" customHeight="1" x14ac:dyDescent="0.3">
      <c r="A69" s="566"/>
      <c r="B69" s="566"/>
      <c r="C69" s="566" t="s">
        <v>384</v>
      </c>
      <c r="D69" s="566"/>
      <c r="E69" s="566"/>
      <c r="F69" s="566"/>
      <c r="G69" s="781" t="s">
        <v>385</v>
      </c>
      <c r="H69" s="567" t="s">
        <v>335</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336</v>
      </c>
      <c r="N69" s="566"/>
      <c r="O69" s="584"/>
      <c r="P69" s="584"/>
      <c r="S69"/>
      <c r="T69"/>
      <c r="U69"/>
      <c r="V69"/>
      <c r="W69"/>
      <c r="X69"/>
      <c r="Y69"/>
    </row>
    <row r="70" spans="1:25" s="11" customFormat="1" ht="12.75" customHeight="1" x14ac:dyDescent="0.3">
      <c r="A70" s="566"/>
      <c r="B70" s="566"/>
      <c r="C70" s="566" t="s">
        <v>386</v>
      </c>
      <c r="D70" s="566"/>
      <c r="E70" s="566"/>
      <c r="F70" s="566"/>
      <c r="G70" s="781" t="s">
        <v>387</v>
      </c>
      <c r="H70" s="567" t="s">
        <v>335</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336</v>
      </c>
      <c r="N70" s="566"/>
      <c r="O70" s="584"/>
      <c r="P70" s="584"/>
      <c r="S70"/>
      <c r="T70"/>
      <c r="U70"/>
      <c r="V70"/>
      <c r="W70"/>
      <c r="X70"/>
      <c r="Y70"/>
    </row>
    <row r="71" spans="1:25" s="11" customFormat="1" ht="12.75" customHeight="1" x14ac:dyDescent="0.3">
      <c r="A71" s="566"/>
      <c r="B71" s="566"/>
      <c r="C71" s="566" t="s">
        <v>388</v>
      </c>
      <c r="D71" s="566"/>
      <c r="E71" s="566"/>
      <c r="F71" s="566"/>
      <c r="G71" s="781" t="s">
        <v>389</v>
      </c>
      <c r="H71" s="567" t="s">
        <v>335</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336</v>
      </c>
      <c r="N71" s="566"/>
      <c r="O71" s="584"/>
      <c r="P71" s="584"/>
      <c r="S71"/>
      <c r="T71"/>
      <c r="U71"/>
      <c r="V71"/>
      <c r="W71"/>
      <c r="X71"/>
      <c r="Y71"/>
    </row>
    <row r="72" spans="1:25" s="11" customFormat="1" ht="12.75" customHeight="1" x14ac:dyDescent="0.3">
      <c r="A72" s="566"/>
      <c r="B72" s="566"/>
      <c r="C72" s="566" t="s">
        <v>390</v>
      </c>
      <c r="D72" s="566"/>
      <c r="E72" s="566"/>
      <c r="F72" s="566"/>
      <c r="G72" s="781" t="s">
        <v>391</v>
      </c>
      <c r="H72" s="567" t="s">
        <v>335</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336</v>
      </c>
      <c r="N72" s="566"/>
      <c r="O72" s="584"/>
      <c r="P72" s="584"/>
      <c r="S72"/>
      <c r="T72"/>
      <c r="U72"/>
      <c r="V72"/>
      <c r="W72"/>
      <c r="X72"/>
      <c r="Y72"/>
    </row>
    <row r="73" spans="1:25" s="11" customFormat="1" ht="12.75" customHeight="1" x14ac:dyDescent="0.3">
      <c r="A73" s="566"/>
      <c r="B73" s="566"/>
      <c r="C73" s="566" t="s">
        <v>392</v>
      </c>
      <c r="D73" s="566"/>
      <c r="E73" s="566"/>
      <c r="F73" s="566"/>
      <c r="G73" s="781" t="s">
        <v>393</v>
      </c>
      <c r="H73" s="567" t="s">
        <v>335</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336</v>
      </c>
      <c r="N73" s="566"/>
      <c r="O73" s="584"/>
      <c r="P73" s="584"/>
      <c r="S73"/>
      <c r="T73"/>
      <c r="U73"/>
      <c r="V73"/>
      <c r="W73"/>
      <c r="X73"/>
      <c r="Y73"/>
    </row>
    <row r="74" spans="1:25" s="11" customFormat="1" ht="12.75" customHeight="1" x14ac:dyDescent="0.3">
      <c r="A74" s="566"/>
      <c r="B74" s="566"/>
      <c r="C74" s="598" t="s">
        <v>394</v>
      </c>
      <c r="D74" s="598"/>
      <c r="E74" s="598"/>
      <c r="F74" s="598"/>
      <c r="G74" s="782" t="s">
        <v>395</v>
      </c>
      <c r="H74" s="601" t="s">
        <v>335</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336</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396</v>
      </c>
      <c r="D76" s="598"/>
      <c r="E76" s="598"/>
      <c r="F76" s="598"/>
      <c r="G76" s="587" t="s">
        <v>258</v>
      </c>
      <c r="H76" s="587" t="s">
        <v>274</v>
      </c>
      <c r="I76" s="730" t="s">
        <v>259</v>
      </c>
      <c r="J76" s="810" t="s">
        <v>275</v>
      </c>
      <c r="K76" s="730" t="s">
        <v>260</v>
      </c>
      <c r="L76" s="732" t="s">
        <v>261</v>
      </c>
      <c r="M76" s="580"/>
      <c r="N76" s="587" t="s">
        <v>262</v>
      </c>
      <c r="O76" s="566"/>
      <c r="P76" s="566"/>
    </row>
    <row r="77" spans="1:25" customFormat="1" ht="12.75" customHeight="1" x14ac:dyDescent="0.3">
      <c r="A77" s="566"/>
      <c r="B77" s="566"/>
      <c r="C77" s="779" t="s">
        <v>332</v>
      </c>
      <c r="D77" s="566"/>
      <c r="E77" s="566"/>
      <c r="F77" s="566"/>
      <c r="G77" s="567"/>
      <c r="H77" s="567"/>
      <c r="I77" s="674"/>
      <c r="J77" s="810"/>
      <c r="K77" s="808"/>
      <c r="L77" s="732"/>
      <c r="M77" s="566"/>
      <c r="N77" s="567"/>
      <c r="O77" s="566"/>
      <c r="P77" s="566"/>
    </row>
    <row r="78" spans="1:25" customFormat="1" ht="12.75" customHeight="1" x14ac:dyDescent="0.3">
      <c r="A78" s="566"/>
      <c r="B78" s="566"/>
      <c r="C78" s="566" t="s">
        <v>397</v>
      </c>
      <c r="D78" s="566"/>
      <c r="E78" s="566"/>
      <c r="F78" s="566"/>
      <c r="G78" s="781" t="s">
        <v>398</v>
      </c>
      <c r="H78" s="567" t="s">
        <v>335</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336</v>
      </c>
      <c r="N78" s="566"/>
      <c r="O78" s="566"/>
      <c r="P78" s="566"/>
    </row>
    <row r="79" spans="1:25" customFormat="1" ht="12.75" customHeight="1" x14ac:dyDescent="0.3">
      <c r="A79" s="566"/>
      <c r="B79" s="566"/>
      <c r="C79" s="566"/>
      <c r="D79" s="566" t="s">
        <v>399</v>
      </c>
      <c r="E79" s="566"/>
      <c r="F79" s="566"/>
      <c r="G79" s="781" t="s">
        <v>400</v>
      </c>
      <c r="H79" s="567" t="s">
        <v>335</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336</v>
      </c>
      <c r="N79" s="577"/>
      <c r="O79" s="566"/>
      <c r="P79" s="566"/>
    </row>
    <row r="80" spans="1:25" customFormat="1" ht="12.75" customHeight="1" x14ac:dyDescent="0.3">
      <c r="A80" s="566"/>
      <c r="B80" s="566"/>
      <c r="C80" s="566"/>
      <c r="D80" s="566" t="s">
        <v>401</v>
      </c>
      <c r="E80" s="566"/>
      <c r="F80" s="566"/>
      <c r="G80" s="781" t="s">
        <v>402</v>
      </c>
      <c r="H80" s="567" t="s">
        <v>335</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336</v>
      </c>
      <c r="N80" s="577"/>
      <c r="O80" s="566"/>
      <c r="P80" s="566"/>
    </row>
    <row r="81" spans="1:16" customFormat="1" ht="12.75" customHeight="1" x14ac:dyDescent="0.3">
      <c r="A81" s="566"/>
      <c r="B81" s="566"/>
      <c r="C81" s="566" t="s">
        <v>403</v>
      </c>
      <c r="D81" s="566"/>
      <c r="E81" s="566"/>
      <c r="F81" s="566"/>
      <c r="G81" s="781" t="s">
        <v>404</v>
      </c>
      <c r="H81" s="567" t="s">
        <v>335</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336</v>
      </c>
      <c r="N81" s="566"/>
      <c r="O81" s="566"/>
      <c r="P81" s="566"/>
    </row>
    <row r="82" spans="1:16" customFormat="1" ht="12.75" customHeight="1" x14ac:dyDescent="0.3">
      <c r="A82" s="566"/>
      <c r="B82" s="566"/>
      <c r="C82" s="566" t="s">
        <v>405</v>
      </c>
      <c r="D82" s="566"/>
      <c r="E82" s="566"/>
      <c r="F82" s="566"/>
      <c r="G82" s="781" t="s">
        <v>406</v>
      </c>
      <c r="H82" s="567" t="s">
        <v>335</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336</v>
      </c>
      <c r="N82" s="566"/>
      <c r="O82" s="566"/>
      <c r="P82" s="566"/>
    </row>
    <row r="83" spans="1:16" customFormat="1" ht="12.75" customHeight="1" x14ac:dyDescent="0.3">
      <c r="A83" s="566"/>
      <c r="B83" s="566"/>
      <c r="C83" s="566"/>
      <c r="D83" s="566" t="s">
        <v>407</v>
      </c>
      <c r="E83" s="566"/>
      <c r="F83" s="566"/>
      <c r="G83" s="781" t="s">
        <v>408</v>
      </c>
      <c r="H83" s="567" t="s">
        <v>335</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336</v>
      </c>
      <c r="N83" s="577"/>
      <c r="O83" s="566"/>
      <c r="P83" s="566"/>
    </row>
    <row r="84" spans="1:16" customFormat="1" ht="12.75" customHeight="1" x14ac:dyDescent="0.3">
      <c r="A84" s="566"/>
      <c r="B84" s="566"/>
      <c r="C84" s="566"/>
      <c r="D84" s="566" t="s">
        <v>409</v>
      </c>
      <c r="E84" s="566"/>
      <c r="F84" s="566"/>
      <c r="G84" s="781" t="s">
        <v>410</v>
      </c>
      <c r="H84" s="567" t="s">
        <v>335</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336</v>
      </c>
      <c r="N84" s="577"/>
      <c r="O84" s="566"/>
      <c r="P84" s="566"/>
    </row>
    <row r="85" spans="1:16" customFormat="1" ht="12.75" customHeight="1" x14ac:dyDescent="0.3">
      <c r="A85" s="566"/>
      <c r="B85" s="566"/>
      <c r="C85" s="566" t="s">
        <v>411</v>
      </c>
      <c r="D85" s="566"/>
      <c r="E85" s="566"/>
      <c r="F85" s="566"/>
      <c r="G85" s="781" t="s">
        <v>412</v>
      </c>
      <c r="H85" s="567" t="s">
        <v>335</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336</v>
      </c>
      <c r="N85" s="566"/>
      <c r="O85" s="566"/>
      <c r="P85" s="566"/>
    </row>
    <row r="86" spans="1:16" customFormat="1" ht="12.75" customHeight="1" x14ac:dyDescent="0.3">
      <c r="A86" s="566"/>
      <c r="B86" s="566"/>
      <c r="C86" s="566"/>
      <c r="D86" s="566" t="s">
        <v>413</v>
      </c>
      <c r="E86" s="566"/>
      <c r="F86" s="566"/>
      <c r="G86" s="781" t="s">
        <v>414</v>
      </c>
      <c r="H86" s="567" t="s">
        <v>335</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336</v>
      </c>
      <c r="N86" s="577"/>
      <c r="O86" s="566"/>
      <c r="P86" s="566"/>
    </row>
    <row r="87" spans="1:16" customFormat="1" ht="12.75" customHeight="1" x14ac:dyDescent="0.3">
      <c r="A87" s="566"/>
      <c r="B87" s="566"/>
      <c r="C87" s="566"/>
      <c r="D87" s="566" t="s">
        <v>415</v>
      </c>
      <c r="E87" s="566"/>
      <c r="F87" s="566"/>
      <c r="G87" s="781" t="s">
        <v>416</v>
      </c>
      <c r="H87" s="567" t="s">
        <v>335</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336</v>
      </c>
      <c r="N87" s="577"/>
      <c r="O87" s="566"/>
      <c r="P87" s="566"/>
    </row>
    <row r="88" spans="1:16" customFormat="1" ht="12.75" customHeight="1" x14ac:dyDescent="0.3">
      <c r="A88" s="566"/>
      <c r="B88" s="566"/>
      <c r="C88" s="566" t="s">
        <v>417</v>
      </c>
      <c r="D88" s="566"/>
      <c r="E88" s="566"/>
      <c r="F88" s="566"/>
      <c r="G88" s="781" t="s">
        <v>418</v>
      </c>
      <c r="H88" s="567" t="s">
        <v>335</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336</v>
      </c>
      <c r="N88" s="566"/>
      <c r="O88" s="566"/>
      <c r="P88" s="566"/>
    </row>
    <row r="89" spans="1:16" customFormat="1" ht="12.75" customHeight="1" x14ac:dyDescent="0.3">
      <c r="A89" s="566"/>
      <c r="B89" s="566"/>
      <c r="C89" s="566" t="s">
        <v>419</v>
      </c>
      <c r="D89" s="566"/>
      <c r="E89" s="566"/>
      <c r="F89" s="566"/>
      <c r="G89" s="781" t="s">
        <v>420</v>
      </c>
      <c r="H89" s="567" t="s">
        <v>335</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336</v>
      </c>
      <c r="N89" s="566"/>
      <c r="O89" s="566"/>
      <c r="P89" s="566"/>
    </row>
    <row r="90" spans="1:16" customFormat="1" ht="12.75" customHeight="1" x14ac:dyDescent="0.3">
      <c r="A90" s="566"/>
      <c r="B90" s="566"/>
      <c r="C90" s="566" t="s">
        <v>421</v>
      </c>
      <c r="D90" s="566"/>
      <c r="E90" s="566"/>
      <c r="F90" s="566"/>
      <c r="G90" s="781" t="s">
        <v>422</v>
      </c>
      <c r="H90" s="567" t="s">
        <v>335</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336</v>
      </c>
      <c r="N90" s="566"/>
      <c r="O90" s="566"/>
      <c r="P90" s="566"/>
    </row>
    <row r="91" spans="1:16" customFormat="1" ht="12.75" customHeight="1" x14ac:dyDescent="0.3">
      <c r="A91" s="566"/>
      <c r="B91" s="566"/>
      <c r="C91" s="566"/>
      <c r="D91" s="566" t="s">
        <v>423</v>
      </c>
      <c r="E91" s="566"/>
      <c r="F91" s="566"/>
      <c r="G91" s="781" t="s">
        <v>424</v>
      </c>
      <c r="H91" s="567" t="s">
        <v>335</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336</v>
      </c>
      <c r="N91" s="577"/>
      <c r="O91" s="566"/>
      <c r="P91" s="566"/>
    </row>
    <row r="92" spans="1:16" customFormat="1" ht="12.75" customHeight="1" x14ac:dyDescent="0.3">
      <c r="A92" s="566"/>
      <c r="B92" s="566"/>
      <c r="C92" s="566"/>
      <c r="D92" s="566" t="s">
        <v>425</v>
      </c>
      <c r="E92" s="566"/>
      <c r="F92" s="566"/>
      <c r="G92" s="781" t="s">
        <v>426</v>
      </c>
      <c r="H92" s="567" t="s">
        <v>335</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336</v>
      </c>
      <c r="N92" s="577"/>
      <c r="O92" s="566"/>
      <c r="P92" s="566"/>
    </row>
    <row r="93" spans="1:16" customFormat="1" ht="12.75" customHeight="1" x14ac:dyDescent="0.3">
      <c r="A93" s="566"/>
      <c r="B93" s="566"/>
      <c r="C93" s="566" t="s">
        <v>427</v>
      </c>
      <c r="D93" s="566"/>
      <c r="E93" s="566"/>
      <c r="F93" s="566"/>
      <c r="G93" s="781" t="s">
        <v>428</v>
      </c>
      <c r="H93" s="567" t="s">
        <v>335</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336</v>
      </c>
      <c r="N93" s="566"/>
      <c r="O93" s="566"/>
      <c r="P93" s="566"/>
    </row>
    <row r="94" spans="1:16" customFormat="1" ht="12.75" customHeight="1" x14ac:dyDescent="0.3">
      <c r="A94" s="566"/>
      <c r="B94" s="566"/>
      <c r="C94" s="566" t="s">
        <v>429</v>
      </c>
      <c r="D94" s="566"/>
      <c r="E94" s="566"/>
      <c r="F94" s="566"/>
      <c r="G94" s="781" t="s">
        <v>430</v>
      </c>
      <c r="H94" s="567" t="s">
        <v>335</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336</v>
      </c>
      <c r="N94" s="566"/>
      <c r="O94" s="566"/>
      <c r="P94" s="566"/>
    </row>
    <row r="95" spans="1:16" customFormat="1" ht="12.75" customHeight="1" x14ac:dyDescent="0.3">
      <c r="A95" s="566"/>
      <c r="B95" s="566"/>
      <c r="C95" s="566" t="s">
        <v>431</v>
      </c>
      <c r="D95" s="566"/>
      <c r="E95" s="566"/>
      <c r="F95" s="566"/>
      <c r="G95" s="781" t="s">
        <v>432</v>
      </c>
      <c r="H95" s="567" t="s">
        <v>335</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336</v>
      </c>
      <c r="N95" s="566"/>
      <c r="O95" s="566"/>
      <c r="P95" s="566"/>
    </row>
    <row r="96" spans="1:16" customFormat="1" ht="12.75" customHeight="1" x14ac:dyDescent="0.3">
      <c r="A96" s="566"/>
      <c r="B96" s="566"/>
      <c r="C96" s="566"/>
      <c r="D96" s="566" t="s">
        <v>433</v>
      </c>
      <c r="E96" s="566"/>
      <c r="F96" s="566"/>
      <c r="G96" s="781" t="s">
        <v>434</v>
      </c>
      <c r="H96" s="567" t="s">
        <v>335</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336</v>
      </c>
      <c r="N96" s="577"/>
      <c r="O96" s="566"/>
      <c r="P96" s="566"/>
    </row>
    <row r="97" spans="1:16" customFormat="1" ht="12.75" customHeight="1" x14ac:dyDescent="0.3">
      <c r="A97" s="566"/>
      <c r="B97" s="566"/>
      <c r="C97" s="566"/>
      <c r="D97" s="566" t="s">
        <v>435</v>
      </c>
      <c r="E97" s="566"/>
      <c r="F97" s="566"/>
      <c r="G97" s="781" t="s">
        <v>436</v>
      </c>
      <c r="H97" s="567" t="s">
        <v>335</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336</v>
      </c>
      <c r="N97" s="577"/>
      <c r="O97" s="566"/>
      <c r="P97" s="566"/>
    </row>
    <row r="98" spans="1:16" customFormat="1" ht="12.75" customHeight="1" x14ac:dyDescent="0.3">
      <c r="A98" s="566"/>
      <c r="B98" s="566"/>
      <c r="C98" s="566" t="s">
        <v>437</v>
      </c>
      <c r="D98" s="566"/>
      <c r="E98" s="566"/>
      <c r="F98" s="566"/>
      <c r="G98" s="781" t="s">
        <v>438</v>
      </c>
      <c r="H98" s="567" t="s">
        <v>335</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336</v>
      </c>
      <c r="N98" s="566"/>
      <c r="O98" s="566"/>
      <c r="P98" s="566"/>
    </row>
    <row r="99" spans="1:16" customFormat="1" ht="12.75" customHeight="1" x14ac:dyDescent="0.3">
      <c r="A99" s="566"/>
      <c r="B99" s="566"/>
      <c r="C99" s="566"/>
      <c r="D99" s="566" t="s">
        <v>433</v>
      </c>
      <c r="E99" s="566"/>
      <c r="F99" s="566"/>
      <c r="G99" s="781" t="s">
        <v>439</v>
      </c>
      <c r="H99" s="567" t="s">
        <v>335</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336</v>
      </c>
      <c r="N99" s="577"/>
      <c r="O99" s="566"/>
      <c r="P99" s="566"/>
    </row>
    <row r="100" spans="1:16" customFormat="1" ht="12.75" customHeight="1" x14ac:dyDescent="0.3">
      <c r="A100" s="566"/>
      <c r="B100" s="566"/>
      <c r="C100" s="566"/>
      <c r="D100" s="566" t="s">
        <v>435</v>
      </c>
      <c r="E100" s="566"/>
      <c r="F100" s="566"/>
      <c r="G100" s="781" t="s">
        <v>440</v>
      </c>
      <c r="H100" s="567" t="s">
        <v>335</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336</v>
      </c>
      <c r="N100" s="577"/>
      <c r="O100" s="566"/>
      <c r="P100" s="566"/>
    </row>
    <row r="101" spans="1:16" customFormat="1" ht="12.75" customHeight="1" x14ac:dyDescent="0.3">
      <c r="A101" s="566"/>
      <c r="B101" s="566"/>
      <c r="C101" s="779" t="s">
        <v>441</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4718</v>
      </c>
      <c r="D102" s="566"/>
      <c r="E102" s="566"/>
      <c r="F102" s="566"/>
      <c r="G102" s="781" t="s">
        <v>442</v>
      </c>
      <c r="H102" s="567" t="s">
        <v>335</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336</v>
      </c>
      <c r="N102" s="566"/>
      <c r="O102" s="566"/>
      <c r="P102" s="566"/>
    </row>
    <row r="103" spans="1:16" customFormat="1" ht="12.75" customHeight="1" x14ac:dyDescent="0.3">
      <c r="A103" s="566"/>
      <c r="B103" s="566"/>
      <c r="C103" s="566" t="s">
        <v>4719</v>
      </c>
      <c r="D103" s="566"/>
      <c r="E103" s="566"/>
      <c r="F103" s="566"/>
      <c r="G103" s="781" t="s">
        <v>443</v>
      </c>
      <c r="H103" s="567" t="s">
        <v>335</v>
      </c>
      <c r="I103" s="812"/>
      <c r="J103" s="723" t="str">
        <f>IF(HLOOKUP(CaseName,CaseData,MATCH($G103,cases!$G$3:$G$1259,0)-1,FALSE)="","",HLOOKUP(CaseName,CaseData,MATCH($G103,cases!$G$3:$G$1259,0)-1,FALSE))</f>
        <v/>
      </c>
      <c r="K103" s="733">
        <f>kdegS.a</f>
        <v>0</v>
      </c>
      <c r="L103" s="551">
        <f t="shared" si="8"/>
        <v>0</v>
      </c>
      <c r="M103" s="567" t="s">
        <v>336</v>
      </c>
      <c r="N103" s="566"/>
      <c r="O103" s="566"/>
      <c r="P103" s="566"/>
    </row>
    <row r="104" spans="1:16" customFormat="1" ht="12.75" customHeight="1" x14ac:dyDescent="0.3">
      <c r="A104" s="566"/>
      <c r="B104" s="566"/>
      <c r="C104" s="566" t="s">
        <v>444</v>
      </c>
      <c r="D104" s="566"/>
      <c r="E104" s="566"/>
      <c r="F104" s="566"/>
      <c r="G104" s="781" t="s">
        <v>445</v>
      </c>
      <c r="H104" s="567" t="s">
        <v>335</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336</v>
      </c>
      <c r="N104" s="566"/>
      <c r="O104" s="566"/>
      <c r="P104" s="566"/>
    </row>
    <row r="105" spans="1:16" customFormat="1" ht="12.75" customHeight="1" x14ac:dyDescent="0.3">
      <c r="A105" s="566"/>
      <c r="B105" s="566"/>
      <c r="C105" s="566" t="s">
        <v>446</v>
      </c>
      <c r="D105" s="566"/>
      <c r="E105" s="566"/>
      <c r="F105" s="566"/>
      <c r="G105" s="781" t="s">
        <v>447</v>
      </c>
      <c r="H105" s="567" t="s">
        <v>335</v>
      </c>
      <c r="I105" s="812"/>
      <c r="J105" s="723" t="str">
        <f>IF(HLOOKUP(CaseName,CaseData,MATCH($G105,cases!$G$3:$G$1259,0)-1,FALSE)="","",HLOOKUP(CaseName,CaseData,MATCH($G105,cases!$G$3:$G$1259,0)-1,FALSE))</f>
        <v/>
      </c>
      <c r="K105" s="733">
        <f>kdegS.w0</f>
        <v>0</v>
      </c>
      <c r="L105" s="551">
        <f t="shared" si="9"/>
        <v>0</v>
      </c>
      <c r="M105" s="567" t="s">
        <v>336</v>
      </c>
      <c r="N105" s="566"/>
      <c r="O105" s="566"/>
      <c r="P105" s="566"/>
    </row>
    <row r="106" spans="1:16" customFormat="1" ht="12.75" customHeight="1" x14ac:dyDescent="0.3">
      <c r="A106" s="566"/>
      <c r="B106" s="566"/>
      <c r="C106" s="566" t="s">
        <v>448</v>
      </c>
      <c r="D106" s="566"/>
      <c r="E106" s="566"/>
      <c r="F106" s="566"/>
      <c r="G106" s="781" t="s">
        <v>449</v>
      </c>
      <c r="H106" s="567" t="s">
        <v>335</v>
      </c>
      <c r="I106" s="812"/>
      <c r="J106" s="723" t="str">
        <f>IF(HLOOKUP(CaseName,CaseData,MATCH($G106,cases!$G$3:$G$1259,0)-1,FALSE)="","",HLOOKUP(CaseName,CaseData,MATCH($G106,cases!$G$3:$G$1259,0)-1,FALSE))</f>
        <v/>
      </c>
      <c r="K106" s="733">
        <f>kdegS.w1</f>
        <v>0</v>
      </c>
      <c r="L106" s="551">
        <f t="shared" si="9"/>
        <v>0</v>
      </c>
      <c r="M106" s="567" t="s">
        <v>336</v>
      </c>
      <c r="N106" s="566"/>
      <c r="O106" s="566"/>
      <c r="P106" s="566"/>
    </row>
    <row r="107" spans="1:16" customFormat="1" ht="12.75" customHeight="1" x14ac:dyDescent="0.3">
      <c r="A107" s="566"/>
      <c r="B107" s="566"/>
      <c r="C107" s="566" t="s">
        <v>450</v>
      </c>
      <c r="D107" s="566"/>
      <c r="E107" s="566"/>
      <c r="F107" s="566"/>
      <c r="G107" s="781" t="s">
        <v>451</v>
      </c>
      <c r="H107" s="567" t="s">
        <v>335</v>
      </c>
      <c r="I107" s="812"/>
      <c r="J107" s="723" t="str">
        <f>IF(HLOOKUP(CaseName,CaseData,MATCH($G107,cases!$G$3:$G$1259,0)-1,FALSE)="","",HLOOKUP(CaseName,CaseData,MATCH($G107,cases!$G$3:$G$1259,0)-1,FALSE))</f>
        <v/>
      </c>
      <c r="K107" s="733">
        <f>kdegS.w1</f>
        <v>0</v>
      </c>
      <c r="L107" s="551">
        <f t="shared" si="9"/>
        <v>0</v>
      </c>
      <c r="M107" s="567" t="s">
        <v>336</v>
      </c>
      <c r="N107" s="566"/>
      <c r="O107" s="566"/>
      <c r="P107" s="566"/>
    </row>
    <row r="108" spans="1:16" customFormat="1" ht="12.75" customHeight="1" x14ac:dyDescent="0.3">
      <c r="A108" s="566"/>
      <c r="B108" s="566"/>
      <c r="C108" s="566" t="s">
        <v>452</v>
      </c>
      <c r="D108" s="566"/>
      <c r="E108" s="566"/>
      <c r="F108" s="566"/>
      <c r="G108" s="781" t="s">
        <v>453</v>
      </c>
      <c r="H108" s="567" t="s">
        <v>335</v>
      </c>
      <c r="I108" s="812"/>
      <c r="J108" s="723" t="str">
        <f>IF(HLOOKUP(CaseName,CaseData,MATCH($G108,cases!$G$3:$G$1259,0)-1,FALSE)="","",HLOOKUP(CaseName,CaseData,MATCH($G108,cases!$G$3:$G$1259,0)-1,FALSE))</f>
        <v/>
      </c>
      <c r="K108" s="733">
        <f>kdegS.w2</f>
        <v>0</v>
      </c>
      <c r="L108" s="551">
        <f t="shared" si="9"/>
        <v>0</v>
      </c>
      <c r="M108" s="567" t="s">
        <v>336</v>
      </c>
      <c r="N108" s="781"/>
      <c r="O108" s="566"/>
      <c r="P108" s="566"/>
    </row>
    <row r="109" spans="1:16" customFormat="1" ht="12.75" customHeight="1" x14ac:dyDescent="0.3">
      <c r="A109" s="566"/>
      <c r="B109" s="566"/>
      <c r="C109" s="566" t="s">
        <v>454</v>
      </c>
      <c r="D109" s="566"/>
      <c r="E109" s="566"/>
      <c r="F109" s="566"/>
      <c r="G109" s="781" t="s">
        <v>455</v>
      </c>
      <c r="H109" s="567" t="s">
        <v>335</v>
      </c>
      <c r="I109" s="812"/>
      <c r="J109" s="723" t="str">
        <f>IF(HLOOKUP(CaseName,CaseData,MATCH($G109,cases!$G$3:$G$1259,0)-1,FALSE)="","",HLOOKUP(CaseName,CaseData,MATCH($G109,cases!$G$3:$G$1259,0)-1,FALSE))</f>
        <v/>
      </c>
      <c r="K109" s="733">
        <f>kdegS.w2</f>
        <v>0</v>
      </c>
      <c r="L109" s="551">
        <f t="shared" si="9"/>
        <v>0</v>
      </c>
      <c r="M109" s="567" t="s">
        <v>336</v>
      </c>
      <c r="N109" s="781"/>
      <c r="O109" s="566"/>
      <c r="P109" s="566"/>
    </row>
    <row r="110" spans="1:16" customFormat="1" ht="12.75" customHeight="1" x14ac:dyDescent="0.3">
      <c r="A110" s="566"/>
      <c r="B110" s="566"/>
      <c r="C110" s="566" t="s">
        <v>456</v>
      </c>
      <c r="D110" s="566"/>
      <c r="E110" s="566"/>
      <c r="F110" s="566"/>
      <c r="G110" s="781" t="s">
        <v>457</v>
      </c>
      <c r="H110" s="567" t="s">
        <v>335</v>
      </c>
      <c r="I110" s="812"/>
      <c r="J110" s="723" t="str">
        <f>IF(HLOOKUP(CaseName,CaseData,MATCH($G110,cases!$G$3:$G$1259,0)-1,FALSE)="","",HLOOKUP(CaseName,CaseData,MATCH($G110,cases!$G$3:$G$1259,0)-1,FALSE))</f>
        <v/>
      </c>
      <c r="K110" s="733">
        <f>kdegS.s1</f>
        <v>0</v>
      </c>
      <c r="L110" s="551">
        <f t="shared" si="9"/>
        <v>0</v>
      </c>
      <c r="M110" s="567" t="s">
        <v>336</v>
      </c>
      <c r="N110" s="781"/>
      <c r="O110" s="566"/>
      <c r="P110" s="566"/>
    </row>
    <row r="111" spans="1:16" customFormat="1" ht="12.75" customHeight="1" x14ac:dyDescent="0.3">
      <c r="A111" s="566"/>
      <c r="B111" s="566"/>
      <c r="C111" s="566" t="s">
        <v>458</v>
      </c>
      <c r="D111" s="566"/>
      <c r="E111" s="566"/>
      <c r="F111" s="566"/>
      <c r="G111" s="781" t="s">
        <v>459</v>
      </c>
      <c r="H111" s="567" t="s">
        <v>335</v>
      </c>
      <c r="I111" s="812"/>
      <c r="J111" s="723" t="str">
        <f>IF(HLOOKUP(CaseName,CaseData,MATCH($G111,cases!$G$3:$G$1259,0)-1,FALSE)="","",HLOOKUP(CaseName,CaseData,MATCH($G111,cases!$G$3:$G$1259,0)-1,FALSE))</f>
        <v/>
      </c>
      <c r="K111" s="733">
        <f>kdegS.s1</f>
        <v>0</v>
      </c>
      <c r="L111" s="551">
        <f t="shared" si="9"/>
        <v>0</v>
      </c>
      <c r="M111" s="567" t="s">
        <v>336</v>
      </c>
      <c r="N111" s="781"/>
      <c r="O111" s="566"/>
      <c r="P111" s="566"/>
    </row>
    <row r="112" spans="1:16" customFormat="1" ht="12.75" customHeight="1" x14ac:dyDescent="0.3">
      <c r="A112" s="566"/>
      <c r="B112" s="566"/>
      <c r="C112" s="566" t="s">
        <v>460</v>
      </c>
      <c r="D112" s="566"/>
      <c r="E112" s="566"/>
      <c r="F112" s="566"/>
      <c r="G112" s="781" t="s">
        <v>461</v>
      </c>
      <c r="H112" s="567" t="s">
        <v>335</v>
      </c>
      <c r="I112" s="812"/>
      <c r="J112" s="723" t="str">
        <f>IF(HLOOKUP(CaseName,CaseData,MATCH($G112,cases!$G$3:$G$1259,0)-1,FALSE)="","",HLOOKUP(CaseName,CaseData,MATCH($G112,cases!$G$3:$G$1259,0)-1,FALSE))</f>
        <v/>
      </c>
      <c r="K112" s="733">
        <f>kdegS.s2</f>
        <v>0</v>
      </c>
      <c r="L112" s="551">
        <f t="shared" si="9"/>
        <v>0</v>
      </c>
      <c r="M112" s="567" t="s">
        <v>336</v>
      </c>
      <c r="N112" s="781"/>
      <c r="O112" s="566"/>
      <c r="P112" s="566"/>
    </row>
    <row r="113" spans="1:34" customFormat="1" ht="12.75" customHeight="1" x14ac:dyDescent="0.3">
      <c r="A113" s="566"/>
      <c r="B113" s="566"/>
      <c r="C113" s="566" t="s">
        <v>462</v>
      </c>
      <c r="D113" s="566"/>
      <c r="E113" s="566"/>
      <c r="F113" s="566"/>
      <c r="G113" s="781" t="s">
        <v>463</v>
      </c>
      <c r="H113" s="567" t="s">
        <v>335</v>
      </c>
      <c r="I113" s="812"/>
      <c r="J113" s="723" t="str">
        <f>IF(HLOOKUP(CaseName,CaseData,MATCH($G113,cases!$G$3:$G$1259,0)-1,FALSE)="","",HLOOKUP(CaseName,CaseData,MATCH($G113,cases!$G$3:$G$1259,0)-1,FALSE))</f>
        <v/>
      </c>
      <c r="K113" s="733">
        <f>kdegS.s2</f>
        <v>0</v>
      </c>
      <c r="L113" s="551">
        <f t="shared" si="9"/>
        <v>0</v>
      </c>
      <c r="M113" s="567" t="s">
        <v>336</v>
      </c>
      <c r="N113" s="781"/>
      <c r="O113" s="566"/>
      <c r="P113" s="566"/>
    </row>
    <row r="114" spans="1:34" customFormat="1" ht="12.75" customHeight="1" x14ac:dyDescent="0.3">
      <c r="A114" s="566"/>
      <c r="B114" s="566"/>
      <c r="C114" s="566" t="s">
        <v>464</v>
      </c>
      <c r="D114" s="566"/>
      <c r="E114" s="566"/>
      <c r="F114" s="566"/>
      <c r="G114" s="781" t="s">
        <v>465</v>
      </c>
      <c r="H114" s="567" t="s">
        <v>335</v>
      </c>
      <c r="I114" s="812"/>
      <c r="J114" s="723" t="str">
        <f>IF(HLOOKUP(CaseName,CaseData,MATCH($G114,cases!$G$3:$G$1259,0)-1,FALSE)="","",HLOOKUP(CaseName,CaseData,MATCH($G114,cases!$G$3:$G$1259,0)-1,FALSE))</f>
        <v/>
      </c>
      <c r="K114" s="733">
        <f>kdegS.s3</f>
        <v>0</v>
      </c>
      <c r="L114" s="551">
        <f t="shared" si="9"/>
        <v>0</v>
      </c>
      <c r="M114" s="567" t="s">
        <v>336</v>
      </c>
      <c r="N114" s="781"/>
      <c r="O114" s="566"/>
      <c r="P114" s="566"/>
    </row>
    <row r="115" spans="1:34" customFormat="1" ht="12.75" customHeight="1" x14ac:dyDescent="0.3">
      <c r="A115" s="566"/>
      <c r="B115" s="566"/>
      <c r="C115" s="566" t="s">
        <v>466</v>
      </c>
      <c r="D115" s="566"/>
      <c r="E115" s="566"/>
      <c r="F115" s="566"/>
      <c r="G115" s="781" t="s">
        <v>467</v>
      </c>
      <c r="H115" s="567" t="s">
        <v>335</v>
      </c>
      <c r="I115" s="812"/>
      <c r="J115" s="723" t="str">
        <f>IF(HLOOKUP(CaseName,CaseData,MATCH($G115,cases!$G$3:$G$1259,0)-1,FALSE)="","",HLOOKUP(CaseName,CaseData,MATCH($G115,cases!$G$3:$G$1259,0)-1,FALSE))</f>
        <v/>
      </c>
      <c r="K115" s="733">
        <f>kdegS.s3</f>
        <v>0</v>
      </c>
      <c r="L115" s="551">
        <f t="shared" si="9"/>
        <v>0</v>
      </c>
      <c r="M115" s="567" t="s">
        <v>336</v>
      </c>
      <c r="N115" s="781"/>
      <c r="O115" s="566"/>
      <c r="P115" s="566"/>
    </row>
    <row r="116" spans="1:34" customFormat="1" ht="12.75" customHeight="1" x14ac:dyDescent="0.3">
      <c r="A116" s="566"/>
      <c r="B116" s="566"/>
      <c r="C116" s="566" t="s">
        <v>468</v>
      </c>
      <c r="D116" s="566"/>
      <c r="E116" s="566"/>
      <c r="F116" s="566"/>
      <c r="G116" s="781" t="s">
        <v>469</v>
      </c>
      <c r="H116" s="567" t="s">
        <v>335</v>
      </c>
      <c r="I116" s="812"/>
      <c r="J116" s="723" t="str">
        <f>IF(HLOOKUP(CaseName,CaseData,MATCH($G116,cases!$G$3:$G$1259,0)-1,FALSE)="","",HLOOKUP(CaseName,CaseData,MATCH($G116,cases!$G$3:$G$1259,0)-1,FALSE))</f>
        <v/>
      </c>
      <c r="K116" s="733">
        <f>kdegS.sd0</f>
        <v>0</v>
      </c>
      <c r="L116" s="551">
        <f t="shared" si="9"/>
        <v>0</v>
      </c>
      <c r="M116" s="567" t="s">
        <v>336</v>
      </c>
      <c r="N116" s="781"/>
      <c r="O116" s="566"/>
      <c r="P116" s="566"/>
    </row>
    <row r="117" spans="1:34" customFormat="1" ht="12.75" customHeight="1" x14ac:dyDescent="0.3">
      <c r="A117" s="566"/>
      <c r="B117" s="566"/>
      <c r="C117" s="566" t="s">
        <v>470</v>
      </c>
      <c r="D117" s="566"/>
      <c r="E117" s="566"/>
      <c r="F117" s="566"/>
      <c r="G117" s="781" t="s">
        <v>471</v>
      </c>
      <c r="H117" s="567" t="s">
        <v>335</v>
      </c>
      <c r="I117" s="812"/>
      <c r="J117" s="723" t="str">
        <f>IF(HLOOKUP(CaseName,CaseData,MATCH($G117,cases!$G$3:$G$1259,0)-1,FALSE)="","",HLOOKUP(CaseName,CaseData,MATCH($G117,cases!$G$3:$G$1259,0)-1,FALSE))</f>
        <v/>
      </c>
      <c r="K117" s="733">
        <f>kdegS.sd0</f>
        <v>0</v>
      </c>
      <c r="L117" s="551">
        <f t="shared" si="9"/>
        <v>0</v>
      </c>
      <c r="M117" s="567" t="s">
        <v>336</v>
      </c>
      <c r="N117" s="781"/>
      <c r="O117" s="566"/>
      <c r="P117" s="566"/>
    </row>
    <row r="118" spans="1:34" customFormat="1" ht="12.75" customHeight="1" x14ac:dyDescent="0.3">
      <c r="A118" s="566"/>
      <c r="B118" s="566"/>
      <c r="C118" s="566" t="s">
        <v>472</v>
      </c>
      <c r="D118" s="566"/>
      <c r="E118" s="566"/>
      <c r="F118" s="566"/>
      <c r="G118" s="781" t="s">
        <v>473</v>
      </c>
      <c r="H118" s="567" t="s">
        <v>335</v>
      </c>
      <c r="I118" s="812"/>
      <c r="J118" s="723" t="str">
        <f>IF(HLOOKUP(CaseName,CaseData,MATCH($G118,cases!$G$3:$G$1259,0)-1,FALSE)="","",HLOOKUP(CaseName,CaseData,MATCH($G118,cases!$G$3:$G$1259,0)-1,FALSE))</f>
        <v/>
      </c>
      <c r="K118" s="733">
        <f>kdegS.sd1</f>
        <v>0</v>
      </c>
      <c r="L118" s="551">
        <f t="shared" si="9"/>
        <v>0</v>
      </c>
      <c r="M118" s="567" t="s">
        <v>336</v>
      </c>
      <c r="N118" s="781"/>
      <c r="O118" s="566"/>
      <c r="P118" s="566"/>
    </row>
    <row r="119" spans="1:34" customFormat="1" ht="12.75" customHeight="1" x14ac:dyDescent="0.3">
      <c r="A119" s="566"/>
      <c r="B119" s="566"/>
      <c r="C119" s="566" t="s">
        <v>474</v>
      </c>
      <c r="D119" s="566"/>
      <c r="E119" s="566"/>
      <c r="F119" s="566"/>
      <c r="G119" s="781" t="s">
        <v>475</v>
      </c>
      <c r="H119" s="567" t="s">
        <v>335</v>
      </c>
      <c r="I119" s="812"/>
      <c r="J119" s="723" t="str">
        <f>IF(HLOOKUP(CaseName,CaseData,MATCH($G119,cases!$G$3:$G$1259,0)-1,FALSE)="","",HLOOKUP(CaseName,CaseData,MATCH($G119,cases!$G$3:$G$1259,0)-1,FALSE))</f>
        <v/>
      </c>
      <c r="K119" s="733">
        <f>kdegS.sd1</f>
        <v>0</v>
      </c>
      <c r="L119" s="551">
        <f t="shared" si="9"/>
        <v>0</v>
      </c>
      <c r="M119" s="567" t="s">
        <v>336</v>
      </c>
      <c r="N119" s="781"/>
      <c r="O119" s="566"/>
      <c r="P119" s="566"/>
    </row>
    <row r="120" spans="1:34" customFormat="1" ht="12.75" customHeight="1" x14ac:dyDescent="0.3">
      <c r="A120" s="566"/>
      <c r="B120" s="566"/>
      <c r="C120" s="566" t="s">
        <v>476</v>
      </c>
      <c r="D120" s="566"/>
      <c r="E120" s="566"/>
      <c r="F120" s="566"/>
      <c r="G120" s="781" t="s">
        <v>477</v>
      </c>
      <c r="H120" s="567" t="s">
        <v>335</v>
      </c>
      <c r="I120" s="812"/>
      <c r="J120" s="723" t="str">
        <f>IF(HLOOKUP(CaseName,CaseData,MATCH($G120,cases!$G$3:$G$1259,0)-1,FALSE)="","",HLOOKUP(CaseName,CaseData,MATCH($G120,cases!$G$3:$G$1259,0)-1,FALSE))</f>
        <v/>
      </c>
      <c r="K120" s="733">
        <f>kdegS.sd2</f>
        <v>0</v>
      </c>
      <c r="L120" s="551">
        <f t="shared" si="9"/>
        <v>0</v>
      </c>
      <c r="M120" s="567" t="s">
        <v>336</v>
      </c>
      <c r="N120" s="781"/>
      <c r="O120" s="566"/>
      <c r="P120" s="566"/>
    </row>
    <row r="121" spans="1:34" customFormat="1" ht="12.75" customHeight="1" x14ac:dyDescent="0.3">
      <c r="A121" s="566"/>
      <c r="B121" s="566"/>
      <c r="C121" s="566" t="s">
        <v>478</v>
      </c>
      <c r="D121" s="566"/>
      <c r="E121" s="566"/>
      <c r="F121" s="566"/>
      <c r="G121" s="781" t="s">
        <v>479</v>
      </c>
      <c r="H121" s="567" t="s">
        <v>335</v>
      </c>
      <c r="I121" s="812"/>
      <c r="J121" s="723" t="str">
        <f>IF(HLOOKUP(CaseName,CaseData,MATCH($G121,cases!$G$3:$G$1259,0)-1,FALSE)="","",HLOOKUP(CaseName,CaseData,MATCH($G121,cases!$G$3:$G$1259,0)-1,FALSE))</f>
        <v/>
      </c>
      <c r="K121" s="733">
        <f>kdegS.sd2</f>
        <v>0</v>
      </c>
      <c r="L121" s="551">
        <f t="shared" si="9"/>
        <v>0</v>
      </c>
      <c r="M121" s="567" t="s">
        <v>336</v>
      </c>
      <c r="N121" s="781"/>
      <c r="O121" s="566"/>
      <c r="P121" s="566"/>
    </row>
    <row r="122" spans="1:34" customFormat="1" ht="12.75" customHeight="1" x14ac:dyDescent="0.3">
      <c r="A122" s="566"/>
      <c r="B122" s="566"/>
      <c r="C122" s="566" t="s">
        <v>480</v>
      </c>
      <c r="D122" s="566"/>
      <c r="E122" s="566"/>
      <c r="F122" s="566"/>
      <c r="G122" s="781" t="s">
        <v>481</v>
      </c>
      <c r="H122" s="567" t="s">
        <v>335</v>
      </c>
      <c r="I122" s="812"/>
      <c r="J122" s="723" t="str">
        <f>IF(HLOOKUP(CaseName,CaseData,MATCH($G122,cases!$G$3:$G$1259,0)-1,FALSE)="","",HLOOKUP(CaseName,CaseData,MATCH($G122,cases!$G$3:$G$1259,0)-1,FALSE))</f>
        <v/>
      </c>
      <c r="K122" s="733">
        <f>kdegS.w3</f>
        <v>0</v>
      </c>
      <c r="L122" s="551">
        <f t="shared" si="9"/>
        <v>0</v>
      </c>
      <c r="M122" s="567" t="s">
        <v>336</v>
      </c>
      <c r="N122" s="781"/>
      <c r="O122" s="566"/>
      <c r="P122" s="566"/>
    </row>
    <row r="123" spans="1:34" customFormat="1" ht="12.75" customHeight="1" x14ac:dyDescent="0.3">
      <c r="A123" s="566"/>
      <c r="B123" s="566"/>
      <c r="C123" s="566" t="s">
        <v>482</v>
      </c>
      <c r="D123" s="566"/>
      <c r="E123" s="566"/>
      <c r="F123" s="566"/>
      <c r="G123" s="781" t="s">
        <v>483</v>
      </c>
      <c r="H123" s="567" t="s">
        <v>335</v>
      </c>
      <c r="I123" s="812"/>
      <c r="J123" s="613" t="str">
        <f>IF(HLOOKUP(CaseName,CaseData,MATCH($G123,cases!$G$3:$G$1259,0)-1,FALSE)="","",HLOOKUP(CaseName,CaseData,MATCH($G123,cases!$G$3:$G$1259,0)-1,FALSE))</f>
        <v/>
      </c>
      <c r="K123" s="813">
        <f>kdegS.w3</f>
        <v>0</v>
      </c>
      <c r="L123" s="423">
        <f t="shared" si="9"/>
        <v>0</v>
      </c>
      <c r="M123" s="567" t="s">
        <v>336</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484</v>
      </c>
      <c r="B125" s="147"/>
      <c r="C125" s="147"/>
      <c r="D125" s="147"/>
      <c r="E125" s="147"/>
      <c r="F125" s="147"/>
      <c r="G125" s="148" t="s">
        <v>258</v>
      </c>
      <c r="H125" s="148" t="s">
        <v>274</v>
      </c>
      <c r="I125" s="331" t="s">
        <v>259</v>
      </c>
      <c r="J125" s="331" t="s">
        <v>275</v>
      </c>
      <c r="K125" s="331" t="s">
        <v>260</v>
      </c>
      <c r="L125" s="331" t="s">
        <v>261</v>
      </c>
      <c r="M125" s="147"/>
      <c r="N125" s="148" t="s">
        <v>262</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123</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58</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485</v>
      </c>
      <c r="D129" s="17"/>
      <c r="E129" s="17"/>
      <c r="F129" s="17"/>
      <c r="G129" s="38" t="s">
        <v>486</v>
      </c>
      <c r="H129" s="38" t="s">
        <v>487</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488</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489</v>
      </c>
      <c r="D130" s="17"/>
      <c r="E130" s="17"/>
      <c r="F130" s="17"/>
      <c r="G130" s="38" t="s">
        <v>490</v>
      </c>
      <c r="H130" s="38" t="s">
        <v>487</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488</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491</v>
      </c>
      <c r="D131" s="17"/>
      <c r="E131" s="17"/>
      <c r="F131" s="17"/>
      <c r="G131" s="38" t="s">
        <v>492</v>
      </c>
      <c r="H131" s="38" t="s">
        <v>487</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488</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493</v>
      </c>
      <c r="D132" s="17"/>
      <c r="E132" s="17"/>
      <c r="F132" s="17"/>
      <c r="G132" s="38" t="s">
        <v>494</v>
      </c>
      <c r="H132" s="38" t="s">
        <v>487</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488</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495</v>
      </c>
      <c r="D133" s="17"/>
      <c r="E133" s="17"/>
      <c r="F133" s="17"/>
      <c r="G133" s="38" t="s">
        <v>496</v>
      </c>
      <c r="H133" s="38" t="s">
        <v>487</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488</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497</v>
      </c>
      <c r="D134" s="17"/>
      <c r="E134" s="17"/>
      <c r="F134" s="17"/>
      <c r="G134" s="38" t="s">
        <v>498</v>
      </c>
      <c r="H134" s="38" t="s">
        <v>487</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499</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500</v>
      </c>
      <c r="D135" s="17"/>
      <c r="E135" s="17"/>
      <c r="F135" s="17"/>
      <c r="G135" s="38" t="s">
        <v>501</v>
      </c>
      <c r="H135" s="38" t="s">
        <v>487</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488</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211</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485</v>
      </c>
      <c r="D137" s="17"/>
      <c r="E137" s="17"/>
      <c r="F137" s="17"/>
      <c r="G137" s="38" t="s">
        <v>502</v>
      </c>
      <c r="H137" s="38" t="s">
        <v>487</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488</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489</v>
      </c>
      <c r="D138" s="17"/>
      <c r="E138" s="17"/>
      <c r="F138" s="17"/>
      <c r="G138" s="38" t="s">
        <v>503</v>
      </c>
      <c r="H138" s="38" t="s">
        <v>487</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499</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491</v>
      </c>
      <c r="D139" s="17"/>
      <c r="E139" s="17"/>
      <c r="F139" s="17"/>
      <c r="G139" s="38" t="s">
        <v>504</v>
      </c>
      <c r="H139" s="38" t="s">
        <v>487</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488</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493</v>
      </c>
      <c r="D140" s="17"/>
      <c r="E140" s="17"/>
      <c r="F140" s="17"/>
      <c r="G140" s="38" t="s">
        <v>505</v>
      </c>
      <c r="H140" s="38" t="s">
        <v>487</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488</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495</v>
      </c>
      <c r="D141" s="17"/>
      <c r="E141" s="17"/>
      <c r="F141" s="17"/>
      <c r="G141" s="38" t="s">
        <v>506</v>
      </c>
      <c r="H141" s="38" t="s">
        <v>487</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488</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497</v>
      </c>
      <c r="D142" s="17"/>
      <c r="E142" s="17"/>
      <c r="F142" s="17"/>
      <c r="G142" s="38" t="s">
        <v>507</v>
      </c>
      <c r="H142" s="38" t="s">
        <v>487</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488</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500</v>
      </c>
      <c r="D143" s="17"/>
      <c r="E143" s="17"/>
      <c r="F143" s="17"/>
      <c r="G143" s="38" t="s">
        <v>508</v>
      </c>
      <c r="H143" s="38" t="s">
        <v>487</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488</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227</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485</v>
      </c>
      <c r="D145" s="17"/>
      <c r="E145" s="17"/>
      <c r="F145" s="17"/>
      <c r="G145" s="38" t="s">
        <v>509</v>
      </c>
      <c r="H145" s="38" t="s">
        <v>487</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488</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510</v>
      </c>
      <c r="D146" s="17"/>
      <c r="E146" s="17"/>
      <c r="F146" s="17"/>
      <c r="G146" s="38" t="s">
        <v>511</v>
      </c>
      <c r="H146" s="38" t="s">
        <v>487</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488</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512</v>
      </c>
      <c r="D147" s="17"/>
      <c r="E147" s="17"/>
      <c r="F147" s="17"/>
      <c r="G147" s="38" t="s">
        <v>513</v>
      </c>
      <c r="H147" s="38" t="s">
        <v>487</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488</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228</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485</v>
      </c>
      <c r="D149" s="17"/>
      <c r="E149" s="17"/>
      <c r="F149" s="17"/>
      <c r="G149" s="38" t="s">
        <v>514</v>
      </c>
      <c r="H149" s="38" t="s">
        <v>487</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488</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510</v>
      </c>
      <c r="D150" s="17"/>
      <c r="E150" s="17"/>
      <c r="F150" s="17"/>
      <c r="G150" s="38" t="s">
        <v>515</v>
      </c>
      <c r="H150" s="38" t="s">
        <v>487</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488</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512</v>
      </c>
      <c r="D151" s="17"/>
      <c r="E151" s="17"/>
      <c r="F151" s="17"/>
      <c r="G151" s="38" t="s">
        <v>516</v>
      </c>
      <c r="H151" s="38" t="s">
        <v>487</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488</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517</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485</v>
      </c>
      <c r="D153" s="17"/>
      <c r="E153" s="17"/>
      <c r="F153" s="17"/>
      <c r="G153" s="38" t="s">
        <v>518</v>
      </c>
      <c r="H153" s="38" t="s">
        <v>487</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488</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510</v>
      </c>
      <c r="D154" s="17"/>
      <c r="E154" s="17"/>
      <c r="F154" s="17"/>
      <c r="G154" s="38" t="s">
        <v>519</v>
      </c>
      <c r="H154" s="38" t="s">
        <v>487</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488</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512</v>
      </c>
      <c r="D155" s="17"/>
      <c r="E155" s="17"/>
      <c r="F155" s="17"/>
      <c r="G155" s="38" t="s">
        <v>520</v>
      </c>
      <c r="H155" s="38" t="s">
        <v>487</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488</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521</v>
      </c>
      <c r="B157" s="147"/>
      <c r="C157" s="147"/>
      <c r="D157" s="147"/>
      <c r="E157" s="147"/>
      <c r="F157" s="147"/>
      <c r="G157" s="148" t="s">
        <v>258</v>
      </c>
      <c r="H157" s="148" t="s">
        <v>274</v>
      </c>
      <c r="I157" s="150" t="s">
        <v>259</v>
      </c>
      <c r="J157" s="150" t="s">
        <v>275</v>
      </c>
      <c r="K157" s="150" t="s">
        <v>260</v>
      </c>
      <c r="L157" s="150" t="s">
        <v>261</v>
      </c>
      <c r="M157" s="147"/>
      <c r="N157" s="148" t="s">
        <v>262</v>
      </c>
      <c r="O157" s="271" t="s">
        <v>263</v>
      </c>
      <c r="P157" s="411" t="s">
        <v>264</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522</v>
      </c>
      <c r="C159" s="145"/>
      <c r="D159" s="145"/>
      <c r="E159" s="145"/>
      <c r="F159" s="145"/>
      <c r="G159" s="144" t="s">
        <v>523</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524</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525</v>
      </c>
      <c r="C160" s="17"/>
      <c r="D160" s="17"/>
      <c r="E160" s="17"/>
      <c r="F160" s="17"/>
      <c r="G160" s="38" t="s">
        <v>526</v>
      </c>
      <c r="H160" s="38" t="s">
        <v>527</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528</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529</v>
      </c>
      <c r="C162" s="17"/>
      <c r="D162" s="17"/>
      <c r="E162" s="17"/>
      <c r="F162" s="17"/>
      <c r="G162" s="146" t="s">
        <v>530</v>
      </c>
      <c r="H162" s="38" t="s">
        <v>291</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292</v>
      </c>
      <c r="N162" s="17" t="s">
        <v>531</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532</v>
      </c>
      <c r="C163" s="17"/>
      <c r="D163" s="17"/>
      <c r="E163" s="17"/>
      <c r="F163" s="17"/>
      <c r="G163" s="539" t="s">
        <v>533</v>
      </c>
      <c r="H163" s="38" t="s">
        <v>291</v>
      </c>
      <c r="I163" s="570"/>
      <c r="J163" s="564" t="str">
        <f>IF(HLOOKUP(CaseName,CaseData,ROW()-2,FALSE)="","",HLOOKUP(CaseName,CaseData,ROW()-2,FALSE))</f>
        <v/>
      </c>
      <c r="K163" s="405">
        <f>(VLOOKUP(ChemClass,QSARtable,8,FALSE))*CORG*RHOsolid/1000</f>
        <v>50</v>
      </c>
      <c r="L163" s="155">
        <f t="shared" si="12"/>
        <v>50</v>
      </c>
      <c r="M163" s="38" t="s">
        <v>292</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534</v>
      </c>
      <c r="C164" s="146"/>
      <c r="D164" s="17"/>
      <c r="E164" s="17"/>
      <c r="F164" s="17"/>
      <c r="G164" s="146" t="s">
        <v>535</v>
      </c>
      <c r="H164" s="38" t="s">
        <v>291</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292</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536</v>
      </c>
      <c r="D165" s="17"/>
      <c r="E165" s="17"/>
      <c r="F165" s="17"/>
      <c r="G165" s="38" t="s">
        <v>537</v>
      </c>
      <c r="H165" s="38" t="s">
        <v>291</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292</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538</v>
      </c>
      <c r="D166" s="17"/>
      <c r="E166" s="17"/>
      <c r="F166" s="17"/>
      <c r="G166" s="540" t="s">
        <v>539</v>
      </c>
      <c r="H166" s="38" t="s">
        <v>291</v>
      </c>
      <c r="I166" s="570"/>
      <c r="J166" s="564" t="str">
        <f>IF(HLOOKUP(CaseName,CaseData,ROW()-2,FALSE)="","",HLOOKUP(CaseName,CaseData,ROW()-2,FALSE))</f>
        <v/>
      </c>
      <c r="K166" s="428">
        <f>10^(LOG(Kow)-3.5)</f>
        <v>0.86962635654630471</v>
      </c>
      <c r="L166" s="155">
        <f t="shared" si="12"/>
        <v>0.86962635654630471</v>
      </c>
      <c r="M166" s="38" t="s">
        <v>292</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540</v>
      </c>
      <c r="D167" s="17"/>
      <c r="E167" s="17"/>
      <c r="F167" s="17"/>
      <c r="G167" s="38" t="s">
        <v>541</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292</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542</v>
      </c>
      <c r="D168" s="17"/>
      <c r="E168" s="17"/>
      <c r="F168" s="17"/>
      <c r="G168" s="38" t="s">
        <v>543</v>
      </c>
      <c r="H168" s="38" t="s">
        <v>291</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292</v>
      </c>
      <c r="N168" s="17" t="s">
        <v>544</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545</v>
      </c>
      <c r="D169" s="228"/>
      <c r="E169" s="228"/>
      <c r="F169" s="228"/>
      <c r="G169" s="216" t="s">
        <v>546</v>
      </c>
      <c r="H169" s="216" t="s">
        <v>291</v>
      </c>
      <c r="I169" s="572"/>
      <c r="J169" s="850" t="str">
        <f t="shared" si="13"/>
        <v/>
      </c>
      <c r="K169" s="541">
        <f>IF(ChemClass="Acid",1/(1+10^(pH.cldw-pKa)),IF(ChemClass="Base",1/(1+10^(pKa-pH.cldw)),1))</f>
        <v>1</v>
      </c>
      <c r="L169" s="550">
        <f t="shared" si="12"/>
        <v>1</v>
      </c>
      <c r="M169" s="579" t="s">
        <v>292</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547</v>
      </c>
      <c r="D170" s="17"/>
      <c r="E170" s="17"/>
      <c r="F170" s="17"/>
      <c r="G170" s="38" t="s">
        <v>548</v>
      </c>
      <c r="H170" s="38" t="s">
        <v>291</v>
      </c>
      <c r="I170" s="572"/>
      <c r="J170" s="564" t="str">
        <f t="shared" si="13"/>
        <v/>
      </c>
      <c r="K170" s="296">
        <f>IF(ChemClass="Acid",1/(1+10^(pH.aerw-pKa)),IF(ChemClass="Base",1/(1+10^(pKa-pH.aerw)),1))</f>
        <v>1</v>
      </c>
      <c r="L170" s="427">
        <f t="shared" si="12"/>
        <v>1</v>
      </c>
      <c r="M170" s="31" t="s">
        <v>292</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549</v>
      </c>
      <c r="D171" s="17"/>
      <c r="E171" s="17"/>
      <c r="F171" s="17"/>
      <c r="G171" s="38" t="s">
        <v>550</v>
      </c>
      <c r="H171" s="38" t="s">
        <v>291</v>
      </c>
      <c r="I171" s="572"/>
      <c r="J171" s="564" t="str">
        <f t="shared" si="13"/>
        <v/>
      </c>
      <c r="K171" s="296">
        <f>IF(ChemClass="Acid",1/(1+10^(pH.w1-pKa)),IF(ChemClass="Base",1/(1+10^(pKa-pH.w1)),1))</f>
        <v>1</v>
      </c>
      <c r="L171" s="427">
        <f t="shared" si="12"/>
        <v>1</v>
      </c>
      <c r="M171" s="31" t="s">
        <v>292</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551</v>
      </c>
      <c r="D172" s="17"/>
      <c r="E172" s="17"/>
      <c r="F172" s="17"/>
      <c r="G172" s="38" t="s">
        <v>552</v>
      </c>
      <c r="H172" s="38" t="s">
        <v>291</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553</v>
      </c>
      <c r="D173" s="17"/>
      <c r="E173" s="17"/>
      <c r="F173" s="17"/>
      <c r="G173" s="38" t="s">
        <v>554</v>
      </c>
      <c r="H173" s="38" t="s">
        <v>291</v>
      </c>
      <c r="I173" s="572"/>
      <c r="J173" s="564" t="str">
        <f t="shared" si="13"/>
        <v/>
      </c>
      <c r="K173" s="296">
        <f>IF(ChemClass="Acid",1/(1+10^(pH.w2-pKa)),IF(ChemClass="Base",1/(1+10^(pKa-pH.w2)),1))</f>
        <v>1</v>
      </c>
      <c r="L173" s="427">
        <f t="shared" si="12"/>
        <v>1</v>
      </c>
      <c r="M173" s="31" t="s">
        <v>292</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555</v>
      </c>
      <c r="D174" s="17"/>
      <c r="E174" s="17"/>
      <c r="F174" s="17"/>
      <c r="G174" s="38" t="s">
        <v>556</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557</v>
      </c>
      <c r="D175" s="17"/>
      <c r="E175" s="17"/>
      <c r="F175" s="17"/>
      <c r="G175" s="38" t="s">
        <v>558</v>
      </c>
      <c r="H175" s="38" t="s">
        <v>291</v>
      </c>
      <c r="I175" s="572"/>
      <c r="J175" s="564" t="str">
        <f t="shared" si="13"/>
        <v/>
      </c>
      <c r="K175" s="296">
        <f>IF(ChemClass="Acid",1/(1+10^(pH.s1-0.6-pKa)),IF(ChemClass="Base",1/(1+10^(pKa-4.5)),1))</f>
        <v>1</v>
      </c>
      <c r="L175" s="427">
        <f t="shared" si="12"/>
        <v>1</v>
      </c>
      <c r="M175" s="31" t="s">
        <v>292</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559</v>
      </c>
      <c r="D176" s="17"/>
      <c r="E176" s="17"/>
      <c r="F176" s="17"/>
      <c r="G176" s="38" t="s">
        <v>560</v>
      </c>
      <c r="H176" s="38" t="s">
        <v>291</v>
      </c>
      <c r="I176" s="572"/>
      <c r="J176" s="564" t="str">
        <f t="shared" si="13"/>
        <v/>
      </c>
      <c r="K176" s="296">
        <f>IF(ChemClass="Acid",1/(1+10^(pH.s1-pKa)),IF(ChemClass="Base",1/(1+10^(pKa-pH.s1)),1))</f>
        <v>1</v>
      </c>
      <c r="L176" s="427">
        <f t="shared" si="12"/>
        <v>1</v>
      </c>
      <c r="M176" s="31" t="s">
        <v>292</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561</v>
      </c>
      <c r="D177" s="17"/>
      <c r="E177" s="17"/>
      <c r="F177" s="17"/>
      <c r="G177" s="38" t="s">
        <v>562</v>
      </c>
      <c r="H177" s="38" t="s">
        <v>291</v>
      </c>
      <c r="I177" s="572"/>
      <c r="J177" s="564" t="str">
        <f t="shared" si="13"/>
        <v/>
      </c>
      <c r="K177" s="296">
        <f>IF(ChemClass="Acid",1/(1+10^(pH.s2-0.6-pKa)),IF(ChemClass="Base",1/(1+10^(pKa-4.5)),1))</f>
        <v>1</v>
      </c>
      <c r="L177" s="427">
        <f t="shared" si="12"/>
        <v>1</v>
      </c>
      <c r="M177" s="31" t="s">
        <v>292</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563</v>
      </c>
      <c r="D178" s="17"/>
      <c r="E178" s="17"/>
      <c r="F178" s="17"/>
      <c r="G178" s="38" t="s">
        <v>564</v>
      </c>
      <c r="H178" s="38" t="s">
        <v>291</v>
      </c>
      <c r="I178" s="572"/>
      <c r="J178" s="564" t="str">
        <f t="shared" si="13"/>
        <v/>
      </c>
      <c r="K178" s="296">
        <f>IF(ChemClass="Acid",1/(1+10^(pH.s2-pKa)),IF(ChemClass="Base",1/(1+10^(pKa-pH.s2)),1))</f>
        <v>1</v>
      </c>
      <c r="L178" s="427">
        <f t="shared" si="12"/>
        <v>1</v>
      </c>
      <c r="M178" s="31" t="s">
        <v>292</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565</v>
      </c>
      <c r="D179" s="17"/>
      <c r="E179" s="17"/>
      <c r="F179" s="17"/>
      <c r="G179" s="38" t="s">
        <v>566</v>
      </c>
      <c r="H179" s="38" t="s">
        <v>291</v>
      </c>
      <c r="I179" s="572"/>
      <c r="J179" s="564" t="str">
        <f t="shared" si="13"/>
        <v/>
      </c>
      <c r="K179" s="296">
        <f>IF(ChemClass="Acid",1/(1+10^(pH.s3-0.6-pKa)),IF(ChemClass="Base",1/(1+10^(pKa-4.5)),1))</f>
        <v>1</v>
      </c>
      <c r="L179" s="427">
        <f t="shared" si="12"/>
        <v>1</v>
      </c>
      <c r="M179" s="31" t="s">
        <v>292</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567</v>
      </c>
      <c r="D180" s="17"/>
      <c r="E180" s="17"/>
      <c r="F180" s="17"/>
      <c r="G180" s="38" t="s">
        <v>568</v>
      </c>
      <c r="H180" s="38" t="s">
        <v>291</v>
      </c>
      <c r="I180" s="572"/>
      <c r="J180" s="564" t="str">
        <f t="shared" si="13"/>
        <v/>
      </c>
      <c r="K180" s="296">
        <f>IF(ChemClass="Acid",1/(1+10^(pH.s3-pKa)),IF(ChemClass="Base",1/(1+10^(pKa-pH.s3)),1))</f>
        <v>1</v>
      </c>
      <c r="L180" s="427">
        <f t="shared" si="12"/>
        <v>1</v>
      </c>
      <c r="M180" s="31" t="s">
        <v>292</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569</v>
      </c>
      <c r="D181" s="17"/>
      <c r="E181" s="17"/>
      <c r="F181" s="17"/>
      <c r="G181" s="17" t="s">
        <v>570</v>
      </c>
      <c r="H181" s="17" t="s">
        <v>571</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572</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573</v>
      </c>
      <c r="D182" s="17"/>
      <c r="E182" s="17"/>
      <c r="F182" s="17"/>
      <c r="G182" s="38" t="s">
        <v>574</v>
      </c>
      <c r="H182" s="38" t="s">
        <v>575</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576</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577</v>
      </c>
      <c r="D183" s="17"/>
      <c r="E183" s="17"/>
      <c r="F183" s="17"/>
      <c r="G183" s="38" t="s">
        <v>578</v>
      </c>
      <c r="H183" s="38" t="s">
        <v>579</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580</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581</v>
      </c>
      <c r="D184" s="17"/>
      <c r="E184" s="17"/>
      <c r="F184" s="17"/>
      <c r="G184" s="38" t="s">
        <v>582</v>
      </c>
      <c r="H184" s="38" t="s">
        <v>575</v>
      </c>
      <c r="I184" s="570"/>
      <c r="J184" s="564" t="str">
        <f>IF(HLOOKUP(CaseName,CaseData,ROW()-2,FALSE)="","",HLOOKUP(CaseName,CaseData,ROW()-2,FALSE))</f>
        <v/>
      </c>
      <c r="K184" s="405">
        <v>10</v>
      </c>
      <c r="L184" s="155">
        <f>IF(ISBLANK(I184),IF(ISNUMBER(J184)=FALSE,K184*1000,J184*1000),I184*1000)</f>
        <v>10000</v>
      </c>
      <c r="M184" s="146" t="s">
        <v>576</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583</v>
      </c>
      <c r="D185" s="17"/>
      <c r="E185" s="17"/>
      <c r="F185" s="17"/>
      <c r="G185" s="17" t="s">
        <v>584</v>
      </c>
      <c r="H185" s="17" t="s">
        <v>585</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586</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587</v>
      </c>
      <c r="C187" s="756"/>
      <c r="D187" s="756"/>
      <c r="E187" s="756"/>
      <c r="F187" s="756"/>
      <c r="G187" s="757"/>
      <c r="H187" s="590"/>
      <c r="I187" s="546" t="s">
        <v>588</v>
      </c>
      <c r="J187" s="546" t="s">
        <v>589</v>
      </c>
      <c r="K187" s="762" t="s">
        <v>590</v>
      </c>
      <c r="L187" s="762" t="s">
        <v>591</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524</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292</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592</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292</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593</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292</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594</v>
      </c>
      <c r="D191" s="38"/>
      <c r="E191" s="38"/>
      <c r="F191" s="38"/>
      <c r="G191" s="38"/>
      <c r="H191" s="38"/>
      <c r="I191" s="547">
        <v>1000</v>
      </c>
      <c r="J191" s="547">
        <v>1000</v>
      </c>
      <c r="K191" s="763">
        <v>9.9999999999999995E-21</v>
      </c>
      <c r="L191" s="763">
        <v>9.9999999999999995E-21</v>
      </c>
      <c r="M191" s="38" t="s">
        <v>292</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595</v>
      </c>
      <c r="D192" s="38"/>
      <c r="E192" s="38"/>
      <c r="F192" s="38"/>
      <c r="G192" s="38"/>
      <c r="H192" s="38"/>
      <c r="I192" s="547">
        <v>1000</v>
      </c>
      <c r="J192" s="547">
        <v>1000</v>
      </c>
      <c r="K192" s="763">
        <v>9.9999999999999995E-21</v>
      </c>
      <c r="L192" s="763">
        <v>9.9999999999999995E-21</v>
      </c>
      <c r="M192" s="38" t="s">
        <v>292</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596</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292</v>
      </c>
      <c r="N193" s="17"/>
      <c r="O193" s="215"/>
      <c r="P193" s="215"/>
      <c r="Q193" s="11"/>
      <c r="R193" s="11"/>
    </row>
    <row r="194" spans="1:18" ht="12.75" customHeight="1" x14ac:dyDescent="0.3">
      <c r="A194" s="17"/>
      <c r="B194" s="17"/>
      <c r="C194" s="38" t="s">
        <v>597</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292</v>
      </c>
      <c r="N194" s="17"/>
      <c r="O194" s="215"/>
      <c r="P194" s="215"/>
      <c r="Q194" s="11"/>
      <c r="R194" s="11"/>
    </row>
    <row r="195" spans="1:18" ht="12.75" customHeight="1" x14ac:dyDescent="0.3">
      <c r="A195" s="17"/>
      <c r="B195" s="17"/>
      <c r="C195" s="38" t="s">
        <v>598</v>
      </c>
      <c r="D195" s="38"/>
      <c r="E195" s="38"/>
      <c r="F195" s="38"/>
      <c r="G195" s="38"/>
      <c r="H195" s="38"/>
      <c r="I195" s="547">
        <f>7.94*Kow^0.63</f>
        <v>1165.735707627505</v>
      </c>
      <c r="J195" s="547">
        <f>7.94*Kow^0.63</f>
        <v>1165.735707627505</v>
      </c>
      <c r="K195" s="763">
        <f t="shared" si="14"/>
        <v>9.9999999999999995E-21</v>
      </c>
      <c r="L195" s="763">
        <f t="shared" si="14"/>
        <v>9.9999999999999995E-21</v>
      </c>
      <c r="M195" s="38" t="s">
        <v>292</v>
      </c>
      <c r="N195" s="17"/>
      <c r="O195" s="215"/>
      <c r="P195" s="215"/>
      <c r="Q195" s="11"/>
      <c r="R195" s="11"/>
    </row>
    <row r="196" spans="1:18" ht="12.75" customHeight="1" x14ac:dyDescent="0.3">
      <c r="A196" s="17"/>
      <c r="B196" s="17"/>
      <c r="C196" s="38" t="s">
        <v>599</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292</v>
      </c>
      <c r="N196" s="17"/>
      <c r="O196" s="215"/>
      <c r="P196" s="215"/>
      <c r="Q196" s="11"/>
      <c r="R196" s="11"/>
    </row>
    <row r="197" spans="1:18" ht="12.75" customHeight="1" x14ac:dyDescent="0.3">
      <c r="A197" s="17"/>
      <c r="B197" s="17"/>
      <c r="C197" s="38" t="s">
        <v>600</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292</v>
      </c>
      <c r="N197" s="17"/>
      <c r="O197" s="215"/>
      <c r="P197" s="215"/>
      <c r="Q197" s="11"/>
      <c r="R197" s="11"/>
    </row>
    <row r="198" spans="1:18" ht="12.75" customHeight="1" x14ac:dyDescent="0.3">
      <c r="A198" s="17"/>
      <c r="B198" s="17"/>
      <c r="C198" s="38" t="s">
        <v>601</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292</v>
      </c>
      <c r="N198" s="17"/>
      <c r="O198" s="215"/>
      <c r="P198" s="215"/>
      <c r="Q198" s="11"/>
      <c r="R198" s="11"/>
    </row>
    <row r="199" spans="1:18" ht="12.75" customHeight="1" x14ac:dyDescent="0.3">
      <c r="A199" s="17"/>
      <c r="B199" s="17"/>
      <c r="C199" s="38" t="s">
        <v>602</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292</v>
      </c>
      <c r="N199" s="17"/>
      <c r="O199" s="215"/>
      <c r="P199" s="215"/>
      <c r="Q199" s="11"/>
      <c r="R199" s="11"/>
    </row>
    <row r="200" spans="1:18" ht="12.75" customHeight="1" x14ac:dyDescent="0.3">
      <c r="A200" s="17"/>
      <c r="B200" s="17"/>
      <c r="C200" s="38" t="s">
        <v>603</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292</v>
      </c>
      <c r="N200" s="17"/>
      <c r="O200" s="215"/>
      <c r="P200" s="215"/>
      <c r="Q200" s="11"/>
      <c r="R200" s="11"/>
    </row>
    <row r="201" spans="1:18" ht="12.75" customHeight="1" x14ac:dyDescent="0.3">
      <c r="A201" s="17"/>
      <c r="B201" s="17"/>
      <c r="C201" s="38" t="s">
        <v>604</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292</v>
      </c>
      <c r="N201" s="17"/>
      <c r="O201" s="215"/>
      <c r="P201" s="215"/>
      <c r="Q201" s="11"/>
      <c r="R201" s="11"/>
    </row>
    <row r="202" spans="1:18" ht="12.75" customHeight="1" x14ac:dyDescent="0.3">
      <c r="A202" s="17"/>
      <c r="B202" s="17"/>
      <c r="C202" s="38" t="s">
        <v>605</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292</v>
      </c>
      <c r="N202" s="17"/>
      <c r="O202" s="215"/>
      <c r="P202" s="215"/>
      <c r="Q202" s="11"/>
      <c r="R202" s="11"/>
    </row>
    <row r="203" spans="1:18" ht="12.75" customHeight="1" x14ac:dyDescent="0.3">
      <c r="A203" s="17"/>
      <c r="B203" s="17"/>
      <c r="C203" s="38" t="s">
        <v>606</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292</v>
      </c>
      <c r="N203" s="17"/>
      <c r="O203" s="215"/>
      <c r="P203" s="215"/>
      <c r="Q203" s="11"/>
      <c r="R203" s="11"/>
    </row>
    <row r="204" spans="1:18" ht="12.75" customHeight="1" x14ac:dyDescent="0.3">
      <c r="A204" s="17"/>
      <c r="B204" s="17"/>
      <c r="C204" s="38" t="s">
        <v>607</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292</v>
      </c>
      <c r="N204" s="17"/>
      <c r="O204" s="215"/>
      <c r="P204" s="215"/>
      <c r="Q204" s="11"/>
      <c r="R204" s="11"/>
    </row>
    <row r="205" spans="1:18" ht="12.75" customHeight="1" x14ac:dyDescent="0.3">
      <c r="A205" s="17"/>
      <c r="B205" s="17"/>
      <c r="C205" s="38" t="s">
        <v>608</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292</v>
      </c>
      <c r="N205" s="17"/>
      <c r="O205" s="215"/>
      <c r="P205" s="215"/>
      <c r="Q205" s="11"/>
      <c r="R205" s="11"/>
    </row>
    <row r="206" spans="1:18" ht="12.75" customHeight="1" x14ac:dyDescent="0.3">
      <c r="A206" s="17"/>
      <c r="B206" s="17"/>
      <c r="C206" s="38" t="s">
        <v>609</v>
      </c>
      <c r="D206" s="38"/>
      <c r="E206" s="38"/>
      <c r="F206" s="38"/>
      <c r="G206" s="38"/>
      <c r="H206" s="38"/>
      <c r="I206" s="547">
        <f>2.09*Kow^0.6</f>
        <v>241.96129621570552</v>
      </c>
      <c r="J206" s="547">
        <f>2.09*Kow^0.6</f>
        <v>241.96129621570552</v>
      </c>
      <c r="K206" s="763">
        <f t="shared" si="14"/>
        <v>9.9999999999999995E-21</v>
      </c>
      <c r="L206" s="763">
        <f t="shared" si="14"/>
        <v>9.9999999999999995E-21</v>
      </c>
      <c r="M206" s="38" t="s">
        <v>292</v>
      </c>
      <c r="N206" s="17"/>
      <c r="O206" s="215"/>
      <c r="P206" s="215"/>
      <c r="Q206" s="11"/>
      <c r="R206" s="11"/>
    </row>
    <row r="207" spans="1:18" ht="12.75" customHeight="1" x14ac:dyDescent="0.3">
      <c r="A207" s="17"/>
      <c r="B207" s="17"/>
      <c r="C207" s="38" t="s">
        <v>610</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292</v>
      </c>
      <c r="N207" s="17"/>
      <c r="O207" s="215"/>
      <c r="P207" s="215"/>
      <c r="Q207" s="11"/>
      <c r="R207" s="11"/>
    </row>
    <row r="208" spans="1:18" ht="12.75" customHeight="1" x14ac:dyDescent="0.3">
      <c r="A208" s="17"/>
      <c r="B208" s="17"/>
      <c r="C208" s="38" t="s">
        <v>611</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292</v>
      </c>
      <c r="N208" s="17"/>
      <c r="O208" s="215"/>
      <c r="P208" s="215"/>
      <c r="Q208" s="11"/>
      <c r="R208" s="11"/>
    </row>
    <row r="209" spans="1:34" ht="12.75" customHeight="1" x14ac:dyDescent="0.3">
      <c r="A209" s="17"/>
      <c r="B209" s="17"/>
      <c r="C209" s="38" t="s">
        <v>612</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292</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613</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292</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614</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292</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615</v>
      </c>
      <c r="C213" s="17"/>
      <c r="D213" s="146"/>
      <c r="E213" s="17"/>
      <c r="F213" s="17"/>
      <c r="G213" s="146" t="s">
        <v>616</v>
      </c>
      <c r="H213" s="38" t="s">
        <v>617</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336</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618</v>
      </c>
      <c r="D214" s="17"/>
      <c r="E214" s="17"/>
      <c r="F214" s="17"/>
      <c r="G214" s="38" t="s">
        <v>619</v>
      </c>
      <c r="H214" s="38" t="s">
        <v>620</v>
      </c>
      <c r="I214" s="420"/>
      <c r="J214" s="568" t="str">
        <f>IF(HLOOKUP(CaseName,CaseData,MATCH($G214,cases!$G$3:$G$1259,0)-1,FALSE)="","",HLOOKUP(CaseName,CaseData,MATCH($G214,cases!$G$3:$G$1259,0)-1,FALSE))</f>
        <v/>
      </c>
      <c r="K214" s="405">
        <v>500000</v>
      </c>
      <c r="L214" s="155">
        <f>IF(ISBLANK(I214), IF(ISNUMBER(J214)=FALSE, K214, J214), I214)</f>
        <v>500000</v>
      </c>
      <c r="M214" s="38" t="s">
        <v>621</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622</v>
      </c>
      <c r="D215" s="17"/>
      <c r="E215" s="17"/>
      <c r="F215" s="17"/>
      <c r="G215" s="38" t="s">
        <v>623</v>
      </c>
      <c r="H215" s="38" t="s">
        <v>624</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625</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626</v>
      </c>
      <c r="D216" s="17"/>
      <c r="E216" s="17"/>
      <c r="F216" s="17"/>
      <c r="G216" s="38" t="s">
        <v>627</v>
      </c>
      <c r="H216" s="38" t="s">
        <v>628</v>
      </c>
      <c r="I216" s="420"/>
      <c r="J216" s="568" t="str">
        <f>IF(HLOOKUP(CaseName,CaseData,MATCH($G216,cases!$G$3:$G$1259,0)-1,FALSE)="","",HLOOKUP(CaseName,CaseData,MATCH($G216,cases!$G$3:$G$1259,0)-1,FALSE))</f>
        <v/>
      </c>
      <c r="K216" s="405">
        <v>6</v>
      </c>
      <c r="L216" s="155">
        <f>IF(ISBLANK(I216),IF(ISNUMBER(J216)=FALSE,K216*1000,J216*1000),I216*1000)</f>
        <v>6000</v>
      </c>
      <c r="M216" s="38" t="s">
        <v>576</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629</v>
      </c>
      <c r="C217" s="17"/>
      <c r="D217" s="146"/>
      <c r="E217" s="17"/>
      <c r="F217" s="17"/>
      <c r="G217" s="146" t="s">
        <v>630</v>
      </c>
      <c r="H217" s="38" t="s">
        <v>617</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336</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631</v>
      </c>
      <c r="D218" s="17"/>
      <c r="E218" s="17"/>
      <c r="F218" s="17"/>
      <c r="G218" s="38" t="s">
        <v>632</v>
      </c>
      <c r="H218" s="38" t="s">
        <v>633</v>
      </c>
      <c r="I218" s="420"/>
      <c r="J218" s="568" t="str">
        <f>IF(HLOOKUP(CaseName,CaseData,MATCH($G218,cases!$G$3:$G$1259,0)-1,FALSE)="","",HLOOKUP(CaseName,CaseData,MATCH($G218,cases!$G$3:$G$1259,0)-1,FALSE))</f>
        <v/>
      </c>
      <c r="K218" s="428" t="s">
        <v>634</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635</v>
      </c>
      <c r="D219" s="146"/>
      <c r="E219" s="17"/>
      <c r="F219" s="17"/>
      <c r="G219" s="38" t="s">
        <v>636</v>
      </c>
      <c r="H219" s="38" t="s">
        <v>637</v>
      </c>
      <c r="I219" s="420"/>
      <c r="J219" s="568" t="str">
        <f>IF(HLOOKUP(CaseName,CaseData,MATCH($G219,cases!$G$3:$G$1259,0)-1,FALSE)="","",HLOOKUP(CaseName,CaseData,MATCH($G219,cases!$G$3:$G$1259,0)-1,FALSE))</f>
        <v/>
      </c>
      <c r="K219" s="405">
        <v>40000</v>
      </c>
      <c r="L219" s="155">
        <f t="shared" si="15"/>
        <v>40000</v>
      </c>
      <c r="M219" s="38" t="s">
        <v>638</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639</v>
      </c>
      <c r="D220" s="17"/>
      <c r="E220" s="17"/>
      <c r="F220" s="17"/>
      <c r="G220" s="38" t="s">
        <v>640</v>
      </c>
      <c r="H220" s="38" t="s">
        <v>291</v>
      </c>
      <c r="I220" s="420"/>
      <c r="J220" s="568" t="str">
        <f>IF(HLOOKUP(CaseName,CaseData,MATCH($G220,cases!$G$3:$G$1259,0)-1,FALSE)="","",HLOOKUP(CaseName,CaseData,MATCH($G220,cases!$G$3:$G$1259,0)-1,FALSE))</f>
        <v/>
      </c>
      <c r="K220" s="405">
        <v>2</v>
      </c>
      <c r="L220" s="155">
        <f t="shared" si="15"/>
        <v>2</v>
      </c>
      <c r="M220" s="38" t="s">
        <v>292</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641</v>
      </c>
      <c r="C221" s="146"/>
      <c r="D221" s="146"/>
      <c r="E221" s="17"/>
      <c r="F221" s="17"/>
      <c r="G221" s="146" t="s">
        <v>642</v>
      </c>
      <c r="H221" s="38" t="s">
        <v>617</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336</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643</v>
      </c>
      <c r="C222" s="146"/>
      <c r="D222" s="146"/>
      <c r="E222" s="17"/>
      <c r="F222" s="17"/>
      <c r="G222" s="146" t="s">
        <v>644</v>
      </c>
      <c r="H222" s="38" t="s">
        <v>617</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336</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484</v>
      </c>
      <c r="B224" s="147"/>
      <c r="C224" s="147"/>
      <c r="D224" s="147"/>
      <c r="E224" s="147"/>
      <c r="F224" s="147"/>
      <c r="G224" s="148" t="s">
        <v>258</v>
      </c>
      <c r="H224" s="148" t="s">
        <v>274</v>
      </c>
      <c r="I224" s="331" t="s">
        <v>259</v>
      </c>
      <c r="J224" s="331" t="s">
        <v>275</v>
      </c>
      <c r="K224" s="331" t="s">
        <v>260</v>
      </c>
      <c r="L224" s="331" t="s">
        <v>261</v>
      </c>
      <c r="M224" s="147"/>
      <c r="N224" s="148" t="s">
        <v>262</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645</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58</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485</v>
      </c>
      <c r="D228" s="17"/>
      <c r="E228" s="17"/>
      <c r="F228" s="17"/>
      <c r="G228" s="38" t="s">
        <v>646</v>
      </c>
      <c r="H228" s="38" t="s">
        <v>487</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488</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489</v>
      </c>
      <c r="D229" s="17"/>
      <c r="E229" s="17"/>
      <c r="F229" s="17"/>
      <c r="G229" s="38" t="s">
        <v>647</v>
      </c>
      <c r="H229" s="38" t="s">
        <v>487</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488</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491</v>
      </c>
      <c r="D230" s="17"/>
      <c r="E230" s="17"/>
      <c r="F230" s="17"/>
      <c r="G230" s="38" t="s">
        <v>648</v>
      </c>
      <c r="H230" s="38" t="s">
        <v>487</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488</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493</v>
      </c>
      <c r="D231" s="17"/>
      <c r="E231" s="17"/>
      <c r="F231" s="17"/>
      <c r="G231" s="38" t="s">
        <v>649</v>
      </c>
      <c r="H231" s="38" t="s">
        <v>487</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488</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495</v>
      </c>
      <c r="D232" s="17"/>
      <c r="E232" s="17"/>
      <c r="F232" s="17"/>
      <c r="G232" s="38" t="s">
        <v>650</v>
      </c>
      <c r="H232" s="38" t="s">
        <v>487</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488</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497</v>
      </c>
      <c r="D233" s="17"/>
      <c r="E233" s="17"/>
      <c r="F233" s="17"/>
      <c r="G233" s="38" t="s">
        <v>651</v>
      </c>
      <c r="H233" s="38" t="s">
        <v>487</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488</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500</v>
      </c>
      <c r="D234" s="17"/>
      <c r="E234" s="17"/>
      <c r="F234" s="17"/>
      <c r="G234" s="38" t="s">
        <v>652</v>
      </c>
      <c r="H234" s="38" t="s">
        <v>487</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488</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211</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485</v>
      </c>
      <c r="D236" s="17"/>
      <c r="E236" s="17"/>
      <c r="F236" s="17"/>
      <c r="G236" s="38" t="s">
        <v>653</v>
      </c>
      <c r="H236" s="38" t="s">
        <v>487</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488</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489</v>
      </c>
      <c r="D237" s="17"/>
      <c r="E237" s="17"/>
      <c r="F237" s="17"/>
      <c r="G237" s="38" t="s">
        <v>654</v>
      </c>
      <c r="H237" s="38" t="s">
        <v>487</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499</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491</v>
      </c>
      <c r="D238" s="17"/>
      <c r="E238" s="17"/>
      <c r="F238" s="17"/>
      <c r="G238" s="38" t="s">
        <v>655</v>
      </c>
      <c r="H238" s="38" t="s">
        <v>487</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488</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493</v>
      </c>
      <c r="D239" s="17"/>
      <c r="E239" s="17"/>
      <c r="F239" s="17"/>
      <c r="G239" s="38" t="s">
        <v>656</v>
      </c>
      <c r="H239" s="38" t="s">
        <v>487</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488</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495</v>
      </c>
      <c r="D240" s="17"/>
      <c r="E240" s="17"/>
      <c r="F240" s="17"/>
      <c r="G240" s="38" t="s">
        <v>657</v>
      </c>
      <c r="H240" s="38" t="s">
        <v>487</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488</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497</v>
      </c>
      <c r="D241" s="17"/>
      <c r="E241" s="17"/>
      <c r="F241" s="17"/>
      <c r="G241" s="38" t="s">
        <v>658</v>
      </c>
      <c r="H241" s="38" t="s">
        <v>487</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488</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500</v>
      </c>
      <c r="D242" s="17"/>
      <c r="E242" s="17"/>
      <c r="F242" s="17"/>
      <c r="G242" s="38" t="s">
        <v>659</v>
      </c>
      <c r="H242" s="38" t="s">
        <v>487</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488</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227</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485</v>
      </c>
      <c r="D244" s="17"/>
      <c r="E244" s="17"/>
      <c r="F244" s="17"/>
      <c r="G244" s="38" t="s">
        <v>660</v>
      </c>
      <c r="H244" s="38" t="s">
        <v>487</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488</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510</v>
      </c>
      <c r="D245" s="17"/>
      <c r="E245" s="17"/>
      <c r="F245" s="17"/>
      <c r="G245" s="38" t="s">
        <v>661</v>
      </c>
      <c r="H245" s="38" t="s">
        <v>487</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488</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512</v>
      </c>
      <c r="D246" s="17"/>
      <c r="E246" s="17"/>
      <c r="F246" s="17"/>
      <c r="G246" s="38" t="s">
        <v>662</v>
      </c>
      <c r="H246" s="38" t="s">
        <v>487</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488</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228</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485</v>
      </c>
      <c r="D248" s="17"/>
      <c r="E248" s="17"/>
      <c r="F248" s="17"/>
      <c r="G248" s="38" t="s">
        <v>663</v>
      </c>
      <c r="H248" s="38" t="s">
        <v>487</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488</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510</v>
      </c>
      <c r="D249" s="17"/>
      <c r="E249" s="17"/>
      <c r="F249" s="17"/>
      <c r="G249" s="38" t="s">
        <v>664</v>
      </c>
      <c r="H249" s="38" t="s">
        <v>487</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488</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512</v>
      </c>
      <c r="D250" s="17"/>
      <c r="E250" s="17"/>
      <c r="F250" s="17"/>
      <c r="G250" s="38" t="s">
        <v>665</v>
      </c>
      <c r="H250" s="38" t="s">
        <v>487</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488</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517</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485</v>
      </c>
      <c r="D252" s="17"/>
      <c r="E252" s="17"/>
      <c r="F252" s="17"/>
      <c r="G252" s="38" t="s">
        <v>666</v>
      </c>
      <c r="H252" s="38" t="s">
        <v>487</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488</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510</v>
      </c>
      <c r="D253" s="17"/>
      <c r="E253" s="17"/>
      <c r="F253" s="17"/>
      <c r="G253" s="38" t="s">
        <v>667</v>
      </c>
      <c r="H253" s="38" t="s">
        <v>487</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488</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512</v>
      </c>
      <c r="D254" s="17"/>
      <c r="E254" s="17"/>
      <c r="F254" s="17"/>
      <c r="G254" s="38" t="s">
        <v>668</v>
      </c>
      <c r="H254" s="38" t="s">
        <v>487</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488</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669</v>
      </c>
      <c r="B256" s="147"/>
      <c r="C256" s="147"/>
      <c r="D256" s="147"/>
      <c r="E256" s="147"/>
      <c r="F256" s="147"/>
      <c r="G256" s="148" t="s">
        <v>258</v>
      </c>
      <c r="H256" s="148" t="s">
        <v>274</v>
      </c>
      <c r="I256" s="331" t="s">
        <v>259</v>
      </c>
      <c r="J256" s="331" t="s">
        <v>275</v>
      </c>
      <c r="K256" s="331" t="s">
        <v>260</v>
      </c>
      <c r="L256" s="331" t="s">
        <v>261</v>
      </c>
      <c r="M256" s="147"/>
      <c r="N256" s="148" t="s">
        <v>262</v>
      </c>
      <c r="O256" s="271" t="s">
        <v>263</v>
      </c>
      <c r="P256" s="411" t="s">
        <v>264</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58</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670</v>
      </c>
      <c r="C259" s="17"/>
      <c r="D259" s="17"/>
      <c r="E259" s="17"/>
      <c r="F259" s="17"/>
      <c r="G259" s="17" t="s">
        <v>671</v>
      </c>
      <c r="H259" s="146" t="s">
        <v>672</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673</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674</v>
      </c>
      <c r="C260" s="17"/>
      <c r="D260" s="17"/>
      <c r="E260" s="17"/>
      <c r="F260" s="17"/>
      <c r="G260" s="17" t="s">
        <v>675</v>
      </c>
      <c r="H260" s="146" t="s">
        <v>672</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673</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676</v>
      </c>
      <c r="C261" s="17"/>
      <c r="D261" s="17"/>
      <c r="E261" s="17"/>
      <c r="F261" s="17"/>
      <c r="G261" s="17" t="s">
        <v>677</v>
      </c>
      <c r="H261" s="17" t="s">
        <v>292</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292</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678</v>
      </c>
      <c r="C262" s="17"/>
      <c r="D262" s="17"/>
      <c r="E262" s="17"/>
      <c r="F262" s="17"/>
      <c r="G262" s="17" t="s">
        <v>679</v>
      </c>
      <c r="H262" s="17" t="s">
        <v>292</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292</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680</v>
      </c>
      <c r="C263" s="17"/>
      <c r="D263" s="17"/>
      <c r="E263" s="17"/>
      <c r="F263" s="17"/>
      <c r="G263" s="17" t="s">
        <v>681</v>
      </c>
      <c r="H263" s="17" t="s">
        <v>292</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292</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682</v>
      </c>
      <c r="C264" s="17"/>
      <c r="D264" s="17"/>
      <c r="E264" s="17"/>
      <c r="F264" s="17"/>
      <c r="G264" s="17" t="s">
        <v>683</v>
      </c>
      <c r="H264" s="17" t="s">
        <v>292</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292</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684</v>
      </c>
      <c r="C265" s="17"/>
      <c r="D265" s="17"/>
      <c r="E265" s="17"/>
      <c r="F265" s="17"/>
      <c r="G265" s="17" t="s">
        <v>685</v>
      </c>
      <c r="H265" s="17" t="s">
        <v>292</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292</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686</v>
      </c>
      <c r="C266" s="17"/>
      <c r="D266" s="17"/>
      <c r="E266" s="17"/>
      <c r="F266" s="17"/>
      <c r="G266" s="17" t="s">
        <v>687</v>
      </c>
      <c r="H266" s="17" t="s">
        <v>585</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586</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688</v>
      </c>
      <c r="C267" s="228"/>
      <c r="D267" s="228"/>
      <c r="E267" s="228"/>
      <c r="F267" s="228"/>
      <c r="G267" s="228" t="s">
        <v>689</v>
      </c>
      <c r="H267" s="228" t="s">
        <v>690</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690</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691</v>
      </c>
      <c r="C268" s="17"/>
      <c r="D268" s="17"/>
      <c r="E268" s="17"/>
      <c r="F268" s="17"/>
      <c r="G268" s="17" t="s">
        <v>692</v>
      </c>
      <c r="H268" s="17" t="s">
        <v>693</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690</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694</v>
      </c>
      <c r="C269" s="17"/>
      <c r="D269" s="17"/>
      <c r="E269" s="17"/>
      <c r="F269" s="17"/>
      <c r="G269" s="17" t="s">
        <v>695</v>
      </c>
      <c r="H269" s="17" t="s">
        <v>279</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279</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696</v>
      </c>
      <c r="C270" s="17"/>
      <c r="D270" s="17"/>
      <c r="E270" s="17"/>
      <c r="F270" s="17"/>
      <c r="G270" s="17" t="s">
        <v>697</v>
      </c>
      <c r="H270" s="17" t="s">
        <v>279</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279</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698</v>
      </c>
      <c r="C271" s="17"/>
      <c r="D271" s="17"/>
      <c r="E271" s="17"/>
      <c r="F271" s="17"/>
      <c r="G271" s="17" t="s">
        <v>699</v>
      </c>
      <c r="H271" s="17" t="s">
        <v>292</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292</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700</v>
      </c>
      <c r="C272" s="17"/>
      <c r="D272" s="17"/>
      <c r="E272" s="17"/>
      <c r="F272" s="17"/>
      <c r="G272" s="17" t="s">
        <v>701</v>
      </c>
      <c r="H272" s="17" t="s">
        <v>292</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292</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702</v>
      </c>
      <c r="C273" s="17"/>
      <c r="D273" s="17"/>
      <c r="E273" s="17"/>
      <c r="F273" s="17"/>
      <c r="G273" s="17" t="s">
        <v>703</v>
      </c>
      <c r="H273" s="17" t="s">
        <v>292</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292</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704</v>
      </c>
      <c r="C274" s="17"/>
      <c r="D274" s="17"/>
      <c r="E274" s="17"/>
      <c r="F274" s="17"/>
      <c r="G274" s="17" t="s">
        <v>705</v>
      </c>
      <c r="H274" s="17" t="s">
        <v>693</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690</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706</v>
      </c>
      <c r="C275" s="228"/>
      <c r="D275" s="228"/>
      <c r="E275" s="228"/>
      <c r="F275" s="228"/>
      <c r="G275" s="228" t="s">
        <v>707</v>
      </c>
      <c r="H275" s="216" t="s">
        <v>708</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708</v>
      </c>
      <c r="N275" s="384"/>
      <c r="O275" s="735"/>
      <c r="P275" s="215" t="s">
        <v>709</v>
      </c>
      <c r="Q275"/>
    </row>
    <row r="276" spans="1:34" s="26" customFormat="1" ht="12.75" customHeight="1" x14ac:dyDescent="0.3">
      <c r="A276" s="228"/>
      <c r="B276" s="228" t="s">
        <v>710</v>
      </c>
      <c r="C276" s="228"/>
      <c r="D276" s="228"/>
      <c r="E276" s="228"/>
      <c r="F276" s="228"/>
      <c r="G276" s="228" t="s">
        <v>711</v>
      </c>
      <c r="H276" s="216" t="s">
        <v>708</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708</v>
      </c>
      <c r="N276" s="384"/>
      <c r="O276" s="735"/>
      <c r="P276" s="228" t="s">
        <v>709</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712</v>
      </c>
      <c r="C277" s="228"/>
      <c r="D277" s="228"/>
      <c r="E277" s="228"/>
      <c r="F277" s="228"/>
      <c r="G277" s="228" t="s">
        <v>713</v>
      </c>
      <c r="H277" s="216" t="s">
        <v>708</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708</v>
      </c>
      <c r="N277" s="384"/>
      <c r="O277" s="735"/>
      <c r="P277" s="228" t="s">
        <v>709</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714</v>
      </c>
      <c r="C278" s="228"/>
      <c r="D278" s="228"/>
      <c r="E278" s="228"/>
      <c r="F278" s="228"/>
      <c r="G278" s="578" t="s">
        <v>715</v>
      </c>
      <c r="H278" s="216" t="s">
        <v>716</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717</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714</v>
      </c>
      <c r="C279" s="228"/>
      <c r="D279" s="228"/>
      <c r="E279" s="228"/>
      <c r="F279" s="228"/>
      <c r="G279" s="578" t="s">
        <v>718</v>
      </c>
      <c r="H279" s="216" t="s">
        <v>716</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717</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714</v>
      </c>
      <c r="C280" s="228"/>
      <c r="D280" s="228"/>
      <c r="E280" s="228"/>
      <c r="F280" s="228"/>
      <c r="G280" s="578" t="s">
        <v>719</v>
      </c>
      <c r="H280" s="216" t="s">
        <v>716</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717</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720</v>
      </c>
      <c r="C281" s="228"/>
      <c r="D281" s="228"/>
      <c r="E281" s="228"/>
      <c r="F281" s="228"/>
      <c r="G281" s="578" t="s">
        <v>721</v>
      </c>
      <c r="H281" s="216" t="s">
        <v>579</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717</v>
      </c>
      <c r="N281" s="228" t="s">
        <v>722</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723</v>
      </c>
      <c r="C282" s="228"/>
      <c r="D282" s="228"/>
      <c r="E282" s="228"/>
      <c r="F282" s="228"/>
      <c r="G282" s="578" t="s">
        <v>724</v>
      </c>
      <c r="H282" s="216" t="s">
        <v>579</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717</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725</v>
      </c>
      <c r="C283" s="228"/>
      <c r="D283" s="228"/>
      <c r="E283" s="228"/>
      <c r="F283" s="228"/>
      <c r="G283" s="578" t="s">
        <v>726</v>
      </c>
      <c r="H283" s="216" t="s">
        <v>579</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717</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727</v>
      </c>
      <c r="C284" s="228"/>
      <c r="D284" s="228"/>
      <c r="E284" s="228"/>
      <c r="F284" s="228"/>
      <c r="G284" s="858" t="s">
        <v>728</v>
      </c>
      <c r="H284" s="216" t="s">
        <v>729</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730</v>
      </c>
      <c r="N284" s="228" t="s">
        <v>731</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211</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670</v>
      </c>
      <c r="C287" s="228"/>
      <c r="D287" s="228"/>
      <c r="E287" s="228"/>
      <c r="F287" s="228"/>
      <c r="G287" s="228" t="s">
        <v>732</v>
      </c>
      <c r="H287" s="578" t="s">
        <v>672</v>
      </c>
      <c r="I287" s="570"/>
      <c r="J287" s="425"/>
      <c r="K287" s="405">
        <f>TOTAREAland.C-AREAland.R*0.000001</f>
        <v>3485840</v>
      </c>
      <c r="L287" s="155">
        <f>IF(ISBLANK(I287), IF(ISNUMBER(J287)=FALSE,K287*1000000,J287*1000000),I287*1000000)</f>
        <v>3485840000000</v>
      </c>
      <c r="M287" s="216" t="s">
        <v>673</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674</v>
      </c>
      <c r="C288" s="228"/>
      <c r="D288" s="228"/>
      <c r="E288" s="228"/>
      <c r="F288" s="228"/>
      <c r="G288" s="228" t="s">
        <v>733</v>
      </c>
      <c r="H288" s="578" t="s">
        <v>672</v>
      </c>
      <c r="I288" s="570"/>
      <c r="J288" s="425"/>
      <c r="K288" s="405">
        <f>TOTAREAsea.C-AREAsea.R*0.000001</f>
        <v>3713410</v>
      </c>
      <c r="L288" s="155">
        <f>IF(ISBLANK(I288), IF(ISNUMBER(J288)=FALSE,K288*1000000,J288*1000000),I288*1000000)</f>
        <v>3713410000000</v>
      </c>
      <c r="M288" s="216" t="s">
        <v>673</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4708</v>
      </c>
      <c r="D289" s="228"/>
      <c r="E289" s="228"/>
      <c r="F289" s="228"/>
      <c r="G289" s="228" t="s">
        <v>4710</v>
      </c>
      <c r="H289" s="578" t="s">
        <v>4720</v>
      </c>
      <c r="I289" s="812"/>
      <c r="J289" s="425"/>
      <c r="K289" s="405">
        <v>3714410</v>
      </c>
      <c r="L289" s="155">
        <f t="shared" ref="L289:L295" si="19">IF(ISBLANK(I289), IF(ISNUMBER(J289)=FALSE,K289,J289),I289)</f>
        <v>3714410</v>
      </c>
      <c r="M289" s="578" t="s">
        <v>4721</v>
      </c>
      <c r="N289" s="228"/>
      <c r="O289" s="228"/>
      <c r="P289" s="384"/>
    </row>
    <row r="290" spans="1:34" s="386" customFormat="1" ht="12.75" customHeight="1" x14ac:dyDescent="0.3">
      <c r="A290" s="384"/>
      <c r="B290" s="228"/>
      <c r="C290" s="228" t="s">
        <v>4709</v>
      </c>
      <c r="D290" s="228"/>
      <c r="E290" s="228"/>
      <c r="F290" s="228"/>
      <c r="G290" s="228" t="s">
        <v>4711</v>
      </c>
      <c r="H290" s="578" t="s">
        <v>4720</v>
      </c>
      <c r="I290" s="812"/>
      <c r="J290" s="425"/>
      <c r="K290" s="405">
        <v>3714410</v>
      </c>
      <c r="L290" s="155">
        <f t="shared" si="19"/>
        <v>3714410</v>
      </c>
      <c r="M290" s="578" t="s">
        <v>4721</v>
      </c>
      <c r="N290" s="228"/>
      <c r="O290" s="228"/>
      <c r="P290" s="384"/>
    </row>
    <row r="291" spans="1:34" s="26" customFormat="1" ht="12.75" customHeight="1" x14ac:dyDescent="0.3">
      <c r="A291" s="228"/>
      <c r="B291" s="228" t="s">
        <v>678</v>
      </c>
      <c r="C291" s="228"/>
      <c r="D291" s="228"/>
      <c r="E291" s="228"/>
      <c r="F291" s="228"/>
      <c r="G291" s="228" t="s">
        <v>734</v>
      </c>
      <c r="H291" s="228" t="s">
        <v>292</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292</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678</v>
      </c>
      <c r="C292" s="228"/>
      <c r="D292" s="228"/>
      <c r="E292" s="228"/>
      <c r="F292" s="228"/>
      <c r="G292" s="228" t="s">
        <v>735</v>
      </c>
      <c r="H292" s="228" t="s">
        <v>292</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292</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680</v>
      </c>
      <c r="C293" s="228"/>
      <c r="D293" s="228"/>
      <c r="E293" s="228"/>
      <c r="F293" s="228"/>
      <c r="G293" s="228" t="s">
        <v>736</v>
      </c>
      <c r="H293" s="228" t="s">
        <v>292</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292</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682</v>
      </c>
      <c r="C294" s="228"/>
      <c r="D294" s="228"/>
      <c r="E294" s="228"/>
      <c r="F294" s="228"/>
      <c r="G294" s="228" t="s">
        <v>737</v>
      </c>
      <c r="H294" s="228" t="s">
        <v>292</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292</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684</v>
      </c>
      <c r="C295" s="228"/>
      <c r="D295" s="228"/>
      <c r="E295" s="228"/>
      <c r="F295" s="228"/>
      <c r="G295" s="228" t="s">
        <v>738</v>
      </c>
      <c r="H295" s="228" t="s">
        <v>292</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292</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686</v>
      </c>
      <c r="C296" s="228"/>
      <c r="D296" s="228"/>
      <c r="E296" s="228"/>
      <c r="F296" s="228"/>
      <c r="G296" s="228" t="s">
        <v>739</v>
      </c>
      <c r="H296" s="228" t="s">
        <v>585</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586</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688</v>
      </c>
      <c r="C297" s="228"/>
      <c r="D297" s="228"/>
      <c r="E297" s="228"/>
      <c r="F297" s="228"/>
      <c r="G297" s="228" t="s">
        <v>740</v>
      </c>
      <c r="H297" s="228" t="s">
        <v>690</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690</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691</v>
      </c>
      <c r="C298" s="228"/>
      <c r="D298" s="228"/>
      <c r="E298" s="228"/>
      <c r="F298" s="228"/>
      <c r="G298" s="228" t="s">
        <v>741</v>
      </c>
      <c r="H298" s="228" t="s">
        <v>693</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690</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696</v>
      </c>
      <c r="C299" s="228"/>
      <c r="D299" s="228"/>
      <c r="E299" s="228"/>
      <c r="F299" s="228"/>
      <c r="G299" s="228" t="s">
        <v>742</v>
      </c>
      <c r="H299" s="228" t="s">
        <v>279</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279</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696</v>
      </c>
      <c r="C300" s="228"/>
      <c r="D300" s="228"/>
      <c r="E300" s="228"/>
      <c r="F300" s="228"/>
      <c r="G300" s="228" t="s">
        <v>743</v>
      </c>
      <c r="H300" s="228" t="s">
        <v>279</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279</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744</v>
      </c>
      <c r="C301" s="228"/>
      <c r="D301" s="228"/>
      <c r="E301" s="228"/>
      <c r="F301" s="228"/>
      <c r="G301" s="228" t="s">
        <v>745</v>
      </c>
      <c r="H301" s="228" t="s">
        <v>292</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292</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702</v>
      </c>
      <c r="C302" s="228"/>
      <c r="D302" s="228"/>
      <c r="E302" s="228"/>
      <c r="F302" s="228"/>
      <c r="G302" s="228" t="s">
        <v>746</v>
      </c>
      <c r="H302" s="228" t="s">
        <v>292</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292</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700</v>
      </c>
      <c r="C303" s="228"/>
      <c r="D303" s="228"/>
      <c r="E303" s="228"/>
      <c r="F303" s="228"/>
      <c r="G303" s="228" t="s">
        <v>747</v>
      </c>
      <c r="H303" s="228" t="s">
        <v>292</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292</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704</v>
      </c>
      <c r="C304" s="228"/>
      <c r="D304" s="228"/>
      <c r="E304" s="228"/>
      <c r="F304" s="228"/>
      <c r="G304" s="228" t="s">
        <v>748</v>
      </c>
      <c r="H304" s="228" t="s">
        <v>693</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690</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706</v>
      </c>
      <c r="C305" s="228"/>
      <c r="D305" s="228"/>
      <c r="E305" s="228"/>
      <c r="F305" s="228"/>
      <c r="G305" s="228" t="s">
        <v>749</v>
      </c>
      <c r="H305" s="216" t="s">
        <v>708</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708</v>
      </c>
      <c r="N305" s="228"/>
      <c r="O305" s="818"/>
      <c r="P305" s="228" t="s">
        <v>709</v>
      </c>
    </row>
    <row r="306" spans="1:34" customFormat="1" ht="12.75" customHeight="1" x14ac:dyDescent="0.3">
      <c r="A306" s="228"/>
      <c r="B306" s="228" t="s">
        <v>710</v>
      </c>
      <c r="C306" s="228"/>
      <c r="D306" s="228"/>
      <c r="E306" s="228"/>
      <c r="F306" s="228"/>
      <c r="G306" s="228" t="s">
        <v>750</v>
      </c>
      <c r="H306" s="216" t="s">
        <v>708</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708</v>
      </c>
      <c r="N306" s="228"/>
      <c r="O306" s="818"/>
      <c r="P306" s="228" t="s">
        <v>709</v>
      </c>
    </row>
    <row r="307" spans="1:34" customFormat="1" ht="12.75" customHeight="1" x14ac:dyDescent="0.3">
      <c r="A307" s="228"/>
      <c r="B307" s="228" t="s">
        <v>712</v>
      </c>
      <c r="C307" s="228"/>
      <c r="D307" s="228"/>
      <c r="E307" s="228"/>
      <c r="F307" s="228"/>
      <c r="G307" s="228" t="s">
        <v>751</v>
      </c>
      <c r="H307" s="216" t="s">
        <v>708</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708</v>
      </c>
      <c r="N307" s="228"/>
      <c r="O307" s="818"/>
      <c r="P307" s="228" t="s">
        <v>709</v>
      </c>
    </row>
    <row r="308" spans="1:34" s="26" customFormat="1" ht="12.75" customHeight="1" x14ac:dyDescent="0.3">
      <c r="A308" s="216"/>
      <c r="B308" s="216" t="s">
        <v>714</v>
      </c>
      <c r="C308" s="228"/>
      <c r="D308" s="228"/>
      <c r="E308" s="228"/>
      <c r="F308" s="228"/>
      <c r="G308" s="578" t="s">
        <v>752</v>
      </c>
      <c r="H308" s="216" t="s">
        <v>716</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717</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714</v>
      </c>
      <c r="C309" s="228"/>
      <c r="D309" s="228"/>
      <c r="E309" s="228"/>
      <c r="F309" s="228"/>
      <c r="G309" s="578" t="s">
        <v>753</v>
      </c>
      <c r="H309" s="216" t="s">
        <v>716</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717</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714</v>
      </c>
      <c r="C310" s="228"/>
      <c r="D310" s="228"/>
      <c r="E310" s="228"/>
      <c r="F310" s="228"/>
      <c r="G310" s="578" t="s">
        <v>754</v>
      </c>
      <c r="H310" s="216" t="s">
        <v>716</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717</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723</v>
      </c>
      <c r="C311" s="228"/>
      <c r="D311" s="228"/>
      <c r="E311" s="228"/>
      <c r="F311" s="228"/>
      <c r="G311" s="578" t="s">
        <v>755</v>
      </c>
      <c r="H311" s="216" t="s">
        <v>579</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717</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723</v>
      </c>
      <c r="C312" s="228"/>
      <c r="D312" s="228"/>
      <c r="E312" s="228"/>
      <c r="F312" s="228"/>
      <c r="G312" s="578" t="s">
        <v>756</v>
      </c>
      <c r="H312" s="216" t="s">
        <v>716</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717</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725</v>
      </c>
      <c r="C313" s="228"/>
      <c r="D313" s="228"/>
      <c r="E313" s="228"/>
      <c r="F313" s="228"/>
      <c r="G313" s="578" t="s">
        <v>757</v>
      </c>
      <c r="H313" s="216" t="s">
        <v>716</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717</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727</v>
      </c>
      <c r="C314" s="228"/>
      <c r="D314" s="228"/>
      <c r="E314" s="228"/>
      <c r="F314" s="228"/>
      <c r="G314" s="216" t="s">
        <v>758</v>
      </c>
      <c r="H314" s="216" t="s">
        <v>729</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730</v>
      </c>
      <c r="N314" s="228" t="s">
        <v>731</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759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760</v>
      </c>
      <c r="C317" s="228"/>
      <c r="D317" s="228"/>
      <c r="E317" s="228"/>
      <c r="F317" s="228"/>
      <c r="G317" s="216" t="s">
        <v>761</v>
      </c>
      <c r="H317" s="216" t="s">
        <v>291</v>
      </c>
      <c r="I317" s="572"/>
      <c r="J317" s="568" t="str">
        <f>IF(HLOOKUP(CaseName,CaseData,MATCH($G317,cases!$G$3:$G$1259,0)-1,FALSE)="","",HLOOKUP(CaseName,CaseData,MATCH($G317,cases!$G$3:$G$1259,0)-1,FALSE))</f>
        <v/>
      </c>
      <c r="K317" s="613">
        <v>5.6</v>
      </c>
      <c r="L317" s="550">
        <f t="shared" ref="L317:L329" si="21">IF(ISBLANK(I317), IF(ISNUMBER(J317)=FALSE, K317, J317), I317)</f>
        <v>5.6</v>
      </c>
      <c r="M317" s="579" t="s">
        <v>292</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762</v>
      </c>
      <c r="C318" s="228"/>
      <c r="D318" s="228"/>
      <c r="E318" s="228"/>
      <c r="F318" s="228"/>
      <c r="G318" s="216" t="s">
        <v>763</v>
      </c>
      <c r="H318" s="216" t="s">
        <v>291</v>
      </c>
      <c r="I318" s="572"/>
      <c r="J318" s="568" t="str">
        <f>IF(HLOOKUP(CaseName,CaseData,MATCH($G318,cases!$G$3:$G$1259,0)-1,FALSE)="","",HLOOKUP(CaseName,CaseData,MATCH($G318,cases!$G$3:$G$1259,0)-1,FALSE))</f>
        <v/>
      </c>
      <c r="K318" s="435">
        <v>3</v>
      </c>
      <c r="L318" s="550">
        <f t="shared" si="21"/>
        <v>3</v>
      </c>
      <c r="M318" s="579" t="s">
        <v>292</v>
      </c>
      <c r="N318" s="228" t="s">
        <v>764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765</v>
      </c>
      <c r="C319" s="228"/>
      <c r="D319" s="228"/>
      <c r="E319" s="228"/>
      <c r="F319" s="228"/>
      <c r="G319" s="216" t="s">
        <v>766</v>
      </c>
      <c r="H319" s="216" t="s">
        <v>291</v>
      </c>
      <c r="I319" s="572"/>
      <c r="J319" s="568" t="str">
        <f>IF(HLOOKUP(CaseName,CaseData,MATCH($G319,cases!$G$3:$G$1259,0)-1,FALSE)="","",HLOOKUP(CaseName,CaseData,MATCH($G319,cases!$G$3:$G$1259,0)-1,FALSE))</f>
        <v/>
      </c>
      <c r="K319" s="435">
        <v>7</v>
      </c>
      <c r="L319" s="550">
        <f t="shared" si="21"/>
        <v>7</v>
      </c>
      <c r="M319" s="579" t="s">
        <v>292</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767</v>
      </c>
      <c r="C320" s="228"/>
      <c r="D320" s="228"/>
      <c r="E320" s="228"/>
      <c r="F320" s="228"/>
      <c r="G320" s="216" t="s">
        <v>768</v>
      </c>
      <c r="H320" s="216" t="s">
        <v>291</v>
      </c>
      <c r="I320" s="572"/>
      <c r="J320" s="568" t="str">
        <f>IF(HLOOKUP(CaseName,CaseData,MATCH($G320,cases!$G$3:$G$1259,0)-1,FALSE)="","",HLOOKUP(CaseName,CaseData,MATCH($G320,cases!$G$3:$G$1259,0)-1,FALSE))</f>
        <v/>
      </c>
      <c r="K320" s="435">
        <v>8</v>
      </c>
      <c r="L320" s="550">
        <f t="shared" si="21"/>
        <v>8</v>
      </c>
      <c r="M320" s="579" t="s">
        <v>292</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769</v>
      </c>
      <c r="C321" s="228"/>
      <c r="D321" s="228"/>
      <c r="E321" s="228"/>
      <c r="F321" s="228"/>
      <c r="G321" s="216" t="s">
        <v>770</v>
      </c>
      <c r="H321" s="216" t="s">
        <v>291</v>
      </c>
      <c r="I321" s="572"/>
      <c r="J321" s="568" t="str">
        <f>IF(HLOOKUP(CaseName,CaseData,MATCH($G321,cases!$G$3:$G$1259,0)-1,FALSE)="","",HLOOKUP(CaseName,CaseData,MATCH($G321,cases!$G$3:$G$1259,0)-1,FALSE))</f>
        <v/>
      </c>
      <c r="K321" s="435">
        <v>5</v>
      </c>
      <c r="L321" s="550">
        <f t="shared" si="21"/>
        <v>5</v>
      </c>
      <c r="M321" s="579" t="s">
        <v>292</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771</v>
      </c>
      <c r="C322" s="228"/>
      <c r="D322" s="228"/>
      <c r="E322" s="228"/>
      <c r="F322" s="228"/>
      <c r="G322" s="216" t="s">
        <v>772</v>
      </c>
      <c r="H322" s="216" t="s">
        <v>291</v>
      </c>
      <c r="I322" s="572"/>
      <c r="J322" s="568" t="str">
        <f>IF(HLOOKUP(CaseName,CaseData,MATCH($G322,cases!$G$3:$G$1259,0)-1,FALSE)="","",HLOOKUP(CaseName,CaseData,MATCH($G322,cases!$G$3:$G$1259,0)-1,FALSE))</f>
        <v/>
      </c>
      <c r="K322" s="435">
        <v>7</v>
      </c>
      <c r="L322" s="550">
        <f t="shared" si="21"/>
        <v>7</v>
      </c>
      <c r="M322" s="579" t="s">
        <v>292</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773</v>
      </c>
      <c r="C323" s="228"/>
      <c r="D323" s="228"/>
      <c r="E323" s="228"/>
      <c r="F323" s="228"/>
      <c r="G323" s="216" t="s">
        <v>774</v>
      </c>
      <c r="H323" s="216" t="s">
        <v>291</v>
      </c>
      <c r="I323" s="572"/>
      <c r="J323" s="568" t="str">
        <f>IF(HLOOKUP(CaseName,CaseData,MATCH($G323,cases!$G$3:$G$1259,0)-1,FALSE)="","",HLOOKUP(CaseName,CaseData,MATCH($G323,cases!$G$3:$G$1259,0)-1,FALSE))</f>
        <v/>
      </c>
      <c r="K323" s="435">
        <v>7</v>
      </c>
      <c r="L323" s="550">
        <f t="shared" si="21"/>
        <v>7</v>
      </c>
      <c r="M323" s="579" t="s">
        <v>292</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775</v>
      </c>
      <c r="C324" s="228"/>
      <c r="D324" s="228"/>
      <c r="E324" s="228"/>
      <c r="F324" s="228"/>
      <c r="G324" s="216" t="s">
        <v>776</v>
      </c>
      <c r="H324" s="578" t="s">
        <v>777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778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779</v>
      </c>
      <c r="C325" s="228"/>
      <c r="D325" s="228"/>
      <c r="E325" s="228"/>
      <c r="F325" s="228"/>
      <c r="G325" s="216" t="s">
        <v>780</v>
      </c>
      <c r="H325" s="578" t="s">
        <v>777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778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781</v>
      </c>
      <c r="C326" s="228"/>
      <c r="D326" s="228"/>
      <c r="E326" s="228"/>
      <c r="F326" s="228"/>
      <c r="G326" s="228" t="s">
        <v>782</v>
      </c>
      <c r="H326" s="228" t="s">
        <v>291</v>
      </c>
      <c r="I326" s="572"/>
      <c r="J326" s="568" t="str">
        <f>IF(HLOOKUP(CaseName,CaseData,MATCH($G326,cases!$G$3:$G$1259,0)-1,FALSE)="","",HLOOKUP(CaseName,CaseData,MATCH($G326,cases!$G$3:$G$1259,0)-1,FALSE))</f>
        <v/>
      </c>
      <c r="K326" s="435">
        <v>0.1</v>
      </c>
      <c r="L326" s="550">
        <f t="shared" si="21"/>
        <v>0.1</v>
      </c>
      <c r="M326" s="216" t="s">
        <v>292</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783</v>
      </c>
      <c r="C327" s="228"/>
      <c r="D327" s="228"/>
      <c r="E327" s="578"/>
      <c r="F327" s="578"/>
      <c r="G327" s="228" t="s">
        <v>784</v>
      </c>
      <c r="H327" s="216" t="s">
        <v>291</v>
      </c>
      <c r="I327" s="572"/>
      <c r="J327" s="568" t="str">
        <f>IF(HLOOKUP(CaseName,CaseData,MATCH($G327,cases!$G$3:$G$1259,0)-1,FALSE)="","",HLOOKUP(CaseName,CaseData,MATCH($G327,cases!$G$3:$G$1259,0)-1,FALSE))</f>
        <v/>
      </c>
      <c r="K327" s="407">
        <v>0.02</v>
      </c>
      <c r="L327" s="423">
        <f t="shared" si="21"/>
        <v>0.02</v>
      </c>
      <c r="M327" s="216" t="s">
        <v>292</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785</v>
      </c>
      <c r="C328" s="228"/>
      <c r="D328" s="228"/>
      <c r="E328" s="228"/>
      <c r="F328" s="228"/>
      <c r="G328" s="228" t="s">
        <v>786</v>
      </c>
      <c r="H328" s="216" t="s">
        <v>787</v>
      </c>
      <c r="I328" s="569"/>
      <c r="J328" s="568" t="str">
        <f>IF(HLOOKUP(CaseName,CaseData,MATCH($G328,cases!$G$3:$G$1259,0)-1,FALSE)="","",HLOOKUP(CaseName,CaseData,MATCH($G328,cases!$G$3:$G$1259,0)-1,FALSE))</f>
        <v/>
      </c>
      <c r="K328" s="435">
        <v>2000</v>
      </c>
      <c r="L328" s="550">
        <f t="shared" si="21"/>
        <v>2000</v>
      </c>
      <c r="M328" s="216" t="s">
        <v>717</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788</v>
      </c>
      <c r="C329" s="578"/>
      <c r="D329" s="578"/>
      <c r="E329" s="228"/>
      <c r="F329" s="228"/>
      <c r="G329" s="228" t="s">
        <v>789</v>
      </c>
      <c r="H329" s="216" t="s">
        <v>787</v>
      </c>
      <c r="I329" s="570"/>
      <c r="J329" s="850" t="str">
        <f>IF(HLOOKUP(CaseName,CaseData,MATCH($G329,cases!$G$3:$G$1259,0)-1,FALSE)="","",HLOOKUP(CaseName,CaseData,MATCH($G329,cases!$G$3:$G$1259,0)-1,FALSE))</f>
        <v/>
      </c>
      <c r="K329" s="407">
        <v>2500</v>
      </c>
      <c r="L329" s="423">
        <f t="shared" si="21"/>
        <v>2500</v>
      </c>
      <c r="M329" s="216" t="s">
        <v>717</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790</v>
      </c>
      <c r="C330" s="228"/>
      <c r="D330" s="228"/>
      <c r="E330" s="228"/>
      <c r="F330" s="228"/>
      <c r="G330" s="228" t="s">
        <v>791</v>
      </c>
      <c r="H330" s="228" t="s">
        <v>792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793</v>
      </c>
      <c r="N330" s="228"/>
      <c r="O330" s="228"/>
      <c r="P330" s="228"/>
    </row>
    <row r="331" spans="1:34" s="26" customFormat="1" ht="12.75" customHeight="1" x14ac:dyDescent="0.3">
      <c r="A331" s="228"/>
      <c r="B331" s="228" t="s">
        <v>794</v>
      </c>
      <c r="C331" s="228"/>
      <c r="D331" s="228"/>
      <c r="E331" s="228"/>
      <c r="F331" s="228"/>
      <c r="G331" s="216" t="s">
        <v>795</v>
      </c>
      <c r="H331" s="216" t="s">
        <v>282</v>
      </c>
      <c r="I331" s="572"/>
      <c r="J331" s="850" t="str">
        <f>IF(HLOOKUP(CaseName,CaseData,MATCH($G331,cases!$G$3:$G$1259,0)-1,FALSE)="","",HLOOKUP(CaseName,CaseData,MATCH($G331,cases!$G$3:$G$1259,0)-1,FALSE))</f>
        <v/>
      </c>
      <c r="K331" s="432">
        <v>1.2250000000000001</v>
      </c>
      <c r="L331" s="298">
        <f t="shared" si="22"/>
        <v>1.2250000000000001</v>
      </c>
      <c r="M331" s="216" t="s">
        <v>282</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796</v>
      </c>
      <c r="C332" s="228"/>
      <c r="D332" s="228"/>
      <c r="E332" s="228"/>
      <c r="F332" s="228"/>
      <c r="G332" s="216" t="s">
        <v>797</v>
      </c>
      <c r="H332" s="228" t="s">
        <v>798</v>
      </c>
      <c r="I332" s="570"/>
      <c r="J332" s="850" t="str">
        <f>IF(HLOOKUP(CaseName,CaseData,MATCH($G332,cases!$G$3:$G$1259,0)-1,FALSE)="","",HLOOKUP(CaseName,CaseData,MATCH($G332,cases!$G$3:$G$1259,0)-1,FALSE))</f>
        <v/>
      </c>
      <c r="K332" s="407">
        <f>0.001002</f>
        <v>1.0020000000000001E-3</v>
      </c>
      <c r="L332" s="423">
        <f t="shared" si="22"/>
        <v>1.0020000000000001E-3</v>
      </c>
      <c r="M332" s="228" t="s">
        <v>799</v>
      </c>
      <c r="N332" s="228"/>
      <c r="O332" s="228"/>
      <c r="P332" s="228"/>
    </row>
    <row r="333" spans="1:34" customFormat="1" ht="12.75" customHeight="1" x14ac:dyDescent="0.3">
      <c r="A333" s="228"/>
      <c r="B333" s="228" t="s">
        <v>800</v>
      </c>
      <c r="C333" s="228"/>
      <c r="D333" s="228"/>
      <c r="E333" s="228"/>
      <c r="F333" s="228"/>
      <c r="G333" s="216" t="s">
        <v>801</v>
      </c>
      <c r="H333" s="216" t="s">
        <v>787</v>
      </c>
      <c r="I333" s="570"/>
      <c r="J333" s="850" t="str">
        <f>IF(HLOOKUP(CaseName,CaseData,MATCH($G333,cases!$G$3:$G$1259,0)-1,FALSE)="","",HLOOKUP(CaseName,CaseData,MATCH($G333,cases!$G$3:$G$1259,0)-1,FALSE))</f>
        <v/>
      </c>
      <c r="K333" s="407">
        <v>998</v>
      </c>
      <c r="L333" s="423">
        <f t="shared" si="22"/>
        <v>998</v>
      </c>
      <c r="M333" s="216" t="s">
        <v>717</v>
      </c>
      <c r="N333" s="228"/>
      <c r="O333" s="228"/>
      <c r="P333" s="228"/>
    </row>
    <row r="334" spans="1:34" customFormat="1" ht="12.75" customHeight="1" x14ac:dyDescent="0.3">
      <c r="A334" s="228"/>
      <c r="B334" s="228" t="s">
        <v>802</v>
      </c>
      <c r="C334" s="228"/>
      <c r="D334" s="228"/>
      <c r="E334" s="228"/>
      <c r="F334" s="228"/>
      <c r="G334" s="228" t="s">
        <v>803</v>
      </c>
      <c r="H334" s="228" t="s">
        <v>804</v>
      </c>
      <c r="I334" s="570"/>
      <c r="J334" s="850" t="str">
        <f>IF(HLOOKUP(CaseName,CaseData,MATCH($G334,cases!$G$3:$G$1259,0)-1,FALSE)="","",HLOOKUP(CaseName,CaseData,MATCH($G334,cases!$G$3:$G$1259,0)-1,FALSE))</f>
        <v/>
      </c>
      <c r="K334" s="407">
        <v>1.3806488E-23</v>
      </c>
      <c r="L334" s="423">
        <f t="shared" si="22"/>
        <v>1.3806488E-23</v>
      </c>
      <c r="M334" s="228" t="s">
        <v>805</v>
      </c>
      <c r="N334" s="228"/>
      <c r="O334" s="228"/>
      <c r="P334" s="228"/>
    </row>
    <row r="335" spans="1:34" customFormat="1" ht="12.75" customHeight="1" x14ac:dyDescent="0.3">
      <c r="A335" s="228"/>
      <c r="B335" s="228" t="s">
        <v>806</v>
      </c>
      <c r="C335" s="228"/>
      <c r="D335" s="228"/>
      <c r="E335" s="228"/>
      <c r="F335" s="228"/>
      <c r="G335" s="228" t="s">
        <v>807</v>
      </c>
      <c r="H335" s="228" t="s">
        <v>808</v>
      </c>
      <c r="I335" s="570"/>
      <c r="J335" s="850" t="str">
        <f>IF(HLOOKUP(CaseName,CaseData,MATCH($G335,cases!$G$3:$G$1259,0)-1,FALSE)="","",HLOOKUP(CaseName,CaseData,MATCH($G335,cases!$G$3:$G$1259,0)-1,FALSE))</f>
        <v/>
      </c>
      <c r="K335" s="407">
        <v>9.81</v>
      </c>
      <c r="L335" s="423">
        <f t="shared" si="22"/>
        <v>9.81</v>
      </c>
      <c r="M335" s="228" t="s">
        <v>809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810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811</v>
      </c>
      <c r="C338" s="228"/>
      <c r="D338" s="228"/>
      <c r="E338" s="228"/>
      <c r="F338" s="215"/>
      <c r="G338" s="859" t="s">
        <v>812</v>
      </c>
      <c r="H338" s="216" t="s">
        <v>278</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813</v>
      </c>
      <c r="N338" s="228"/>
      <c r="O338" s="262"/>
      <c r="P338" s="228" t="s">
        <v>709</v>
      </c>
    </row>
    <row r="339" spans="1:17" s="11" customFormat="1" ht="12.75" customHeight="1" x14ac:dyDescent="0.3">
      <c r="A339" s="228"/>
      <c r="B339" s="228" t="s">
        <v>814</v>
      </c>
      <c r="C339" s="228"/>
      <c r="D339" s="228"/>
      <c r="E339" s="228"/>
      <c r="F339" s="215"/>
      <c r="G339" s="859" t="s">
        <v>815</v>
      </c>
      <c r="H339" s="216" t="s">
        <v>282</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282</v>
      </c>
      <c r="N339" s="228"/>
      <c r="O339" s="262"/>
      <c r="P339" s="228" t="s">
        <v>816</v>
      </c>
    </row>
    <row r="340" spans="1:17" s="26" customFormat="1" ht="12.75" customHeight="1" x14ac:dyDescent="0.3">
      <c r="A340" s="228"/>
      <c r="B340" s="228" t="s">
        <v>817</v>
      </c>
      <c r="C340" s="228"/>
      <c r="D340" s="228"/>
      <c r="E340" s="228"/>
      <c r="F340" s="215"/>
      <c r="G340" s="859" t="s">
        <v>818</v>
      </c>
      <c r="H340" s="216" t="s">
        <v>278</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813</v>
      </c>
      <c r="N340" s="228"/>
      <c r="O340" s="262"/>
      <c r="P340" s="215"/>
      <c r="Q340" s="11"/>
    </row>
    <row r="341" spans="1:17" s="26" customFormat="1" ht="12.75" customHeight="1" x14ac:dyDescent="0.3">
      <c r="A341" s="228"/>
      <c r="B341" s="228" t="s">
        <v>819</v>
      </c>
      <c r="C341" s="228"/>
      <c r="D341" s="228"/>
      <c r="E341" s="228"/>
      <c r="F341" s="215"/>
      <c r="G341" s="859" t="s">
        <v>820</v>
      </c>
      <c r="H341" s="216" t="s">
        <v>282</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282</v>
      </c>
      <c r="N341" s="228"/>
      <c r="O341" s="262"/>
      <c r="P341" s="215"/>
      <c r="Q341" s="11"/>
    </row>
    <row r="342" spans="1:17" s="26" customFormat="1" ht="12.75" customHeight="1" x14ac:dyDescent="0.3">
      <c r="A342" s="228"/>
      <c r="B342" s="228" t="s">
        <v>821</v>
      </c>
      <c r="C342" s="228"/>
      <c r="D342" s="228"/>
      <c r="E342" s="228"/>
      <c r="F342" s="215"/>
      <c r="G342" s="859" t="s">
        <v>822</v>
      </c>
      <c r="H342" s="228" t="s">
        <v>823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813</v>
      </c>
      <c r="N342" s="228"/>
      <c r="O342" s="262"/>
      <c r="P342" s="215"/>
      <c r="Q342" s="11"/>
    </row>
    <row r="343" spans="1:17" s="26" customFormat="1" ht="12.75" customHeight="1" x14ac:dyDescent="0.3">
      <c r="A343" s="228"/>
      <c r="B343" s="228" t="s">
        <v>824</v>
      </c>
      <c r="C343" s="228"/>
      <c r="D343" s="228"/>
      <c r="E343" s="228"/>
      <c r="F343" s="215"/>
      <c r="G343" s="859" t="s">
        <v>825</v>
      </c>
      <c r="H343" s="216" t="s">
        <v>282</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282</v>
      </c>
      <c r="N343" s="228"/>
      <c r="O343" s="262"/>
      <c r="P343" s="215"/>
      <c r="Q343" s="11"/>
    </row>
    <row r="344" spans="1:17" s="386" customFormat="1" ht="12.75" customHeight="1" x14ac:dyDescent="0.3">
      <c r="A344" s="228"/>
      <c r="B344" s="228" t="s">
        <v>826</v>
      </c>
      <c r="C344" s="228"/>
      <c r="D344" s="228"/>
      <c r="E344" s="228"/>
      <c r="F344" s="384"/>
      <c r="G344" s="859" t="s">
        <v>827</v>
      </c>
      <c r="H344" s="228" t="s">
        <v>278</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813</v>
      </c>
      <c r="N344" s="228"/>
      <c r="O344" s="415"/>
      <c r="P344" s="228" t="s">
        <v>828</v>
      </c>
    </row>
    <row r="345" spans="1:17" s="386" customFormat="1" ht="12.75" customHeight="1" x14ac:dyDescent="0.3">
      <c r="A345" s="228"/>
      <c r="B345" s="228" t="s">
        <v>829</v>
      </c>
      <c r="C345" s="228"/>
      <c r="D345" s="228"/>
      <c r="E345" s="228"/>
      <c r="F345" s="384"/>
      <c r="G345" s="859" t="s">
        <v>830</v>
      </c>
      <c r="H345" s="216" t="s">
        <v>282</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282</v>
      </c>
      <c r="N345" s="228"/>
      <c r="O345" s="415"/>
      <c r="P345" s="228"/>
    </row>
    <row r="346" spans="1:17" s="386" customFormat="1" ht="12.75" customHeight="1" x14ac:dyDescent="0.3">
      <c r="A346" s="228"/>
      <c r="B346" s="228" t="s">
        <v>831</v>
      </c>
      <c r="C346" s="228"/>
      <c r="D346" s="228"/>
      <c r="E346" s="228"/>
      <c r="F346" s="384"/>
      <c r="G346" s="859" t="s">
        <v>832</v>
      </c>
      <c r="H346" s="228" t="s">
        <v>823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813</v>
      </c>
      <c r="N346" s="228"/>
      <c r="O346" s="415"/>
      <c r="P346" s="228"/>
    </row>
    <row r="347" spans="1:17" s="386" customFormat="1" ht="12.75" customHeight="1" x14ac:dyDescent="0.3">
      <c r="A347" s="228"/>
      <c r="B347" s="228" t="s">
        <v>833</v>
      </c>
      <c r="C347" s="228"/>
      <c r="D347" s="228"/>
      <c r="E347" s="228"/>
      <c r="F347" s="384"/>
      <c r="G347" s="859" t="s">
        <v>834</v>
      </c>
      <c r="H347" s="216" t="s">
        <v>282</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282</v>
      </c>
      <c r="N347" s="228" t="s">
        <v>835</v>
      </c>
      <c r="O347" s="415"/>
      <c r="P347" s="228"/>
    </row>
    <row r="348" spans="1:17" s="386" customFormat="1" ht="12.75" customHeight="1" x14ac:dyDescent="0.3">
      <c r="A348" s="228"/>
      <c r="B348" s="228" t="s">
        <v>836</v>
      </c>
      <c r="C348" s="228"/>
      <c r="D348" s="228"/>
      <c r="E348" s="228"/>
      <c r="F348" s="384"/>
      <c r="G348" s="859" t="s">
        <v>837</v>
      </c>
      <c r="H348" s="228" t="s">
        <v>278</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813</v>
      </c>
      <c r="N348" s="228"/>
      <c r="O348" s="415"/>
      <c r="P348" s="228"/>
    </row>
    <row r="349" spans="1:17" s="386" customFormat="1" ht="12.75" customHeight="1" x14ac:dyDescent="0.3">
      <c r="A349" s="228"/>
      <c r="B349" s="228" t="s">
        <v>838</v>
      </c>
      <c r="C349" s="228"/>
      <c r="D349" s="228"/>
      <c r="E349" s="228"/>
      <c r="F349" s="384"/>
      <c r="G349" s="859" t="s">
        <v>839</v>
      </c>
      <c r="H349" s="216" t="s">
        <v>282</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282</v>
      </c>
      <c r="N349" s="228"/>
      <c r="O349" s="415"/>
      <c r="P349" s="228"/>
    </row>
    <row r="350" spans="1:17" s="26" customFormat="1" ht="12.75" customHeight="1" x14ac:dyDescent="0.3">
      <c r="A350" s="228"/>
      <c r="B350" s="228" t="s">
        <v>840</v>
      </c>
      <c r="C350" s="228"/>
      <c r="D350" s="228"/>
      <c r="E350" s="228"/>
      <c r="F350" s="215"/>
      <c r="G350" s="859" t="s">
        <v>841</v>
      </c>
      <c r="H350" s="228" t="s">
        <v>823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813</v>
      </c>
      <c r="N350" s="228"/>
      <c r="O350" s="243"/>
      <c r="P350" s="228" t="s">
        <v>842</v>
      </c>
      <c r="Q350" s="11"/>
    </row>
    <row r="351" spans="1:17" s="386" customFormat="1" ht="12.75" customHeight="1" x14ac:dyDescent="0.3">
      <c r="A351" s="228"/>
      <c r="B351" s="228" t="s">
        <v>843</v>
      </c>
      <c r="C351" s="228"/>
      <c r="D351" s="228"/>
      <c r="E351" s="228"/>
      <c r="F351" s="384"/>
      <c r="G351" s="859" t="s">
        <v>844</v>
      </c>
      <c r="H351" s="228" t="s">
        <v>278</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813</v>
      </c>
      <c r="N351" s="228"/>
      <c r="O351" s="415"/>
      <c r="P351" s="228" t="s">
        <v>845</v>
      </c>
    </row>
    <row r="352" spans="1:17" s="386" customFormat="1" ht="12.75" customHeight="1" x14ac:dyDescent="0.3">
      <c r="A352" s="228"/>
      <c r="B352" s="228" t="s">
        <v>846</v>
      </c>
      <c r="C352" s="228"/>
      <c r="D352" s="228"/>
      <c r="E352" s="228"/>
      <c r="F352" s="384"/>
      <c r="G352" s="859" t="s">
        <v>847</v>
      </c>
      <c r="H352" s="216" t="s">
        <v>282</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282</v>
      </c>
      <c r="N352" s="228"/>
      <c r="O352" s="415"/>
      <c r="P352" s="228"/>
    </row>
    <row r="353" spans="1:34" s="386" customFormat="1" ht="12.75" customHeight="1" x14ac:dyDescent="0.3">
      <c r="A353" s="228"/>
      <c r="B353" s="228" t="s">
        <v>848</v>
      </c>
      <c r="C353" s="228"/>
      <c r="D353" s="228"/>
      <c r="E353" s="228"/>
      <c r="F353" s="384"/>
      <c r="G353" s="859" t="s">
        <v>849</v>
      </c>
      <c r="H353" s="228" t="s">
        <v>823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813</v>
      </c>
      <c r="N353" s="228"/>
      <c r="O353" s="415"/>
      <c r="P353" s="228" t="s">
        <v>850</v>
      </c>
    </row>
    <row r="354" spans="1:34" s="386" customFormat="1" ht="12.75" customHeight="1" x14ac:dyDescent="0.3">
      <c r="A354" s="228"/>
      <c r="B354" s="228" t="s">
        <v>851</v>
      </c>
      <c r="C354" s="228"/>
      <c r="D354" s="228"/>
      <c r="E354" s="228"/>
      <c r="F354" s="384"/>
      <c r="G354" s="859" t="s">
        <v>852</v>
      </c>
      <c r="H354" s="216" t="s">
        <v>282</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282</v>
      </c>
      <c r="N354" s="228" t="s">
        <v>853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854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855</v>
      </c>
      <c r="D357" s="228"/>
      <c r="E357" s="228"/>
      <c r="F357" s="384"/>
      <c r="G357" s="228" t="s">
        <v>856</v>
      </c>
      <c r="H357" s="216" t="s">
        <v>857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857</v>
      </c>
      <c r="N357" s="228"/>
      <c r="O357" s="415"/>
      <c r="P357" s="384"/>
    </row>
    <row r="358" spans="1:34" s="386" customFormat="1" ht="12.75" customHeight="1" x14ac:dyDescent="0.3">
      <c r="A358" s="228"/>
      <c r="B358" s="228"/>
      <c r="C358" s="228" t="s">
        <v>858</v>
      </c>
      <c r="D358" s="228"/>
      <c r="E358" s="228"/>
      <c r="F358" s="384"/>
      <c r="G358" s="228" t="s">
        <v>859</v>
      </c>
      <c r="H358" s="216" t="s">
        <v>857</v>
      </c>
      <c r="I358" s="572"/>
      <c r="J358" s="850" t="str">
        <f>IF(HLOOKUP(CaseName,CaseData,MATCH($G358,cases!$G$3:$G$1259,0)-1,FALSE)="","",HLOOKUP(CaseName,CaseData,MATCH($G358,cases!$G$3:$G$1259,0)-1,FALSE))</f>
        <v/>
      </c>
      <c r="K358" s="865">
        <f>((4/3)*PI()*(L340)^3)</f>
        <v>8.1728323443628235E-22</v>
      </c>
      <c r="L358" s="298">
        <f t="shared" si="23"/>
        <v>8.1728323443628235E-22</v>
      </c>
      <c r="M358" s="216" t="s">
        <v>857</v>
      </c>
      <c r="N358" s="228"/>
      <c r="O358" s="415"/>
      <c r="P358" s="384"/>
    </row>
    <row r="359" spans="1:34" s="386" customFormat="1" ht="12.75" customHeight="1" x14ac:dyDescent="0.3">
      <c r="A359" s="228"/>
      <c r="B359" s="228"/>
      <c r="C359" s="228" t="s">
        <v>860</v>
      </c>
      <c r="D359" s="228"/>
      <c r="E359" s="228"/>
      <c r="F359" s="384"/>
      <c r="G359" s="228" t="s">
        <v>861</v>
      </c>
      <c r="H359" s="216" t="s">
        <v>857</v>
      </c>
      <c r="I359" s="572"/>
      <c r="J359" s="850" t="str">
        <f>IF(HLOOKUP(CaseName,CaseData,MATCH($G359,cases!$G$3:$G$1259,0)-1,FALSE)="","",HLOOKUP(CaseName,CaseData,MATCH($G359,cases!$G$3:$G$1259,0)-1,FALSE))</f>
        <v/>
      </c>
      <c r="K359" s="865">
        <f>((4/3)*PI()*(L342)^3)</f>
        <v>3.0536280592892779E-18</v>
      </c>
      <c r="L359" s="298">
        <f t="shared" si="23"/>
        <v>3.0536280592892779E-18</v>
      </c>
      <c r="M359" s="216" t="s">
        <v>857</v>
      </c>
      <c r="N359" s="228"/>
      <c r="O359" s="415"/>
      <c r="P359" s="384"/>
    </row>
    <row r="360" spans="1:34" s="386" customFormat="1" ht="12.75" customHeight="1" x14ac:dyDescent="0.3">
      <c r="A360" s="228"/>
      <c r="B360" s="228"/>
      <c r="C360" s="228" t="s">
        <v>862</v>
      </c>
      <c r="D360" s="228"/>
      <c r="E360" s="228"/>
      <c r="F360" s="384"/>
      <c r="G360" s="228" t="s">
        <v>863</v>
      </c>
      <c r="H360" s="216" t="s">
        <v>857</v>
      </c>
      <c r="I360" s="572"/>
      <c r="J360" s="850" t="str">
        <f>IF(HLOOKUP(CaseName,CaseData,MATCH($G360,cases!$G$3:$G$1259,0)-1,FALSE)="","",HLOOKUP(CaseName,CaseData,MATCH($G360,cases!$G$3:$G$1259,0)-1,FALSE))</f>
        <v/>
      </c>
      <c r="K360" s="865">
        <f>((4/3)*PI()*(L344)^3)</f>
        <v>1.4137166941154071E-20</v>
      </c>
      <c r="L360" s="298">
        <f t="shared" si="23"/>
        <v>1.4137166941154071E-20</v>
      </c>
      <c r="M360" s="216" t="s">
        <v>857</v>
      </c>
      <c r="N360" s="228"/>
      <c r="O360" s="415"/>
      <c r="P360" s="384"/>
    </row>
    <row r="361" spans="1:34" customFormat="1" ht="12.75" customHeight="1" x14ac:dyDescent="0.3">
      <c r="A361" s="228"/>
      <c r="B361" s="228"/>
      <c r="C361" s="228" t="s">
        <v>864</v>
      </c>
      <c r="D361" s="228"/>
      <c r="E361" s="228"/>
      <c r="F361" s="228"/>
      <c r="G361" s="228" t="s">
        <v>865</v>
      </c>
      <c r="H361" s="228" t="s">
        <v>866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866</v>
      </c>
      <c r="N361" s="228"/>
      <c r="O361" s="243"/>
      <c r="P361" s="228"/>
    </row>
    <row r="362" spans="1:34" s="386" customFormat="1" ht="12.75" customHeight="1" x14ac:dyDescent="0.3">
      <c r="A362" s="228"/>
      <c r="B362" s="228"/>
      <c r="C362" s="228" t="s">
        <v>867</v>
      </c>
      <c r="D362" s="228"/>
      <c r="E362" s="228"/>
      <c r="F362" s="384"/>
      <c r="G362" s="228" t="s">
        <v>868</v>
      </c>
      <c r="H362" s="216" t="s">
        <v>857</v>
      </c>
      <c r="I362" s="572"/>
      <c r="J362" s="850" t="str">
        <f>IF(HLOOKUP(CaseName,CaseData,MATCH($G362,cases!$G$3:$G$1259,0)-1,FALSE)="","",HLOOKUP(CaseName,CaseData,MATCH($G362,cases!$G$3:$G$1259,0)-1,FALSE))</f>
        <v/>
      </c>
      <c r="K362" s="865">
        <f>((4/3)*PI()*(L346)^3)</f>
        <v>1.1309733552923257E-16</v>
      </c>
      <c r="L362" s="298">
        <f t="shared" si="23"/>
        <v>1.1309733552923257E-16</v>
      </c>
      <c r="M362" s="216" t="s">
        <v>857</v>
      </c>
      <c r="N362" s="228"/>
      <c r="O362" s="384"/>
      <c r="P362" s="384"/>
    </row>
    <row r="363" spans="1:34" customFormat="1" ht="12.75" customHeight="1" x14ac:dyDescent="0.3">
      <c r="A363" s="228"/>
      <c r="B363" s="228"/>
      <c r="C363" s="228" t="s">
        <v>869</v>
      </c>
      <c r="D363" s="228"/>
      <c r="E363" s="228"/>
      <c r="F363" s="228"/>
      <c r="G363" s="228" t="s">
        <v>870</v>
      </c>
      <c r="H363" s="228" t="s">
        <v>866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866</v>
      </c>
      <c r="N363" s="228"/>
      <c r="O363" s="243"/>
      <c r="P363" s="228"/>
    </row>
    <row r="364" spans="1:34" s="386" customFormat="1" ht="12.75" customHeight="1" x14ac:dyDescent="0.3">
      <c r="A364" s="228"/>
      <c r="B364" s="228"/>
      <c r="C364" s="228" t="s">
        <v>871</v>
      </c>
      <c r="D364" s="228"/>
      <c r="E364" s="228"/>
      <c r="F364" s="384"/>
      <c r="G364" s="228" t="s">
        <v>872</v>
      </c>
      <c r="H364" s="216" t="s">
        <v>857</v>
      </c>
      <c r="I364" s="572"/>
      <c r="J364" s="850" t="str">
        <f>IF(HLOOKUP(CaseName,CaseData,MATCH($G364,cases!$G$3:$G$1259,0)-1,FALSE)="","",HLOOKUP(CaseName,CaseData,MATCH($G364,cases!$G$3:$G$1259,0)-1,FALSE))</f>
        <v/>
      </c>
      <c r="K364" s="865">
        <f>((4/3)*PI()*(L348)^3)</f>
        <v>1.4137166941154071E-20</v>
      </c>
      <c r="L364" s="298">
        <f t="shared" si="23"/>
        <v>1.4137166941154071E-20</v>
      </c>
      <c r="M364" s="216" t="s">
        <v>857</v>
      </c>
      <c r="N364" s="228"/>
      <c r="O364" s="384"/>
      <c r="P364" s="384"/>
    </row>
    <row r="365" spans="1:34" s="386" customFormat="1" ht="12.75" customHeight="1" x14ac:dyDescent="0.3">
      <c r="A365" s="384"/>
      <c r="B365" s="228"/>
      <c r="C365" s="228" t="s">
        <v>873</v>
      </c>
      <c r="D365" s="228"/>
      <c r="E365" s="228"/>
      <c r="F365" s="384"/>
      <c r="G365" s="228" t="s">
        <v>874</v>
      </c>
      <c r="H365" s="228" t="s">
        <v>866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866</v>
      </c>
      <c r="N365" s="228"/>
      <c r="O365" s="415"/>
      <c r="P365" s="384"/>
    </row>
    <row r="366" spans="1:34" s="386" customFormat="1" ht="12.75" customHeight="1" x14ac:dyDescent="0.3">
      <c r="A366" s="228"/>
      <c r="B366" s="228"/>
      <c r="C366" s="228" t="s">
        <v>875</v>
      </c>
      <c r="D366" s="228"/>
      <c r="E366" s="228"/>
      <c r="F366" s="384"/>
      <c r="G366" s="228" t="s">
        <v>876</v>
      </c>
      <c r="H366" s="216" t="s">
        <v>857</v>
      </c>
      <c r="I366" s="572"/>
      <c r="J366" s="850" t="str">
        <f>IF(HLOOKUP(CaseName,CaseData,MATCH($G366,cases!$G$3:$G$1259,0)-1,FALSE)="","",HLOOKUP(CaseName,CaseData,MATCH($G366,cases!$G$3:$G$1259,0)-1,FALSE))</f>
        <v/>
      </c>
      <c r="K366" s="865">
        <f>((4/3)*PI()*(L351)^3)</f>
        <v>1.4137166941154071E-20</v>
      </c>
      <c r="L366" s="298">
        <f t="shared" si="23"/>
        <v>1.4137166941154071E-20</v>
      </c>
      <c r="M366" s="216" t="s">
        <v>857</v>
      </c>
      <c r="N366" s="228"/>
      <c r="O366" s="415"/>
      <c r="P366" s="384"/>
    </row>
    <row r="367" spans="1:34" s="386" customFormat="1" ht="12.75" customHeight="1" x14ac:dyDescent="0.3">
      <c r="A367" s="384"/>
      <c r="B367" s="228"/>
      <c r="C367" s="228" t="s">
        <v>877</v>
      </c>
      <c r="D367" s="228"/>
      <c r="E367" s="228"/>
      <c r="F367" s="384"/>
      <c r="G367" s="228" t="s">
        <v>878</v>
      </c>
      <c r="H367" s="228" t="s">
        <v>866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866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879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880</v>
      </c>
      <c r="D372" s="228"/>
      <c r="E372" s="228"/>
      <c r="F372" s="228"/>
      <c r="G372" s="228" t="s">
        <v>881</v>
      </c>
      <c r="H372" s="228" t="s">
        <v>866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882</v>
      </c>
      <c r="N372" s="228"/>
      <c r="O372" s="243"/>
      <c r="P372" s="228"/>
    </row>
    <row r="373" spans="1:34" s="11" customFormat="1" ht="12.75" customHeight="1" x14ac:dyDescent="0.3">
      <c r="A373" s="228"/>
      <c r="B373" s="228"/>
      <c r="C373" s="228" t="s">
        <v>883</v>
      </c>
      <c r="D373" s="228"/>
      <c r="E373" s="228"/>
      <c r="F373" s="228"/>
      <c r="G373" s="228" t="s">
        <v>884</v>
      </c>
      <c r="H373" s="228" t="s">
        <v>857</v>
      </c>
      <c r="I373" s="569"/>
      <c r="J373" s="850" t="str">
        <f>IF(HLOOKUP(CaseName,CaseData,MATCH($G373,cases!$G$3:$G$1259,0)-1,FALSE)="","",HLOOKUP(CaseName,CaseData,MATCH($G373,cases!$G$3:$G$1259,0)-1,FALSE))</f>
        <v/>
      </c>
      <c r="K373" s="865">
        <f>((4/3)*PI()*(RadS)^3)</f>
        <v>5.235987755982989E-25</v>
      </c>
      <c r="L373" s="298">
        <f t="shared" si="24"/>
        <v>5.235987755982989E-25</v>
      </c>
      <c r="M373" s="228" t="s">
        <v>885</v>
      </c>
      <c r="N373" s="228"/>
      <c r="O373" s="215"/>
      <c r="P373" s="215"/>
    </row>
    <row r="374" spans="1:34" s="11" customFormat="1" ht="12.75" customHeight="1" x14ac:dyDescent="0.3">
      <c r="A374" s="228"/>
      <c r="B374" s="228"/>
      <c r="C374" s="228" t="s">
        <v>886</v>
      </c>
      <c r="D374" s="228"/>
      <c r="E374" s="228"/>
      <c r="F374" s="228"/>
      <c r="G374" s="228" t="s">
        <v>887</v>
      </c>
      <c r="H374" s="228" t="s">
        <v>888</v>
      </c>
      <c r="I374" s="569"/>
      <c r="J374" s="850" t="str">
        <f>IF(HLOOKUP(CaseName,CaseData,MATCH($G374,cases!$G$3:$G$1259,0)-1,FALSE)="","",HLOOKUP(CaseName,CaseData,MATCH($G374,cases!$G$3:$G$1259,0)-1,FALSE))</f>
        <v/>
      </c>
      <c r="K374" s="865">
        <f>4/3*PI()*RadS^3*RhoS</f>
        <v>5.4977871437821384E-21</v>
      </c>
      <c r="L374" s="298">
        <f t="shared" si="24"/>
        <v>5.4977871437821384E-21</v>
      </c>
      <c r="M374" s="228" t="s">
        <v>889</v>
      </c>
      <c r="N374" s="228"/>
      <c r="O374" s="215"/>
      <c r="P374" s="215"/>
    </row>
    <row r="375" spans="1:34" s="11" customFormat="1" ht="12.75" customHeight="1" x14ac:dyDescent="0.3">
      <c r="A375" s="228"/>
      <c r="B375" s="228"/>
      <c r="C375" s="228" t="s">
        <v>890</v>
      </c>
      <c r="D375" s="228"/>
      <c r="E375" s="228"/>
      <c r="F375" s="228"/>
      <c r="G375" s="228" t="s">
        <v>891</v>
      </c>
      <c r="H375" s="228" t="s">
        <v>866</v>
      </c>
      <c r="I375" s="569"/>
      <c r="J375" s="850" t="str">
        <f>IF(HLOOKUP(CaseName,CaseData,MATCH($G375,cases!$G$3:$G$1259,0)-1,FALSE)="","",HLOOKUP(CaseName,CaseData,MATCH($G375,cases!$G$3:$G$1259,0)-1,FALSE))</f>
        <v/>
      </c>
      <c r="K375" s="865">
        <f>((8*kboltz*TEMP.R)/(PI()*SingleMassS))^0.5</f>
        <v>1.3500197945462049</v>
      </c>
      <c r="L375" s="298">
        <f t="shared" si="24"/>
        <v>1.3500197945462049</v>
      </c>
      <c r="M375" s="228" t="s">
        <v>690</v>
      </c>
      <c r="N375" s="228"/>
      <c r="O375" s="215"/>
      <c r="P375" s="215"/>
    </row>
    <row r="376" spans="1:34" s="11" customFormat="1" ht="12.75" customHeight="1" x14ac:dyDescent="0.3">
      <c r="A376" s="228"/>
      <c r="B376" s="228"/>
      <c r="C376" s="228" t="s">
        <v>892</v>
      </c>
      <c r="D376" s="228"/>
      <c r="E376" s="228"/>
      <c r="F376" s="228"/>
      <c r="G376" s="228" t="s">
        <v>893</v>
      </c>
      <c r="H376" s="228" t="s">
        <v>291</v>
      </c>
      <c r="I376" s="569"/>
      <c r="J376" s="850" t="str">
        <f>IF(HLOOKUP(CaseName,CaseData,MATCH($G376,cases!$G$3:$G$1259,0)-1,FALSE)="","",HLOOKUP(CaseName,CaseData,MATCH($G376,cases!$G$3:$G$1259,0)-1,FALSE))</f>
        <v/>
      </c>
      <c r="K376" s="865">
        <f>(66*10^-9)/(RadS)</f>
        <v>13.200000000000001</v>
      </c>
      <c r="L376" s="298">
        <f t="shared" si="24"/>
        <v>13.200000000000001</v>
      </c>
      <c r="M376" s="579" t="s">
        <v>292</v>
      </c>
      <c r="N376" s="432">
        <f>RadS</f>
        <v>5.0000000000000001E-9</v>
      </c>
      <c r="O376" s="215"/>
      <c r="P376" s="215"/>
    </row>
    <row r="377" spans="1:34" s="11" customFormat="1" ht="12.75" customHeight="1" x14ac:dyDescent="0.3">
      <c r="A377" s="228"/>
      <c r="B377" s="228"/>
      <c r="C377" s="228" t="s">
        <v>894</v>
      </c>
      <c r="D377" s="228"/>
      <c r="E377" s="228"/>
      <c r="F377" s="228"/>
      <c r="G377" s="228" t="s">
        <v>895</v>
      </c>
      <c r="H377" s="228" t="s">
        <v>291</v>
      </c>
      <c r="I377" s="569"/>
      <c r="J377" s="850" t="str">
        <f>IF(HLOOKUP(CaseName,CaseData,MATCH($G377,cases!$G$3:$G$1259,0)-1,FALSE)="","",HLOOKUP(CaseName,CaseData,MATCH($G377,cases!$G$3:$G$1259,0)-1,FALSE))</f>
        <v/>
      </c>
      <c r="K377" s="865">
        <f>1+KnudS*(1.142+0.558*EXP(-0.999/KnudS))</f>
        <v>22.903129883091339</v>
      </c>
      <c r="L377" s="298">
        <f t="shared" si="24"/>
        <v>22.903129883091339</v>
      </c>
      <c r="M377" s="579" t="s">
        <v>292</v>
      </c>
      <c r="N377" s="432">
        <f>EXP(-0.999/KnudS)</f>
        <v>0.92711114954536511</v>
      </c>
      <c r="O377" s="228" t="s">
        <v>896</v>
      </c>
      <c r="P377" s="215"/>
    </row>
    <row r="378" spans="1:34" s="410" customFormat="1" ht="12.75" customHeight="1" x14ac:dyDescent="0.3">
      <c r="A378" s="638"/>
      <c r="B378" s="638" t="s">
        <v>897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898</v>
      </c>
      <c r="D379" s="228"/>
      <c r="E379" s="228"/>
      <c r="F379" s="228"/>
      <c r="G379" s="228" t="s">
        <v>899</v>
      </c>
      <c r="H379" s="228" t="s">
        <v>900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900</v>
      </c>
      <c r="N379" s="228"/>
      <c r="O379" s="215"/>
      <c r="P379" s="215"/>
    </row>
    <row r="380" spans="1:34" s="11" customFormat="1" ht="12.75" customHeight="1" x14ac:dyDescent="0.3">
      <c r="A380" s="228"/>
      <c r="B380" s="228"/>
      <c r="C380" s="228" t="s">
        <v>901</v>
      </c>
      <c r="D380" s="228"/>
      <c r="E380" s="228"/>
      <c r="F380" s="228"/>
      <c r="G380" s="228" t="s">
        <v>902</v>
      </c>
      <c r="H380" s="228" t="s">
        <v>900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900</v>
      </c>
      <c r="N380" s="228" t="s">
        <v>903</v>
      </c>
      <c r="O380" s="262">
        <v>41</v>
      </c>
      <c r="P380" s="228" t="s">
        <v>904</v>
      </c>
    </row>
    <row r="381" spans="1:34" s="410" customFormat="1" ht="12.75" customHeight="1" x14ac:dyDescent="0.3">
      <c r="A381" s="638"/>
      <c r="B381" s="638" t="s">
        <v>905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906</v>
      </c>
      <c r="D382" s="228"/>
      <c r="E382" s="228"/>
      <c r="F382" s="228"/>
      <c r="G382" s="228" t="s">
        <v>907</v>
      </c>
      <c r="H382" s="228" t="s">
        <v>900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900</v>
      </c>
      <c r="N382" s="228"/>
      <c r="O382" s="262">
        <v>12</v>
      </c>
      <c r="P382" s="228" t="s">
        <v>908</v>
      </c>
    </row>
    <row r="383" spans="1:34" s="11" customFormat="1" ht="12.75" customHeight="1" x14ac:dyDescent="0.3">
      <c r="A383" s="228"/>
      <c r="B383" s="228"/>
      <c r="C383" s="228" t="s">
        <v>909</v>
      </c>
      <c r="D383" s="228"/>
      <c r="E383" s="228"/>
      <c r="F383" s="228"/>
      <c r="G383" s="228" t="s">
        <v>910</v>
      </c>
      <c r="H383" s="228" t="s">
        <v>900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900</v>
      </c>
      <c r="N383" s="228" t="s">
        <v>911</v>
      </c>
      <c r="O383" s="262">
        <v>41</v>
      </c>
      <c r="P383" s="228" t="s">
        <v>904</v>
      </c>
    </row>
    <row r="384" spans="1:34" s="410" customFormat="1" ht="12.75" customHeight="1" x14ac:dyDescent="0.3">
      <c r="A384" s="638"/>
      <c r="B384" s="638" t="s">
        <v>912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913</v>
      </c>
      <c r="D385" s="228"/>
      <c r="E385" s="228"/>
      <c r="F385" s="228"/>
      <c r="G385" s="228" t="s">
        <v>914</v>
      </c>
      <c r="H385" s="228" t="s">
        <v>900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900</v>
      </c>
      <c r="N385" s="228"/>
      <c r="O385" s="262">
        <v>12</v>
      </c>
      <c r="P385" s="228" t="s">
        <v>908</v>
      </c>
    </row>
    <row r="386" spans="1:34" s="11" customFormat="1" ht="12.75" customHeight="1" x14ac:dyDescent="0.3">
      <c r="A386" s="228"/>
      <c r="B386" s="228"/>
      <c r="C386" s="228" t="s">
        <v>915</v>
      </c>
      <c r="D386" s="228"/>
      <c r="E386" s="228"/>
      <c r="F386" s="228"/>
      <c r="G386" s="228" t="s">
        <v>916</v>
      </c>
      <c r="H386" s="228" t="s">
        <v>900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900</v>
      </c>
      <c r="N386" s="228" t="s">
        <v>911</v>
      </c>
      <c r="O386" s="262">
        <v>41</v>
      </c>
      <c r="P386" s="228" t="s">
        <v>904</v>
      </c>
    </row>
    <row r="387" spans="1:34" s="11" customFormat="1" ht="12.75" customHeight="1" x14ac:dyDescent="0.3">
      <c r="A387" s="228"/>
      <c r="B387" s="228"/>
      <c r="C387" s="228" t="s">
        <v>917</v>
      </c>
      <c r="D387" s="228"/>
      <c r="E387" s="228"/>
      <c r="F387" s="228"/>
      <c r="G387" s="228" t="s">
        <v>918</v>
      </c>
      <c r="H387" s="228" t="s">
        <v>900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900</v>
      </c>
      <c r="N387" s="228"/>
      <c r="O387" s="262">
        <v>12</v>
      </c>
      <c r="P387" s="228" t="s">
        <v>908</v>
      </c>
    </row>
    <row r="388" spans="1:34" s="11" customFormat="1" ht="12.75" customHeight="1" x14ac:dyDescent="0.3">
      <c r="A388" s="228"/>
      <c r="B388" s="228"/>
      <c r="C388" s="228" t="s">
        <v>919</v>
      </c>
      <c r="D388" s="228"/>
      <c r="E388" s="228"/>
      <c r="F388" s="228"/>
      <c r="G388" s="228" t="s">
        <v>920</v>
      </c>
      <c r="H388" s="228" t="s">
        <v>900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900</v>
      </c>
      <c r="N388" s="228" t="s">
        <v>911</v>
      </c>
      <c r="O388" s="262">
        <v>41</v>
      </c>
      <c r="P388" s="228" t="s">
        <v>904</v>
      </c>
    </row>
    <row r="389" spans="1:34" s="11" customFormat="1" ht="12.75" customHeight="1" x14ac:dyDescent="0.3">
      <c r="A389" s="228"/>
      <c r="B389" s="228"/>
      <c r="C389" s="228" t="s">
        <v>921</v>
      </c>
      <c r="D389" s="228"/>
      <c r="E389" s="228"/>
      <c r="F389" s="228"/>
      <c r="G389" s="228" t="s">
        <v>922</v>
      </c>
      <c r="H389" s="228" t="s">
        <v>900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900</v>
      </c>
      <c r="N389" s="228"/>
      <c r="O389" s="262">
        <v>12</v>
      </c>
      <c r="P389" s="228" t="s">
        <v>908</v>
      </c>
    </row>
    <row r="390" spans="1:34" s="11" customFormat="1" ht="12.75" customHeight="1" x14ac:dyDescent="0.3">
      <c r="A390" s="228"/>
      <c r="B390" s="228"/>
      <c r="C390" s="228" t="s">
        <v>923</v>
      </c>
      <c r="D390" s="228"/>
      <c r="E390" s="228"/>
      <c r="F390" s="228"/>
      <c r="G390" s="228" t="s">
        <v>924</v>
      </c>
      <c r="H390" s="228" t="s">
        <v>900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900</v>
      </c>
      <c r="N390" s="228" t="s">
        <v>911</v>
      </c>
      <c r="O390" s="262">
        <v>41</v>
      </c>
      <c r="P390" s="228" t="s">
        <v>904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925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926</v>
      </c>
      <c r="C393" s="228"/>
      <c r="D393" s="228"/>
      <c r="E393" s="228"/>
      <c r="F393" s="228"/>
      <c r="G393" s="228" t="s">
        <v>927</v>
      </c>
      <c r="H393" s="228" t="s">
        <v>866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866</v>
      </c>
      <c r="N393" s="228"/>
      <c r="O393" s="415"/>
      <c r="P393" s="384"/>
    </row>
    <row r="394" spans="1:34" s="386" customFormat="1" ht="12.75" customHeight="1" x14ac:dyDescent="0.3">
      <c r="A394" s="228"/>
      <c r="B394" s="228"/>
      <c r="C394" s="228" t="s">
        <v>928</v>
      </c>
      <c r="D394" s="228"/>
      <c r="E394" s="228"/>
      <c r="F394" s="228"/>
      <c r="G394" s="228" t="s">
        <v>929</v>
      </c>
      <c r="H394" s="228" t="s">
        <v>813</v>
      </c>
      <c r="I394" s="572"/>
      <c r="J394" s="850" t="str">
        <f>IF(HLOOKUP(CaseName,CaseData,MATCH($G394,cases!$G$3:$G$1259,0)-1,FALSE)="","",HLOOKUP(CaseName,CaseData,MATCH($G394,cases!$G$3:$G$1259,0)-1,FALSE))</f>
        <v/>
      </c>
      <c r="K394" s="865">
        <f>(RadNC.w^3+RadS^3)^(1/3)</f>
        <v>1.5000185182899018E-7</v>
      </c>
      <c r="L394" s="298">
        <f t="shared" si="26"/>
        <v>1.5000185182899018E-7</v>
      </c>
      <c r="M394" s="228" t="s">
        <v>813</v>
      </c>
      <c r="N394" s="228"/>
      <c r="O394" s="415"/>
      <c r="P394" s="384"/>
    </row>
    <row r="395" spans="1:34" s="386" customFormat="1" ht="12.75" customHeight="1" x14ac:dyDescent="0.3">
      <c r="A395" s="228"/>
      <c r="B395" s="228"/>
      <c r="C395" s="228" t="s">
        <v>930</v>
      </c>
      <c r="D395" s="228"/>
      <c r="E395" s="228"/>
      <c r="F395" s="228"/>
      <c r="G395" s="228" t="s">
        <v>931</v>
      </c>
      <c r="H395" s="228" t="s">
        <v>282</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282</v>
      </c>
      <c r="N395" s="228"/>
      <c r="O395" s="415"/>
      <c r="P395" s="384"/>
    </row>
    <row r="396" spans="1:34" s="386" customFormat="1" ht="12.75" customHeight="1" x14ac:dyDescent="0.3">
      <c r="A396" s="228"/>
      <c r="B396" s="228" t="s">
        <v>932</v>
      </c>
      <c r="C396" s="228"/>
      <c r="D396" s="228"/>
      <c r="E396" s="228"/>
      <c r="F396" s="228"/>
      <c r="G396" s="228" t="s">
        <v>933</v>
      </c>
      <c r="H396" s="228" t="s">
        <v>866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866</v>
      </c>
      <c r="N396" s="228"/>
      <c r="O396" s="415"/>
      <c r="P396" s="384"/>
    </row>
    <row r="397" spans="1:34" s="386" customFormat="1" ht="12.75" customHeight="1" x14ac:dyDescent="0.3">
      <c r="A397" s="228"/>
      <c r="B397" s="228"/>
      <c r="C397" s="228" t="s">
        <v>934</v>
      </c>
      <c r="D397" s="228"/>
      <c r="E397" s="228"/>
      <c r="F397" s="228"/>
      <c r="G397" s="228" t="s">
        <v>935</v>
      </c>
      <c r="H397" s="228" t="s">
        <v>813</v>
      </c>
      <c r="I397" s="572"/>
      <c r="J397" s="850" t="str">
        <f>IF(HLOOKUP(CaseName,CaseData,MATCH($G397,cases!$G$3:$G$1259,0)-1,FALSE)="","",HLOOKUP(CaseName,CaseData,MATCH($G397,cases!$G$3:$G$1259,0)-1,FALSE))</f>
        <v/>
      </c>
      <c r="K397" s="865">
        <f>(RadSPM.w^3+RadS^3)^(1/3)</f>
        <v>3.0000000046296297E-6</v>
      </c>
      <c r="L397" s="551">
        <f t="shared" si="26"/>
        <v>3.0000000046296297E-6</v>
      </c>
      <c r="M397" s="228" t="s">
        <v>813</v>
      </c>
      <c r="N397" s="228"/>
      <c r="O397" s="415"/>
      <c r="P397" s="384"/>
    </row>
    <row r="398" spans="1:34" s="386" customFormat="1" ht="12.75" customHeight="1" x14ac:dyDescent="0.3">
      <c r="A398" s="228"/>
      <c r="B398" s="228"/>
      <c r="C398" s="228" t="s">
        <v>936</v>
      </c>
      <c r="D398" s="228"/>
      <c r="E398" s="228"/>
      <c r="F398" s="228"/>
      <c r="G398" s="228" t="s">
        <v>937</v>
      </c>
      <c r="H398" s="228" t="s">
        <v>282</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282</v>
      </c>
      <c r="N398" s="228"/>
      <c r="O398" s="415"/>
      <c r="P398" s="384"/>
    </row>
    <row r="399" spans="1:34" s="386" customFormat="1" ht="12.75" customHeight="1" x14ac:dyDescent="0.3">
      <c r="A399" s="228"/>
      <c r="B399" s="228" t="s">
        <v>938</v>
      </c>
      <c r="C399" s="228"/>
      <c r="D399" s="228"/>
      <c r="E399" s="228"/>
      <c r="F399" s="228"/>
      <c r="G399" s="228" t="s">
        <v>939</v>
      </c>
      <c r="H399" s="228" t="s">
        <v>866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866</v>
      </c>
      <c r="N399" s="228"/>
      <c r="O399" s="415"/>
      <c r="P399" s="384"/>
    </row>
    <row r="400" spans="1:34" s="386" customFormat="1" ht="12.75" customHeight="1" x14ac:dyDescent="0.3">
      <c r="A400" s="228"/>
      <c r="B400" s="228"/>
      <c r="C400" s="228" t="s">
        <v>940</v>
      </c>
      <c r="D400" s="228"/>
      <c r="E400" s="228"/>
      <c r="F400" s="228"/>
      <c r="G400" s="216" t="s">
        <v>941</v>
      </c>
      <c r="H400" s="216" t="s">
        <v>291</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291</v>
      </c>
      <c r="N400" s="228" t="s">
        <v>4722</v>
      </c>
      <c r="O400" s="384"/>
      <c r="P400" s="415"/>
    </row>
    <row r="401" spans="1:18" s="386" customFormat="1" ht="12.75" customHeight="1" x14ac:dyDescent="0.3">
      <c r="A401" s="228"/>
      <c r="B401" s="228"/>
      <c r="C401" s="228" t="s">
        <v>942</v>
      </c>
      <c r="D401" s="228"/>
      <c r="E401" s="228"/>
      <c r="F401" s="228"/>
      <c r="G401" s="228" t="s">
        <v>943</v>
      </c>
      <c r="H401" s="228" t="s">
        <v>813</v>
      </c>
      <c r="I401" s="572"/>
      <c r="J401" s="850" t="str">
        <f>IF(HLOOKUP(CaseName,CaseData,MATCH($G401,cases!$G$3:$G$1259,0)-1,FALSE)="","",HLOOKUP(CaseName,CaseData,MATCH($G401,cases!$G$3:$G$1259,0)-1,FALSE))</f>
        <v/>
      </c>
      <c r="K401" s="865">
        <f>(RadCP.a^3+RadS^3)^(1/3)</f>
        <v>9.0000005144032705E-7</v>
      </c>
      <c r="L401" s="551">
        <f t="shared" si="26"/>
        <v>9.0000005144032705E-7</v>
      </c>
      <c r="M401" s="228" t="s">
        <v>813</v>
      </c>
      <c r="N401" s="432"/>
      <c r="O401" s="415"/>
      <c r="P401" s="384"/>
    </row>
    <row r="402" spans="1:18" s="386" customFormat="1" ht="12.75" customHeight="1" x14ac:dyDescent="0.3">
      <c r="A402" s="228"/>
      <c r="B402" s="228"/>
      <c r="C402" s="228" t="s">
        <v>944</v>
      </c>
      <c r="D402" s="228"/>
      <c r="E402" s="228"/>
      <c r="F402" s="228"/>
      <c r="G402" s="228" t="s">
        <v>945</v>
      </c>
      <c r="H402" s="228" t="s">
        <v>282</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282</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208" transitionEvaluation="1" transitionEntry="1" codeName="Sheet2"/>
  <dimension ref="A1:S584"/>
  <sheetViews>
    <sheetView topLeftCell="A208" zoomScaleNormal="100" workbookViewId="0">
      <selection activeCell="K242" sqref="K242"/>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946</v>
      </c>
      <c r="O1" s="19"/>
      <c r="P1" s="11"/>
    </row>
    <row r="2" spans="1:16" ht="12.75" customHeight="1" x14ac:dyDescent="0.3">
      <c r="M2" s="665"/>
      <c r="O2" s="19"/>
      <c r="P2" s="11"/>
    </row>
    <row r="3" spans="1:16" s="414" customFormat="1" ht="12.75" customHeight="1" x14ac:dyDescent="0.3">
      <c r="A3" s="413" t="s">
        <v>947</v>
      </c>
      <c r="B3" s="413"/>
      <c r="C3" s="413"/>
      <c r="D3" s="413"/>
      <c r="E3" s="413"/>
      <c r="F3" s="413"/>
      <c r="G3" s="630" t="s">
        <v>258</v>
      </c>
      <c r="H3" s="630" t="s">
        <v>274</v>
      </c>
      <c r="I3" s="666" t="s">
        <v>259</v>
      </c>
      <c r="J3" s="667" t="s">
        <v>275</v>
      </c>
      <c r="K3" s="647" t="s">
        <v>260</v>
      </c>
      <c r="L3" s="648" t="s">
        <v>261</v>
      </c>
      <c r="M3" s="413"/>
      <c r="N3" s="630" t="s">
        <v>262</v>
      </c>
      <c r="O3" s="209" t="s">
        <v>263</v>
      </c>
      <c r="P3" s="413" t="s">
        <v>264</v>
      </c>
    </row>
    <row r="4" spans="1:16" ht="12.75" customHeight="1" x14ac:dyDescent="0.3">
      <c r="J4" s="273" t="str">
        <f>IF(HLOOKUP(CaseName,CaseData,ROW()+137,FALSE)="","",HLOOKUP(CaseName,CaseData,ROW()+137,FALSE))</f>
        <v/>
      </c>
      <c r="O4" s="19"/>
      <c r="P4" s="11"/>
    </row>
    <row r="5" spans="1:16" ht="12.75" customHeight="1" x14ac:dyDescent="0.3">
      <c r="A5" s="216" t="s">
        <v>948</v>
      </c>
      <c r="B5" s="228"/>
      <c r="C5" s="228"/>
      <c r="D5" s="228"/>
      <c r="E5" s="228"/>
      <c r="F5" s="228"/>
      <c r="G5" s="216" t="s">
        <v>949</v>
      </c>
      <c r="H5" s="216" t="s">
        <v>950</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951</v>
      </c>
      <c r="N5" s="228" t="s">
        <v>952</v>
      </c>
      <c r="O5" s="262"/>
      <c r="P5" s="215"/>
    </row>
    <row r="6" spans="1:16" ht="12.75" customHeight="1" x14ac:dyDescent="0.3">
      <c r="A6" s="567" t="s">
        <v>953</v>
      </c>
      <c r="B6" s="566"/>
      <c r="C6" s="566"/>
      <c r="D6" s="566"/>
      <c r="E6" s="566"/>
      <c r="F6" s="566"/>
      <c r="G6" s="567" t="s">
        <v>954</v>
      </c>
      <c r="H6" s="567" t="s">
        <v>950</v>
      </c>
      <c r="I6" s="573"/>
      <c r="J6" s="294" t="str">
        <f>IF(ISBLANK(HLOOKUP(CaseName,CaseData,MATCH($G6,cases!$G$4:$G$2494,0),FALSE)),"",HLOOKUP(CaseName,CaseData,MATCH($G6,cases!$G$4:$G$2494,0),FALSE))</f>
        <v/>
      </c>
      <c r="K6" s="576">
        <f>L33*L5</f>
        <v>68870979.338699996</v>
      </c>
      <c r="L6" s="298">
        <f t="shared" si="0"/>
        <v>68870979.338699996</v>
      </c>
      <c r="M6" s="567" t="s">
        <v>951</v>
      </c>
      <c r="N6" s="577"/>
      <c r="O6" s="605"/>
      <c r="P6" s="584"/>
    </row>
    <row r="7" spans="1:16" ht="12.75" customHeight="1" x14ac:dyDescent="0.3">
      <c r="A7" s="216" t="s">
        <v>955</v>
      </c>
      <c r="B7" s="228"/>
      <c r="C7" s="228"/>
      <c r="D7" s="228"/>
      <c r="E7" s="228"/>
      <c r="F7" s="228"/>
      <c r="G7" s="216" t="s">
        <v>956</v>
      </c>
      <c r="H7" s="216" t="s">
        <v>950</v>
      </c>
      <c r="I7" s="573"/>
      <c r="J7" s="294" t="str">
        <f>IF(ISBLANK(HLOOKUP(CaseName,CaseData,MATCH($G7,cases!$G$4:$G$2494,0),FALSE)),"",HLOOKUP(CaseName,CaseData,MATCH($G7,cases!$G$4:$G$2494,0),FALSE))</f>
        <v/>
      </c>
      <c r="K7" s="407">
        <f>L16*L17*L24</f>
        <v>57142500000</v>
      </c>
      <c r="L7" s="298">
        <f t="shared" si="0"/>
        <v>57142500000</v>
      </c>
      <c r="M7" s="216" t="s">
        <v>951</v>
      </c>
      <c r="N7" s="228" t="s">
        <v>722</v>
      </c>
      <c r="O7" s="262"/>
      <c r="P7" s="215"/>
    </row>
    <row r="8" spans="1:16" ht="12.75" customHeight="1" x14ac:dyDescent="0.3">
      <c r="A8" s="216" t="s">
        <v>957</v>
      </c>
      <c r="B8" s="228"/>
      <c r="C8" s="228"/>
      <c r="D8" s="228"/>
      <c r="E8" s="228"/>
      <c r="F8" s="228"/>
      <c r="G8" s="216" t="s">
        <v>958</v>
      </c>
      <c r="H8" s="216" t="s">
        <v>950</v>
      </c>
      <c r="I8" s="573"/>
      <c r="J8" s="294" t="str">
        <f>IF(ISBLANK(HLOOKUP(CaseName,CaseData,MATCH($G8,cases!$G$4:$G$2494,0),FALSE)),"",HLOOKUP(CaseName,CaseData,MATCH($G8,cases!$G$4:$G$2494,0),FALSE))</f>
        <v/>
      </c>
      <c r="K8" s="407">
        <f>L16*L18*L25</f>
        <v>18857025000</v>
      </c>
      <c r="L8" s="298">
        <f t="shared" si="0"/>
        <v>18857025000</v>
      </c>
      <c r="M8" s="216" t="s">
        <v>951</v>
      </c>
      <c r="N8" s="228"/>
      <c r="O8" s="262"/>
      <c r="P8" s="215"/>
    </row>
    <row r="9" spans="1:16" ht="12.75" customHeight="1" x14ac:dyDescent="0.3">
      <c r="A9" s="216" t="s">
        <v>959</v>
      </c>
      <c r="B9" s="228"/>
      <c r="C9" s="228"/>
      <c r="D9" s="228"/>
      <c r="E9" s="228"/>
      <c r="F9" s="228"/>
      <c r="G9" s="216" t="s">
        <v>960</v>
      </c>
      <c r="H9" s="216" t="s">
        <v>950</v>
      </c>
      <c r="I9" s="573"/>
      <c r="J9" s="294" t="str">
        <f>IF(ISBLANK(HLOOKUP(CaseName,CaseData,MATCH($G9,cases!$G$4:$G$2494,0),FALSE)),"",HLOOKUP(CaseName,CaseData,MATCH($G9,cases!$G$4:$G$2494,0),FALSE))</f>
        <v/>
      </c>
      <c r="K9" s="407">
        <f>L16*L22*L26</f>
        <v>10000000000.000011</v>
      </c>
      <c r="L9" s="298">
        <f t="shared" si="0"/>
        <v>10000000000.000011</v>
      </c>
      <c r="M9" s="216" t="s">
        <v>951</v>
      </c>
      <c r="N9" s="228"/>
      <c r="O9" s="262"/>
      <c r="P9" s="215"/>
    </row>
    <row r="10" spans="1:16" s="386" customFormat="1" ht="12.75" customHeight="1" x14ac:dyDescent="0.3">
      <c r="A10" s="567" t="s">
        <v>961</v>
      </c>
      <c r="B10" s="566"/>
      <c r="C10" s="566"/>
      <c r="D10" s="566"/>
      <c r="E10" s="566"/>
      <c r="F10" s="566"/>
      <c r="G10" s="567" t="s">
        <v>962</v>
      </c>
      <c r="H10" s="567" t="s">
        <v>950</v>
      </c>
      <c r="I10" s="573"/>
      <c r="J10" s="294" t="str">
        <f>IF(ISBLANK(HLOOKUP(CaseName,CaseData,MATCH($G10,cases!$G$4:$G$2494,0),FALSE)),"",HLOOKUP(CaseName,CaseData,MATCH($G10,cases!$G$4:$G$2494,0),FALSE))</f>
        <v/>
      </c>
      <c r="K10" s="576">
        <f>L16*L17*L27</f>
        <v>17142750</v>
      </c>
      <c r="L10" s="298">
        <f t="shared" si="0"/>
        <v>17142750</v>
      </c>
      <c r="M10" s="567" t="s">
        <v>951</v>
      </c>
      <c r="N10" s="577"/>
      <c r="O10" s="606"/>
      <c r="P10" s="577"/>
    </row>
    <row r="11" spans="1:16" ht="12.75" customHeight="1" x14ac:dyDescent="0.3">
      <c r="A11" s="216" t="s">
        <v>963</v>
      </c>
      <c r="B11" s="228"/>
      <c r="C11" s="228"/>
      <c r="D11" s="228"/>
      <c r="E11" s="228"/>
      <c r="F11" s="228"/>
      <c r="G11" s="216" t="s">
        <v>964</v>
      </c>
      <c r="H11" s="216" t="s">
        <v>950</v>
      </c>
      <c r="I11" s="573"/>
      <c r="J11" s="294" t="str">
        <f>IF(ISBLANK(HLOOKUP(CaseName,CaseData,MATCH($G11,cases!$G$4:$G$2494,0),FALSE)),"",HLOOKUP(CaseName,CaseData,MATCH($G11,cases!$G$4:$G$2494,0),FALSE))</f>
        <v/>
      </c>
      <c r="K11" s="407">
        <f>L16*L18*L28</f>
        <v>188570250</v>
      </c>
      <c r="L11" s="298">
        <f t="shared" si="0"/>
        <v>188570250</v>
      </c>
      <c r="M11" s="216" t="s">
        <v>951</v>
      </c>
      <c r="N11" s="228"/>
      <c r="O11" s="262"/>
      <c r="P11" s="215"/>
    </row>
    <row r="12" spans="1:16" ht="12.75" customHeight="1" x14ac:dyDescent="0.3">
      <c r="A12" s="216" t="s">
        <v>965</v>
      </c>
      <c r="B12" s="228"/>
      <c r="C12" s="228"/>
      <c r="D12" s="228"/>
      <c r="E12" s="228"/>
      <c r="F12" s="228"/>
      <c r="G12" s="216" t="s">
        <v>966</v>
      </c>
      <c r="H12" s="216" t="s">
        <v>950</v>
      </c>
      <c r="I12" s="573"/>
      <c r="J12" s="294" t="str">
        <f>IF(ISBLANK(HLOOKUP(CaseName,CaseData,MATCH($G12,cases!$G$4:$G$2494,0),FALSE)),"",HLOOKUP(CaseName,CaseData,MATCH($G12,cases!$G$4:$G$2494,0),FALSE))</f>
        <v/>
      </c>
      <c r="K12" s="407">
        <f>L16*L22*L29</f>
        <v>30000000.00000003</v>
      </c>
      <c r="L12" s="298">
        <f t="shared" si="0"/>
        <v>30000000.00000003</v>
      </c>
      <c r="M12" s="216" t="s">
        <v>951</v>
      </c>
      <c r="N12" s="228"/>
      <c r="O12" s="262"/>
      <c r="P12" s="215"/>
    </row>
    <row r="13" spans="1:16" ht="12.75" customHeight="1" x14ac:dyDescent="0.3">
      <c r="A13" s="216" t="s">
        <v>967</v>
      </c>
      <c r="B13" s="228"/>
      <c r="C13" s="228"/>
      <c r="D13" s="228"/>
      <c r="E13" s="228"/>
      <c r="F13" s="228"/>
      <c r="G13" s="216" t="s">
        <v>968</v>
      </c>
      <c r="H13" s="216" t="s">
        <v>950</v>
      </c>
      <c r="I13" s="572"/>
      <c r="J13" s="294" t="str">
        <f>IF(ISBLANK(HLOOKUP(CaseName,CaseData,MATCH($G13,cases!$G$4:$G$2494,0),FALSE)),"",HLOOKUP(CaseName,CaseData,MATCH($G13,cases!$G$4:$G$2494,0),FALSE))</f>
        <v/>
      </c>
      <c r="K13" s="407">
        <f>L16*L19*L30</f>
        <v>3085695000.0000005</v>
      </c>
      <c r="L13" s="298">
        <f t="shared" si="0"/>
        <v>3085695000.0000005</v>
      </c>
      <c r="M13" s="216" t="s">
        <v>951</v>
      </c>
      <c r="N13" s="228"/>
      <c r="O13" s="262"/>
      <c r="P13" s="215"/>
    </row>
    <row r="14" spans="1:16" ht="12.75" customHeight="1" x14ac:dyDescent="0.3">
      <c r="A14" s="216" t="s">
        <v>969</v>
      </c>
      <c r="B14" s="228"/>
      <c r="C14" s="228"/>
      <c r="D14" s="228"/>
      <c r="E14" s="228"/>
      <c r="F14" s="228"/>
      <c r="G14" s="216" t="s">
        <v>970</v>
      </c>
      <c r="H14" s="216" t="s">
        <v>950</v>
      </c>
      <c r="I14" s="573"/>
      <c r="J14" s="294" t="str">
        <f>IF(ISBLANK(HLOOKUP(CaseName,CaseData,MATCH($G14,cases!$G$4:$G$2494,0),FALSE)),"",HLOOKUP(CaseName,CaseData,MATCH($G14,cases!$G$4:$G$2494,0),FALSE))</f>
        <v/>
      </c>
      <c r="K14" s="407">
        <f>L16*L20*L31</f>
        <v>27428400000</v>
      </c>
      <c r="L14" s="298">
        <f t="shared" si="0"/>
        <v>27428400000</v>
      </c>
      <c r="M14" s="216" t="s">
        <v>951</v>
      </c>
      <c r="N14" s="228"/>
      <c r="O14" s="262"/>
      <c r="P14" s="215"/>
    </row>
    <row r="15" spans="1:16" ht="12.75" customHeight="1" x14ac:dyDescent="0.3">
      <c r="A15" s="216" t="s">
        <v>971</v>
      </c>
      <c r="B15" s="228"/>
      <c r="C15" s="228"/>
      <c r="D15" s="228"/>
      <c r="E15" s="228"/>
      <c r="F15" s="228"/>
      <c r="G15" s="216" t="s">
        <v>972</v>
      </c>
      <c r="H15" s="216" t="s">
        <v>950</v>
      </c>
      <c r="I15" s="573"/>
      <c r="J15" s="294" t="str">
        <f>IF(ISBLANK(HLOOKUP(CaseName,CaseData,MATCH($G15,cases!$G$4:$G$2494,0),FALSE)),"",HLOOKUP(CaseName,CaseData,MATCH($G15,cases!$G$4:$G$2494,0),FALSE))</f>
        <v/>
      </c>
      <c r="K15" s="407">
        <f>L16*L21*L32</f>
        <v>1142850000</v>
      </c>
      <c r="L15" s="298">
        <f t="shared" si="0"/>
        <v>1142850000</v>
      </c>
      <c r="M15" s="216" t="s">
        <v>951</v>
      </c>
      <c r="N15" s="228"/>
      <c r="O15" s="262"/>
      <c r="P15" s="215"/>
    </row>
    <row r="16" spans="1:16" ht="12.75" customHeight="1" x14ac:dyDescent="0.3">
      <c r="A16" s="216"/>
      <c r="B16" s="216" t="s">
        <v>973</v>
      </c>
      <c r="C16" s="228"/>
      <c r="D16" s="228"/>
      <c r="E16" s="228"/>
      <c r="F16" s="228"/>
      <c r="G16" s="216" t="s">
        <v>974</v>
      </c>
      <c r="H16" s="216" t="s">
        <v>672</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673</v>
      </c>
      <c r="N16" s="228"/>
      <c r="O16" s="262"/>
      <c r="P16" s="215"/>
    </row>
    <row r="17" spans="1:16" ht="12.75" customHeight="1" x14ac:dyDescent="0.3">
      <c r="A17" s="216"/>
      <c r="B17" s="216" t="s">
        <v>975</v>
      </c>
      <c r="C17" s="228"/>
      <c r="D17" s="228"/>
      <c r="E17" s="228"/>
      <c r="F17" s="228"/>
      <c r="G17" s="578" t="s">
        <v>976</v>
      </c>
      <c r="H17" s="216" t="s">
        <v>291</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292</v>
      </c>
      <c r="N17" s="228" t="s">
        <v>722</v>
      </c>
      <c r="O17" s="262"/>
      <c r="P17" s="215"/>
    </row>
    <row r="18" spans="1:16" ht="12.75" customHeight="1" x14ac:dyDescent="0.3">
      <c r="A18" s="216"/>
      <c r="B18" s="216" t="s">
        <v>977</v>
      </c>
      <c r="C18" s="228"/>
      <c r="D18" s="228"/>
      <c r="E18" s="228"/>
      <c r="F18" s="228"/>
      <c r="G18" s="578" t="s">
        <v>978</v>
      </c>
      <c r="H18" s="216" t="s">
        <v>291</v>
      </c>
      <c r="I18" s="573"/>
      <c r="J18" s="294" t="str">
        <f>IF(ISBLANK(HLOOKUP(CaseName,CaseData,MATCH($G18,cases!$G$4:$G$2494,0),FALSE)),"",HLOOKUP(CaseName,CaseData,MATCH($G18,cases!$G$4:$G$2494,0),FALSE))</f>
        <v/>
      </c>
      <c r="K18" s="407">
        <f>AREAland.R*FRACfresh.R/L16</f>
        <v>2.7380210828941064E-2</v>
      </c>
      <c r="L18" s="298">
        <f t="shared" si="1"/>
        <v>2.7380210828941064E-2</v>
      </c>
      <c r="M18" s="228" t="s">
        <v>292</v>
      </c>
      <c r="N18" s="228"/>
      <c r="O18" s="262"/>
      <c r="P18" s="215"/>
    </row>
    <row r="19" spans="1:16" ht="12.75" customHeight="1" x14ac:dyDescent="0.3">
      <c r="A19" s="216"/>
      <c r="B19" s="216" t="s">
        <v>979</v>
      </c>
      <c r="C19" s="228"/>
      <c r="D19" s="228"/>
      <c r="E19" s="228"/>
      <c r="F19" s="228"/>
      <c r="G19" s="578" t="s">
        <v>980</v>
      </c>
      <c r="H19" s="216" t="s">
        <v>291</v>
      </c>
      <c r="I19" s="573"/>
      <c r="J19" s="294" t="str">
        <f>IF(ISBLANK(HLOOKUP(CaseName,CaseData,MATCH($G19,cases!$G$4:$G$2494,0),FALSE)),"",HLOOKUP(CaseName,CaseData,MATCH($G19,cases!$G$4:$G$2494,0),FALSE))</f>
        <v/>
      </c>
      <c r="K19" s="407">
        <f>AREAland.R*FRACnatsoil.R/L16</f>
        <v>0.26882388813869412</v>
      </c>
      <c r="L19" s="298">
        <f t="shared" si="1"/>
        <v>0.26882388813869412</v>
      </c>
      <c r="M19" s="228" t="s">
        <v>292</v>
      </c>
      <c r="N19" s="228"/>
      <c r="O19" s="262"/>
      <c r="P19" s="215"/>
    </row>
    <row r="20" spans="1:16" ht="12.75" customHeight="1" x14ac:dyDescent="0.3">
      <c r="A20" s="216"/>
      <c r="B20" s="216" t="s">
        <v>981</v>
      </c>
      <c r="C20" s="228"/>
      <c r="D20" s="228"/>
      <c r="E20" s="228"/>
      <c r="F20" s="228"/>
      <c r="G20" s="578" t="s">
        <v>982</v>
      </c>
      <c r="H20" s="216" t="s">
        <v>291</v>
      </c>
      <c r="I20" s="573"/>
      <c r="J20" s="294" t="str">
        <f>IF(ISBLANK(HLOOKUP(CaseName,CaseData,MATCH($G20,cases!$G$4:$G$2494,0),FALSE)),"",HLOOKUP(CaseName,CaseData,MATCH($G20,cases!$G$4:$G$2494,0),FALSE))</f>
        <v/>
      </c>
      <c r="K20" s="407">
        <f>AREAland.R*FRACagsoil.R/L16</f>
        <v>0.5973864180859868</v>
      </c>
      <c r="L20" s="298">
        <f t="shared" si="1"/>
        <v>0.5973864180859868</v>
      </c>
      <c r="M20" s="228" t="s">
        <v>292</v>
      </c>
      <c r="N20" s="228"/>
      <c r="O20" s="262"/>
      <c r="P20" s="215"/>
    </row>
    <row r="21" spans="1:16" ht="12.75" customHeight="1" x14ac:dyDescent="0.3">
      <c r="A21" s="216"/>
      <c r="B21" s="216" t="s">
        <v>983</v>
      </c>
      <c r="C21" s="228"/>
      <c r="D21" s="228"/>
      <c r="E21" s="228"/>
      <c r="F21" s="228"/>
      <c r="G21" s="578" t="s">
        <v>984</v>
      </c>
      <c r="H21" s="216" t="s">
        <v>291</v>
      </c>
      <c r="I21" s="573"/>
      <c r="J21" s="294" t="str">
        <f>IF(ISBLANK(HLOOKUP(CaseName,CaseData,MATCH($G21,cases!$G$4:$G$2494,0),FALSE)),"",HLOOKUP(CaseName,CaseData,MATCH($G21,cases!$G$4:$G$2494,0),FALSE))</f>
        <v/>
      </c>
      <c r="K21" s="407">
        <f>AREAland.R*FRACothersoil.R/L16</f>
        <v>9.9564403014331143E-2</v>
      </c>
      <c r="L21" s="298">
        <f t="shared" si="1"/>
        <v>9.9564403014331143E-2</v>
      </c>
      <c r="M21" s="228" t="s">
        <v>292</v>
      </c>
      <c r="N21" s="228"/>
      <c r="O21" s="262"/>
      <c r="P21" s="215"/>
    </row>
    <row r="22" spans="1:16" ht="12.75" customHeight="1" x14ac:dyDescent="0.3">
      <c r="A22" s="216"/>
      <c r="B22" s="216" t="s">
        <v>985</v>
      </c>
      <c r="C22" s="228"/>
      <c r="D22" s="228"/>
      <c r="E22" s="228"/>
      <c r="F22" s="228"/>
      <c r="G22" s="578" t="s">
        <v>986</v>
      </c>
      <c r="H22" s="216" t="s">
        <v>291</v>
      </c>
      <c r="I22" s="573"/>
      <c r="J22" s="294" t="str">
        <f>IF(ISBLANK(HLOOKUP(CaseName,CaseData,MATCH($G22,cases!$G$4:$G$2494,0),FALSE)),"",HLOOKUP(CaseName,CaseData,MATCH($G22,cases!$G$4:$G$2494,0),FALSE))</f>
        <v/>
      </c>
      <c r="K22" s="407">
        <f>1-L17-L18-L19-L20-L21</f>
        <v>4.3559698566885963E-3</v>
      </c>
      <c r="L22" s="298">
        <f t="shared" si="1"/>
        <v>4.3559698566885963E-3</v>
      </c>
      <c r="M22" s="228" t="s">
        <v>292</v>
      </c>
      <c r="N22" s="228"/>
      <c r="O22" s="262"/>
      <c r="P22" s="215"/>
    </row>
    <row r="23" spans="1:16" ht="12.75" customHeight="1" x14ac:dyDescent="0.3">
      <c r="A23" s="216"/>
      <c r="B23" s="228"/>
      <c r="C23" s="216" t="s">
        <v>987</v>
      </c>
      <c r="D23" s="578"/>
      <c r="E23" s="578"/>
      <c r="F23" s="228"/>
      <c r="G23" s="578" t="s">
        <v>988</v>
      </c>
      <c r="H23" s="216" t="s">
        <v>813</v>
      </c>
      <c r="I23" s="572"/>
      <c r="J23" s="294" t="str">
        <f>IF(ISBLANK(HLOOKUP(CaseName,CaseData,MATCH($G23,cases!$G$4:$G$2494,0),FALSE)),"",HLOOKUP(CaseName,CaseData,MATCH($G23,cases!$G$4:$G$2494,0),FALSE))</f>
        <v/>
      </c>
      <c r="K23" s="407">
        <v>1000</v>
      </c>
      <c r="L23" s="298">
        <f t="shared" si="1"/>
        <v>1000</v>
      </c>
      <c r="M23" s="216" t="s">
        <v>279</v>
      </c>
      <c r="N23" s="228"/>
      <c r="O23" s="262"/>
      <c r="P23" s="215"/>
    </row>
    <row r="24" spans="1:16" ht="12.75" customHeight="1" x14ac:dyDescent="0.3">
      <c r="A24" s="216"/>
      <c r="B24" s="228"/>
      <c r="C24" s="216" t="s">
        <v>989</v>
      </c>
      <c r="D24" s="578"/>
      <c r="E24" s="578"/>
      <c r="F24" s="228"/>
      <c r="G24" s="578" t="s">
        <v>990</v>
      </c>
      <c r="H24" s="216" t="s">
        <v>813</v>
      </c>
      <c r="I24" s="573"/>
      <c r="J24" s="294" t="str">
        <f>IF(ISBLANK(HLOOKUP(CaseName,CaseData,MATCH($G24,cases!$G$4:$G$2494,0),FALSE)),"",HLOOKUP(CaseName,CaseData,MATCH($G24,cases!$G$4:$G$2494,0),FALSE))</f>
        <v/>
      </c>
      <c r="K24" s="407">
        <f>DEPTHlake.R</f>
        <v>100</v>
      </c>
      <c r="L24" s="298">
        <f t="shared" si="1"/>
        <v>100</v>
      </c>
      <c r="M24" s="216" t="s">
        <v>279</v>
      </c>
      <c r="N24" s="228" t="s">
        <v>722</v>
      </c>
      <c r="O24" s="262"/>
      <c r="P24" s="215"/>
    </row>
    <row r="25" spans="1:16" ht="12.75" customHeight="1" x14ac:dyDescent="0.3">
      <c r="A25" s="216"/>
      <c r="B25" s="228"/>
      <c r="C25" s="216" t="s">
        <v>991</v>
      </c>
      <c r="D25" s="578"/>
      <c r="E25" s="578"/>
      <c r="F25" s="228"/>
      <c r="G25" s="578" t="s">
        <v>992</v>
      </c>
      <c r="H25" s="216" t="s">
        <v>813</v>
      </c>
      <c r="I25" s="573"/>
      <c r="J25" s="294" t="str">
        <f>IF(ISBLANK(HLOOKUP(CaseName,CaseData,MATCH($G25,cases!$G$4:$G$2494,0),FALSE)),"",HLOOKUP(CaseName,CaseData,MATCH($G25,cases!$G$4:$G$2494,0),FALSE))</f>
        <v/>
      </c>
      <c r="K25" s="407">
        <f>DEPTHfreshwater.R</f>
        <v>3</v>
      </c>
      <c r="L25" s="298">
        <f t="shared" si="1"/>
        <v>3</v>
      </c>
      <c r="M25" s="216" t="s">
        <v>279</v>
      </c>
      <c r="N25" s="228"/>
      <c r="O25" s="262"/>
      <c r="P25" s="215"/>
    </row>
    <row r="26" spans="1:16" ht="12.75" customHeight="1" x14ac:dyDescent="0.3">
      <c r="A26" s="216"/>
      <c r="B26" s="228"/>
      <c r="C26" s="216" t="s">
        <v>993</v>
      </c>
      <c r="D26" s="578"/>
      <c r="E26" s="578"/>
      <c r="F26" s="228"/>
      <c r="G26" s="578" t="s">
        <v>994</v>
      </c>
      <c r="H26" s="216" t="s">
        <v>813</v>
      </c>
      <c r="I26" s="573"/>
      <c r="J26" s="294" t="str">
        <f>IF(ISBLANK(HLOOKUP(CaseName,CaseData,MATCH($G26,cases!$G$4:$G$2494,0),FALSE)),"",HLOOKUP(CaseName,CaseData,MATCH($G26,cases!$G$4:$G$2494,0),FALSE))</f>
        <v/>
      </c>
      <c r="K26" s="407">
        <v>10</v>
      </c>
      <c r="L26" s="298">
        <f t="shared" si="1"/>
        <v>10</v>
      </c>
      <c r="M26" s="216" t="s">
        <v>279</v>
      </c>
      <c r="N26" s="228"/>
      <c r="O26" s="262"/>
      <c r="P26" s="215"/>
    </row>
    <row r="27" spans="1:16" s="386" customFormat="1" ht="12.75" customHeight="1" x14ac:dyDescent="0.3">
      <c r="A27" s="567"/>
      <c r="B27" s="566"/>
      <c r="C27" s="567" t="s">
        <v>995</v>
      </c>
      <c r="D27" s="679"/>
      <c r="E27" s="679"/>
      <c r="F27" s="566"/>
      <c r="G27" s="679" t="s">
        <v>996</v>
      </c>
      <c r="H27" s="567" t="s">
        <v>997</v>
      </c>
      <c r="I27" s="573"/>
      <c r="J27" s="294" t="str">
        <f>IF(ISBLANK(HLOOKUP(CaseName,CaseData,MATCH($G27,cases!$G$4:$G$2494,0),FALSE)),"",HLOOKUP(CaseName,CaseData,MATCH($G27,cases!$G$4:$G$2494,0),FALSE))</f>
        <v/>
      </c>
      <c r="K27" s="576">
        <v>3</v>
      </c>
      <c r="L27" s="298">
        <f>IF(ISBLANK(I27),IF(ISNUMBER(J27)=FALSE,K27/100,J27/100),I27/100)</f>
        <v>0.03</v>
      </c>
      <c r="M27" s="567" t="s">
        <v>279</v>
      </c>
      <c r="N27" s="577"/>
      <c r="O27" s="606"/>
      <c r="P27" s="577"/>
    </row>
    <row r="28" spans="1:16" ht="12.75" customHeight="1" x14ac:dyDescent="0.3">
      <c r="A28" s="216"/>
      <c r="B28" s="228"/>
      <c r="C28" s="216" t="s">
        <v>998</v>
      </c>
      <c r="D28" s="578"/>
      <c r="E28" s="578"/>
      <c r="F28" s="228"/>
      <c r="G28" s="578" t="s">
        <v>999</v>
      </c>
      <c r="H28" s="216" t="s">
        <v>997</v>
      </c>
      <c r="I28" s="573"/>
      <c r="J28" s="294" t="str">
        <f>IF(ISBLANK(HLOOKUP(CaseName,CaseData,MATCH($G28,cases!$G$4:$G$2494,0),FALSE)),"",HLOOKUP(CaseName,CaseData,MATCH($G28,cases!$G$4:$G$2494,0),FALSE))</f>
        <v/>
      </c>
      <c r="K28" s="407">
        <v>3</v>
      </c>
      <c r="L28" s="298">
        <f>IF(ISBLANK(I28),IF(ISNUMBER(J28)=FALSE,K28/100,J28/100),I28/100)</f>
        <v>0.03</v>
      </c>
      <c r="M28" s="228" t="s">
        <v>279</v>
      </c>
      <c r="N28" s="228"/>
      <c r="O28" s="262"/>
      <c r="P28" s="215"/>
    </row>
    <row r="29" spans="1:16" ht="12.75" customHeight="1" x14ac:dyDescent="0.3">
      <c r="A29" s="216"/>
      <c r="B29" s="228"/>
      <c r="C29" s="216" t="s">
        <v>1000</v>
      </c>
      <c r="D29" s="578"/>
      <c r="E29" s="578"/>
      <c r="F29" s="228"/>
      <c r="G29" s="578" t="s">
        <v>1001</v>
      </c>
      <c r="H29" s="216" t="s">
        <v>997</v>
      </c>
      <c r="I29" s="573"/>
      <c r="J29" s="294" t="str">
        <f>IF(ISBLANK(HLOOKUP(CaseName,CaseData,MATCH($G29,cases!$G$4:$G$2494,0),FALSE)),"",HLOOKUP(CaseName,CaseData,MATCH($G29,cases!$G$4:$G$2494,0),FALSE))</f>
        <v/>
      </c>
      <c r="K29" s="407">
        <v>3</v>
      </c>
      <c r="L29" s="298">
        <f>IF(ISBLANK(I29),IF(ISNUMBER(J29)=FALSE,K29/100,J29/100),I29/100)</f>
        <v>0.03</v>
      </c>
      <c r="M29" s="228" t="s">
        <v>279</v>
      </c>
      <c r="N29" s="228"/>
      <c r="O29" s="262"/>
      <c r="P29" s="215"/>
    </row>
    <row r="30" spans="1:16" ht="12.75" customHeight="1" x14ac:dyDescent="0.3">
      <c r="A30" s="216"/>
      <c r="B30" s="228"/>
      <c r="C30" s="216" t="s">
        <v>1002</v>
      </c>
      <c r="D30" s="578"/>
      <c r="E30" s="578"/>
      <c r="F30" s="228"/>
      <c r="G30" s="578" t="s">
        <v>1003</v>
      </c>
      <c r="H30" s="216" t="s">
        <v>813</v>
      </c>
      <c r="I30" s="573"/>
      <c r="J30" s="294" t="str">
        <f>IF(ISBLANK(HLOOKUP(CaseName,CaseData,MATCH($G30,cases!$G$4:$G$2494,0),FALSE)),"",HLOOKUP(CaseName,CaseData,MATCH($G30,cases!$G$4:$G$2494,0),FALSE))</f>
        <v/>
      </c>
      <c r="K30" s="407">
        <v>0.05</v>
      </c>
      <c r="L30" s="298">
        <f t="shared" ref="L30:L46" si="2">IF(ISBLANK(I30),IF(ISNUMBER(J30)=FALSE,K30,J30),I30)</f>
        <v>0.05</v>
      </c>
      <c r="M30" s="228" t="s">
        <v>279</v>
      </c>
      <c r="N30" s="228"/>
      <c r="O30" s="262"/>
      <c r="P30" s="215"/>
    </row>
    <row r="31" spans="1:16" ht="12.75" customHeight="1" x14ac:dyDescent="0.3">
      <c r="A31" s="216"/>
      <c r="B31" s="228"/>
      <c r="C31" s="216" t="s">
        <v>1004</v>
      </c>
      <c r="D31" s="578"/>
      <c r="E31" s="578"/>
      <c r="F31" s="228"/>
      <c r="G31" s="578" t="s">
        <v>1005</v>
      </c>
      <c r="H31" s="216" t="s">
        <v>813</v>
      </c>
      <c r="I31" s="573"/>
      <c r="J31" s="294" t="str">
        <f>IF(ISBLANK(HLOOKUP(CaseName,CaseData,MATCH($G31,cases!$G$4:$G$2494,0),FALSE)),"",HLOOKUP(CaseName,CaseData,MATCH($G31,cases!$G$4:$G$2494,0),FALSE))</f>
        <v/>
      </c>
      <c r="K31" s="407">
        <v>0.2</v>
      </c>
      <c r="L31" s="298">
        <f t="shared" si="2"/>
        <v>0.2</v>
      </c>
      <c r="M31" s="228" t="s">
        <v>279</v>
      </c>
      <c r="N31" s="228"/>
      <c r="O31" s="262"/>
      <c r="P31" s="215"/>
    </row>
    <row r="32" spans="1:16" ht="12.75" customHeight="1" x14ac:dyDescent="0.3">
      <c r="A32" s="216"/>
      <c r="B32" s="228"/>
      <c r="C32" s="216" t="s">
        <v>1006</v>
      </c>
      <c r="D32" s="578"/>
      <c r="E32" s="578"/>
      <c r="F32" s="228"/>
      <c r="G32" s="578" t="s">
        <v>1007</v>
      </c>
      <c r="H32" s="216" t="s">
        <v>813</v>
      </c>
      <c r="I32" s="573"/>
      <c r="J32" s="294" t="str">
        <f>IF(ISBLANK(HLOOKUP(CaseName,CaseData,MATCH($G32,cases!$G$4:$G$2494,0),FALSE)),"",HLOOKUP(CaseName,CaseData,MATCH($G32,cases!$G$4:$G$2494,0),FALSE))</f>
        <v/>
      </c>
      <c r="K32" s="407">
        <v>0.05</v>
      </c>
      <c r="L32" s="298">
        <f t="shared" si="2"/>
        <v>0.05</v>
      </c>
      <c r="M32" s="228" t="s">
        <v>279</v>
      </c>
      <c r="N32" s="228"/>
      <c r="O32" s="262"/>
      <c r="P32" s="215"/>
    </row>
    <row r="33" spans="1:16" ht="12.75" customHeight="1" x14ac:dyDescent="0.3">
      <c r="A33" s="566"/>
      <c r="B33" s="566"/>
      <c r="C33" s="566" t="s">
        <v>1008</v>
      </c>
      <c r="D33" s="566"/>
      <c r="E33" s="566"/>
      <c r="F33" s="566"/>
      <c r="G33" s="567" t="s">
        <v>1009</v>
      </c>
      <c r="H33" s="567" t="s">
        <v>1010</v>
      </c>
      <c r="I33" s="573"/>
      <c r="J33" s="294" t="str">
        <f>IF(ISBLANK(HLOOKUP(CaseName,CaseData,MATCH($G33,cases!$G$4:$G$2494,0),FALSE)),"",HLOOKUP(CaseName,CaseData,MATCH($G33,cases!$G$4:$G$2494,0),FALSE))</f>
        <v/>
      </c>
      <c r="K33" s="576">
        <v>2.9999999999999999E-7</v>
      </c>
      <c r="L33" s="298">
        <f t="shared" si="2"/>
        <v>2.9999999999999999E-7</v>
      </c>
      <c r="M33" s="567" t="s">
        <v>292</v>
      </c>
      <c r="N33" s="566" t="s">
        <v>1011</v>
      </c>
      <c r="O33" s="605"/>
      <c r="P33" s="584"/>
    </row>
    <row r="34" spans="1:16" s="386" customFormat="1" ht="12.75" customHeight="1" x14ac:dyDescent="0.3">
      <c r="A34" s="228"/>
      <c r="B34" s="228"/>
      <c r="C34" s="228" t="s">
        <v>1012</v>
      </c>
      <c r="D34" s="228"/>
      <c r="E34" s="228"/>
      <c r="F34" s="228"/>
      <c r="G34" s="216" t="s">
        <v>1013</v>
      </c>
      <c r="H34" s="216" t="s">
        <v>1010</v>
      </c>
      <c r="I34" s="573"/>
      <c r="J34" s="294" t="str">
        <f>IF(ISBLANK(HLOOKUP(CaseName,CaseData,MATCH($G34,cases!$G$4:$G$2494,0),FALSE)),"",HLOOKUP(CaseName,CaseData,MATCH($G34,cases!$G$4:$G$2494,0),FALSE))</f>
        <v/>
      </c>
      <c r="K34" s="407">
        <v>1.9999999999999999E-11</v>
      </c>
      <c r="L34" s="298">
        <f t="shared" si="2"/>
        <v>1.9999999999999999E-11</v>
      </c>
      <c r="M34" s="216" t="s">
        <v>292</v>
      </c>
      <c r="N34" s="216" t="s">
        <v>1014</v>
      </c>
      <c r="O34" s="415"/>
      <c r="P34" s="384"/>
    </row>
    <row r="35" spans="1:16" ht="12.75" customHeight="1" x14ac:dyDescent="0.3">
      <c r="A35" s="228"/>
      <c r="B35" s="228"/>
      <c r="C35" s="228" t="s">
        <v>1015</v>
      </c>
      <c r="D35" s="228"/>
      <c r="E35" s="228"/>
      <c r="F35" s="228"/>
      <c r="G35" s="216" t="s">
        <v>1016</v>
      </c>
      <c r="H35" s="216" t="s">
        <v>1010</v>
      </c>
      <c r="I35" s="573"/>
      <c r="J35" s="294" t="str">
        <f>IF(ISBLANK(HLOOKUP(CaseName,CaseData,MATCH($G35,cases!$G$4:$G$2494,0),FALSE)),"",HLOOKUP(CaseName,CaseData,MATCH($G35,cases!$G$4:$G$2494,0),FALSE))</f>
        <v/>
      </c>
      <c r="K35" s="407">
        <v>1.9999999999999999E-11</v>
      </c>
      <c r="L35" s="298">
        <f t="shared" si="2"/>
        <v>1.9999999999999999E-11</v>
      </c>
      <c r="M35" s="216" t="s">
        <v>292</v>
      </c>
      <c r="N35" s="216" t="s">
        <v>1014</v>
      </c>
      <c r="O35" s="262"/>
      <c r="P35" s="215"/>
    </row>
    <row r="36" spans="1:16" ht="12.75" customHeight="1" x14ac:dyDescent="0.3">
      <c r="A36" s="216"/>
      <c r="B36" s="228"/>
      <c r="C36" s="216" t="s">
        <v>1017</v>
      </c>
      <c r="D36" s="578"/>
      <c r="E36" s="578"/>
      <c r="F36" s="228"/>
      <c r="G36" s="578" t="s">
        <v>1018</v>
      </c>
      <c r="H36" s="216" t="s">
        <v>1010</v>
      </c>
      <c r="I36" s="573"/>
      <c r="J36" s="294" t="str">
        <f>IF(ISBLANK(HLOOKUP(CaseName,CaseData,MATCH($G36,cases!$G$4:$G$2494,0),FALSE)),"",HLOOKUP(CaseName,CaseData,MATCH($G36,cases!$G$4:$G$2494,0),FALSE))</f>
        <v/>
      </c>
      <c r="K36" s="407">
        <v>0.2</v>
      </c>
      <c r="L36" s="298">
        <f t="shared" si="2"/>
        <v>0.2</v>
      </c>
      <c r="M36" s="216" t="s">
        <v>292</v>
      </c>
      <c r="N36" s="228"/>
      <c r="O36" s="262"/>
      <c r="P36" s="215"/>
    </row>
    <row r="37" spans="1:16" ht="12.75" customHeight="1" x14ac:dyDescent="0.3">
      <c r="A37" s="216"/>
      <c r="B37" s="228"/>
      <c r="C37" s="216" t="s">
        <v>1019</v>
      </c>
      <c r="D37" s="578"/>
      <c r="E37" s="578"/>
      <c r="F37" s="228"/>
      <c r="G37" s="578" t="s">
        <v>1020</v>
      </c>
      <c r="H37" s="216" t="s">
        <v>1010</v>
      </c>
      <c r="I37" s="573"/>
      <c r="J37" s="294" t="str">
        <f>IF(ISBLANK(HLOOKUP(CaseName,CaseData,MATCH($G37,cases!$G$4:$G$2494,0),FALSE)),"",HLOOKUP(CaseName,CaseData,MATCH($G37,cases!$G$4:$G$2494,0),FALSE))</f>
        <v/>
      </c>
      <c r="K37" s="407">
        <v>0.2</v>
      </c>
      <c r="L37" s="298">
        <f t="shared" si="2"/>
        <v>0.2</v>
      </c>
      <c r="M37" s="216" t="s">
        <v>292</v>
      </c>
      <c r="N37" s="228"/>
      <c r="O37" s="262"/>
      <c r="P37" s="215"/>
    </row>
    <row r="38" spans="1:16" ht="12.75" customHeight="1" x14ac:dyDescent="0.3">
      <c r="A38" s="216"/>
      <c r="B38" s="228"/>
      <c r="C38" s="216" t="s">
        <v>1021</v>
      </c>
      <c r="D38" s="578"/>
      <c r="E38" s="578"/>
      <c r="F38" s="228"/>
      <c r="G38" s="578" t="s">
        <v>1022</v>
      </c>
      <c r="H38" s="216" t="s">
        <v>1010</v>
      </c>
      <c r="I38" s="573"/>
      <c r="J38" s="294" t="str">
        <f>IF(ISBLANK(HLOOKUP(CaseName,CaseData,MATCH($G38,cases!$G$4:$G$2494,0),FALSE)),"",HLOOKUP(CaseName,CaseData,MATCH($G38,cases!$G$4:$G$2494,0),FALSE))</f>
        <v/>
      </c>
      <c r="K38" s="407">
        <f>1-L36-L37</f>
        <v>0.60000000000000009</v>
      </c>
      <c r="L38" s="298">
        <f t="shared" si="2"/>
        <v>0.60000000000000009</v>
      </c>
      <c r="M38" s="216" t="s">
        <v>292</v>
      </c>
      <c r="N38" s="228"/>
      <c r="O38" s="262"/>
      <c r="P38" s="215"/>
    </row>
    <row r="39" spans="1:16" ht="12.75" customHeight="1" x14ac:dyDescent="0.3">
      <c r="A39" s="216"/>
      <c r="B39" s="228"/>
      <c r="C39" s="216" t="s">
        <v>1023</v>
      </c>
      <c r="D39" s="578"/>
      <c r="E39" s="578"/>
      <c r="F39" s="228"/>
      <c r="G39" s="578" t="s">
        <v>1024</v>
      </c>
      <c r="H39" s="216" t="s">
        <v>1010</v>
      </c>
      <c r="I39" s="573"/>
      <c r="J39" s="294" t="str">
        <f>IF(ISBLANK(HLOOKUP(CaseName,CaseData,MATCH($G39,cases!$G$4:$G$2494,0),FALSE)),"",HLOOKUP(CaseName,CaseData,MATCH($G39,cases!$G$4:$G$2494,0),FALSE))</f>
        <v/>
      </c>
      <c r="K39" s="407">
        <v>0.2</v>
      </c>
      <c r="L39" s="298">
        <f t="shared" si="2"/>
        <v>0.2</v>
      </c>
      <c r="M39" s="216" t="s">
        <v>292</v>
      </c>
      <c r="N39" s="228"/>
      <c r="O39" s="262"/>
      <c r="P39" s="215"/>
    </row>
    <row r="40" spans="1:16" ht="12.75" customHeight="1" x14ac:dyDescent="0.3">
      <c r="A40" s="216"/>
      <c r="B40" s="228"/>
      <c r="C40" s="216" t="s">
        <v>1025</v>
      </c>
      <c r="D40" s="578"/>
      <c r="E40" s="578"/>
      <c r="F40" s="228"/>
      <c r="G40" s="578" t="s">
        <v>1026</v>
      </c>
      <c r="H40" s="216" t="s">
        <v>1010</v>
      </c>
      <c r="I40" s="573"/>
      <c r="J40" s="294" t="str">
        <f>IF(ISBLANK(HLOOKUP(CaseName,CaseData,MATCH($G40,cases!$G$4:$G$2494,0),FALSE)),"",HLOOKUP(CaseName,CaseData,MATCH($G40,cases!$G$4:$G$2494,0),FALSE))</f>
        <v/>
      </c>
      <c r="K40" s="407">
        <v>0.2</v>
      </c>
      <c r="L40" s="298">
        <f t="shared" si="2"/>
        <v>0.2</v>
      </c>
      <c r="M40" s="216" t="s">
        <v>292</v>
      </c>
      <c r="N40" s="228"/>
      <c r="O40" s="262"/>
      <c r="P40" s="215"/>
    </row>
    <row r="41" spans="1:16" ht="12.75" customHeight="1" x14ac:dyDescent="0.3">
      <c r="A41" s="216"/>
      <c r="B41" s="228"/>
      <c r="C41" s="216" t="s">
        <v>1027</v>
      </c>
      <c r="D41" s="578"/>
      <c r="E41" s="578"/>
      <c r="F41" s="228"/>
      <c r="G41" s="578" t="s">
        <v>1028</v>
      </c>
      <c r="H41" s="216" t="s">
        <v>1010</v>
      </c>
      <c r="I41" s="573"/>
      <c r="J41" s="294" t="str">
        <f>IF(ISBLANK(HLOOKUP(CaseName,CaseData,MATCH($G41,cases!$G$4:$G$2494,0),FALSE)),"",HLOOKUP(CaseName,CaseData,MATCH($G41,cases!$G$4:$G$2494,0),FALSE))</f>
        <v/>
      </c>
      <c r="K41" s="407">
        <f>1-L39-L40</f>
        <v>0.60000000000000009</v>
      </c>
      <c r="L41" s="298">
        <f t="shared" si="2"/>
        <v>0.60000000000000009</v>
      </c>
      <c r="M41" s="216" t="s">
        <v>292</v>
      </c>
      <c r="N41" s="228"/>
      <c r="O41" s="262"/>
      <c r="P41" s="215"/>
    </row>
    <row r="42" spans="1:16" ht="12.75" customHeight="1" x14ac:dyDescent="0.3">
      <c r="A42" s="216"/>
      <c r="B42" s="228"/>
      <c r="C42" s="216" t="s">
        <v>1029</v>
      </c>
      <c r="D42" s="578"/>
      <c r="E42" s="578"/>
      <c r="F42" s="228"/>
      <c r="G42" s="578" t="s">
        <v>1030</v>
      </c>
      <c r="H42" s="216" t="s">
        <v>1010</v>
      </c>
      <c r="I42" s="573"/>
      <c r="J42" s="294" t="str">
        <f>IF(ISBLANK(HLOOKUP(CaseName,CaseData,MATCH($G42,cases!$G$4:$G$2494,0),FALSE)),"",HLOOKUP(CaseName,CaseData,MATCH($G42,cases!$G$4:$G$2494,0),FALSE))</f>
        <v/>
      </c>
      <c r="K42" s="407">
        <v>0.2</v>
      </c>
      <c r="L42" s="298">
        <f t="shared" si="2"/>
        <v>0.2</v>
      </c>
      <c r="M42" s="216" t="s">
        <v>292</v>
      </c>
      <c r="N42" s="228"/>
      <c r="O42" s="262"/>
      <c r="P42" s="215"/>
    </row>
    <row r="43" spans="1:16" ht="12.75" customHeight="1" x14ac:dyDescent="0.3">
      <c r="A43" s="216"/>
      <c r="B43" s="228"/>
      <c r="C43" s="216" t="s">
        <v>1031</v>
      </c>
      <c r="D43" s="578"/>
      <c r="E43" s="578"/>
      <c r="F43" s="228"/>
      <c r="G43" s="578" t="s">
        <v>1032</v>
      </c>
      <c r="H43" s="216" t="s">
        <v>1010</v>
      </c>
      <c r="I43" s="573"/>
      <c r="J43" s="294" t="str">
        <f>IF(ISBLANK(HLOOKUP(CaseName,CaseData,MATCH($G43,cases!$G$4:$G$2494,0),FALSE)),"",HLOOKUP(CaseName,CaseData,MATCH($G43,cases!$G$4:$G$2494,0),FALSE))</f>
        <v/>
      </c>
      <c r="K43" s="407">
        <v>0.2</v>
      </c>
      <c r="L43" s="298">
        <f t="shared" si="2"/>
        <v>0.2</v>
      </c>
      <c r="M43" s="216" t="s">
        <v>292</v>
      </c>
      <c r="N43" s="228"/>
      <c r="O43" s="262"/>
      <c r="P43" s="215"/>
    </row>
    <row r="44" spans="1:16" ht="12.75" customHeight="1" x14ac:dyDescent="0.3">
      <c r="A44" s="216"/>
      <c r="B44" s="228"/>
      <c r="C44" s="216" t="s">
        <v>1033</v>
      </c>
      <c r="D44" s="578"/>
      <c r="E44" s="578"/>
      <c r="F44" s="228"/>
      <c r="G44" s="578" t="s">
        <v>1034</v>
      </c>
      <c r="H44" s="216" t="s">
        <v>1010</v>
      </c>
      <c r="I44" s="573"/>
      <c r="J44" s="294" t="str">
        <f>IF(ISBLANK(HLOOKUP(CaseName,CaseData,MATCH($G44,cases!$G$4:$G$2494,0),FALSE)),"",HLOOKUP(CaseName,CaseData,MATCH($G44,cases!$G$4:$G$2494,0),FALSE))</f>
        <v/>
      </c>
      <c r="K44" s="407">
        <f>1-L42-L43</f>
        <v>0.60000000000000009</v>
      </c>
      <c r="L44" s="298">
        <f t="shared" si="2"/>
        <v>0.60000000000000009</v>
      </c>
      <c r="M44" s="216" t="s">
        <v>292</v>
      </c>
      <c r="N44" s="228"/>
      <c r="O44" s="262"/>
      <c r="P44" s="215"/>
    </row>
    <row r="45" spans="1:16" ht="12.75" customHeight="1" x14ac:dyDescent="0.3">
      <c r="A45" s="216"/>
      <c r="B45" s="228"/>
      <c r="C45" s="216" t="s">
        <v>1035</v>
      </c>
      <c r="D45" s="578"/>
      <c r="E45" s="578"/>
      <c r="F45" s="228"/>
      <c r="G45" s="578" t="s">
        <v>1036</v>
      </c>
      <c r="H45" s="216" t="s">
        <v>1010</v>
      </c>
      <c r="I45" s="573"/>
      <c r="J45" s="294" t="str">
        <f>IF(ISBLANK(HLOOKUP(CaseName,CaseData,MATCH($G45,cases!$G$4:$G$2494,0),FALSE)),"",HLOOKUP(CaseName,CaseData,MATCH($G45,cases!$G$4:$G$2494,0),FALSE))</f>
        <v/>
      </c>
      <c r="K45" s="407">
        <v>0.8</v>
      </c>
      <c r="L45" s="298">
        <f t="shared" si="2"/>
        <v>0.8</v>
      </c>
      <c r="M45" s="216" t="s">
        <v>292</v>
      </c>
      <c r="N45" s="228"/>
      <c r="O45" s="262"/>
      <c r="P45" s="215"/>
    </row>
    <row r="46" spans="1:16" ht="12.75" customHeight="1" x14ac:dyDescent="0.3">
      <c r="A46" s="216"/>
      <c r="B46" s="228"/>
      <c r="C46" s="216" t="s">
        <v>1037</v>
      </c>
      <c r="D46" s="578"/>
      <c r="E46" s="578"/>
      <c r="F46" s="228"/>
      <c r="G46" s="578" t="s">
        <v>1038</v>
      </c>
      <c r="H46" s="216" t="s">
        <v>1010</v>
      </c>
      <c r="I46" s="573"/>
      <c r="J46" s="294" t="str">
        <f>IF(ISBLANK(HLOOKUP(CaseName,CaseData,MATCH($G46,cases!$G$4:$G$2494,0),FALSE)),"",HLOOKUP(CaseName,CaseData,MATCH($G46,cases!$G$4:$G$2494,0),FALSE))</f>
        <v/>
      </c>
      <c r="K46" s="407">
        <f>1-L45</f>
        <v>0.19999999999999996</v>
      </c>
      <c r="L46" s="298">
        <f t="shared" si="2"/>
        <v>0.19999999999999996</v>
      </c>
      <c r="M46" s="216" t="s">
        <v>292</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1039</v>
      </c>
      <c r="B48" s="228"/>
      <c r="C48" s="228"/>
      <c r="D48" s="228"/>
      <c r="E48" s="228"/>
      <c r="F48" s="228"/>
      <c r="G48" s="216" t="s">
        <v>1040</v>
      </c>
      <c r="H48" s="216" t="s">
        <v>617</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1041</v>
      </c>
      <c r="N48" s="384"/>
      <c r="O48" s="415"/>
      <c r="P48" s="384"/>
    </row>
    <row r="49" spans="1:16" s="386" customFormat="1" ht="12.75" customHeight="1" x14ac:dyDescent="0.3">
      <c r="A49" s="216"/>
      <c r="B49" s="216"/>
      <c r="C49" s="216" t="s">
        <v>1042</v>
      </c>
      <c r="D49" s="578"/>
      <c r="E49" s="228"/>
      <c r="F49" s="228"/>
      <c r="G49" s="216" t="s">
        <v>1043</v>
      </c>
      <c r="H49" s="216" t="s">
        <v>1044</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1045</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1046</v>
      </c>
      <c r="B51" s="228"/>
      <c r="C51" s="228"/>
      <c r="D51" s="228"/>
      <c r="E51" s="228"/>
      <c r="F51" s="228"/>
      <c r="G51" s="216" t="s">
        <v>1047</v>
      </c>
      <c r="H51" s="216" t="s">
        <v>617</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1041</v>
      </c>
      <c r="N51" s="228"/>
      <c r="O51" s="262"/>
      <c r="P51" s="215"/>
    </row>
    <row r="52" spans="1:16" ht="12.75" customHeight="1" x14ac:dyDescent="0.3">
      <c r="A52" s="216" t="s">
        <v>1048</v>
      </c>
      <c r="B52" s="228"/>
      <c r="C52" s="228"/>
      <c r="D52" s="228"/>
      <c r="E52" s="228"/>
      <c r="F52" s="228"/>
      <c r="G52" s="216" t="s">
        <v>1049</v>
      </c>
      <c r="H52" s="216" t="s">
        <v>617</v>
      </c>
      <c r="I52" s="573"/>
      <c r="J52" s="294" t="str">
        <f>IF(ISBLANK(HLOOKUP(CaseName,CaseData,MATCH($G52,cases!$G$4:$G$2494,0),FALSE)),"",HLOOKUP(CaseName,CaseData,MATCH($G52,cases!$G$4:$G$2494,0),FALSE))</f>
        <v/>
      </c>
      <c r="K52" s="407">
        <f>L57/L7</f>
        <v>0</v>
      </c>
      <c r="L52" s="298">
        <f t="shared" si="3"/>
        <v>0</v>
      </c>
      <c r="M52" s="228" t="s">
        <v>1041</v>
      </c>
      <c r="N52" s="228"/>
      <c r="O52" s="262"/>
      <c r="P52" s="215"/>
    </row>
    <row r="53" spans="1:16" ht="12.75" customHeight="1" x14ac:dyDescent="0.3">
      <c r="A53" s="216" t="s">
        <v>1050</v>
      </c>
      <c r="B53" s="228"/>
      <c r="C53" s="228"/>
      <c r="D53" s="228"/>
      <c r="E53" s="228"/>
      <c r="F53" s="228"/>
      <c r="G53" s="216" t="s">
        <v>1051</v>
      </c>
      <c r="H53" s="216" t="s">
        <v>617</v>
      </c>
      <c r="I53" s="573"/>
      <c r="J53" s="294" t="str">
        <f>IF(ISBLANK(HLOOKUP(CaseName,CaseData,MATCH($G53,cases!$G$4:$G$2494,0),FALSE)),"",HLOOKUP(CaseName,CaseData,MATCH($G53,cases!$G$4:$G$2494,0),FALSE))</f>
        <v/>
      </c>
      <c r="K53" s="407">
        <f>L58/L8</f>
        <v>0</v>
      </c>
      <c r="L53" s="298">
        <f t="shared" si="3"/>
        <v>0</v>
      </c>
      <c r="M53" s="228" t="s">
        <v>1041</v>
      </c>
      <c r="N53" s="228"/>
      <c r="O53" s="262"/>
      <c r="P53" s="215"/>
    </row>
    <row r="54" spans="1:16" ht="12.75" customHeight="1" x14ac:dyDescent="0.3">
      <c r="A54" s="216" t="s">
        <v>1052</v>
      </c>
      <c r="B54" s="228"/>
      <c r="C54" s="228"/>
      <c r="D54" s="228"/>
      <c r="E54" s="228"/>
      <c r="F54" s="228"/>
      <c r="G54" s="216" t="s">
        <v>1053</v>
      </c>
      <c r="H54" s="216" t="s">
        <v>617</v>
      </c>
      <c r="I54" s="573"/>
      <c r="J54" s="294" t="str">
        <f>IF(ISBLANK(HLOOKUP(CaseName,CaseData,MATCH($G54,cases!$G$4:$G$2494,0),FALSE)),"",HLOOKUP(CaseName,CaseData,MATCH($G54,cases!$G$4:$G$2494,0),FALSE))</f>
        <v/>
      </c>
      <c r="K54" s="407">
        <f>L59/L8</f>
        <v>7.26442507264425E-8</v>
      </c>
      <c r="L54" s="298">
        <f t="shared" si="3"/>
        <v>7.26442507264425E-8</v>
      </c>
      <c r="M54" s="228" t="s">
        <v>1041</v>
      </c>
      <c r="N54" s="228"/>
      <c r="O54" s="262"/>
      <c r="P54" s="215"/>
    </row>
    <row r="55" spans="1:16" ht="12.75" customHeight="1" x14ac:dyDescent="0.3">
      <c r="A55" s="216" t="s">
        <v>1054</v>
      </c>
      <c r="B55" s="228"/>
      <c r="C55" s="228"/>
      <c r="D55" s="228"/>
      <c r="E55" s="228"/>
      <c r="F55" s="228"/>
      <c r="G55" s="216" t="s">
        <v>1055</v>
      </c>
      <c r="H55" s="216" t="s">
        <v>617</v>
      </c>
      <c r="I55" s="573"/>
      <c r="J55" s="294" t="str">
        <f>IF(ISBLANK(HLOOKUP(CaseName,CaseData,MATCH($G55,cases!$G$4:$G$2494,0),FALSE)),"",HLOOKUP(CaseName,CaseData,MATCH($G55,cases!$G$4:$G$2494,0),FALSE))</f>
        <v/>
      </c>
      <c r="K55" s="407">
        <f>L60/L9</f>
        <v>1.3698544520547928E-6</v>
      </c>
      <c r="L55" s="298">
        <f t="shared" si="3"/>
        <v>1.3698544520547928E-6</v>
      </c>
      <c r="M55" s="228" t="s">
        <v>1041</v>
      </c>
      <c r="N55" s="384"/>
      <c r="O55" s="262"/>
      <c r="P55" s="215"/>
    </row>
    <row r="56" spans="1:16" ht="12.75" customHeight="1" x14ac:dyDescent="0.3">
      <c r="A56" s="216"/>
      <c r="B56" s="216" t="s">
        <v>1056</v>
      </c>
      <c r="C56" s="228"/>
      <c r="D56" s="228"/>
      <c r="E56" s="578"/>
      <c r="F56" s="578"/>
      <c r="G56" s="578" t="s">
        <v>1057</v>
      </c>
      <c r="H56" s="216" t="s">
        <v>1058</v>
      </c>
      <c r="I56" s="573"/>
      <c r="J56" s="294" t="str">
        <f>IF(ISBLANK(HLOOKUP(CaseName,CaseData,MATCH($G56,cases!$G$4:$G$2494,0),FALSE)),"",HLOOKUP(CaseName,CaseData,MATCH($G56,cases!$G$4:$G$2494,0),FALSE))</f>
        <v/>
      </c>
      <c r="K56" s="407">
        <f>0.1*L59</f>
        <v>136.98544520547944</v>
      </c>
      <c r="L56" s="298">
        <f t="shared" si="3"/>
        <v>136.98544520547944</v>
      </c>
      <c r="M56" s="228" t="s">
        <v>1059</v>
      </c>
      <c r="N56" s="228" t="s">
        <v>722</v>
      </c>
      <c r="O56" s="262"/>
      <c r="P56" s="215"/>
    </row>
    <row r="57" spans="1:16" ht="12.75" customHeight="1" x14ac:dyDescent="0.3">
      <c r="A57" s="216"/>
      <c r="B57" s="216" t="s">
        <v>1060</v>
      </c>
      <c r="C57" s="228"/>
      <c r="D57" s="228"/>
      <c r="E57" s="578"/>
      <c r="F57" s="578"/>
      <c r="G57" s="578" t="s">
        <v>1061</v>
      </c>
      <c r="H57" s="216" t="s">
        <v>1058</v>
      </c>
      <c r="I57" s="573"/>
      <c r="J57" s="294" t="str">
        <f>IF(ISBLANK(HLOOKUP(CaseName,CaseData,MATCH($G57,cases!$G$4:$G$2494,0),FALSE)),"",HLOOKUP(CaseName,CaseData,MATCH($G57,cases!$G$4:$G$2494,0),FALSE))</f>
        <v/>
      </c>
      <c r="K57" s="407">
        <v>0</v>
      </c>
      <c r="L57" s="298">
        <f t="shared" si="3"/>
        <v>0</v>
      </c>
      <c r="M57" s="228" t="s">
        <v>1059</v>
      </c>
      <c r="N57" s="228" t="s">
        <v>722</v>
      </c>
      <c r="O57" s="262"/>
      <c r="P57" s="215"/>
    </row>
    <row r="58" spans="1:16" ht="12.75" customHeight="1" x14ac:dyDescent="0.3">
      <c r="A58" s="216"/>
      <c r="B58" s="216" t="s">
        <v>1062</v>
      </c>
      <c r="C58" s="228"/>
      <c r="D58" s="228"/>
      <c r="E58" s="578"/>
      <c r="F58" s="578"/>
      <c r="G58" s="578" t="s">
        <v>1063</v>
      </c>
      <c r="H58" s="216" t="s">
        <v>1058</v>
      </c>
      <c r="I58" s="573"/>
      <c r="J58" s="294" t="str">
        <f>IF(ISBLANK(HLOOKUP(CaseName,CaseData,MATCH($G58,cases!$G$4:$G$2494,0),FALSE)),"",HLOOKUP(CaseName,CaseData,MATCH($G58,cases!$G$4:$G$2494,0),FALSE))</f>
        <v/>
      </c>
      <c r="K58" s="407">
        <v>0</v>
      </c>
      <c r="L58" s="298">
        <f t="shared" si="3"/>
        <v>0</v>
      </c>
      <c r="M58" s="228" t="s">
        <v>1059</v>
      </c>
      <c r="N58" s="228" t="s">
        <v>722</v>
      </c>
      <c r="O58" s="262"/>
      <c r="P58" s="215"/>
    </row>
    <row r="59" spans="1:16" ht="12.75" customHeight="1" x14ac:dyDescent="0.3">
      <c r="A59" s="216"/>
      <c r="B59" s="216" t="s">
        <v>1064</v>
      </c>
      <c r="C59" s="228"/>
      <c r="D59" s="228"/>
      <c r="E59" s="578"/>
      <c r="F59" s="578"/>
      <c r="G59" s="578" t="s">
        <v>1065</v>
      </c>
      <c r="H59" s="216" t="s">
        <v>1058</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1059</v>
      </c>
      <c r="N59" s="228"/>
      <c r="O59" s="262"/>
      <c r="P59" s="215"/>
    </row>
    <row r="60" spans="1:16" ht="12.75" customHeight="1" x14ac:dyDescent="0.3">
      <c r="A60" s="216"/>
      <c r="B60" s="216" t="s">
        <v>1066</v>
      </c>
      <c r="C60" s="216"/>
      <c r="D60" s="228"/>
      <c r="E60" s="578"/>
      <c r="F60" s="578"/>
      <c r="G60" s="578" t="s">
        <v>1067</v>
      </c>
      <c r="H60" s="216" t="s">
        <v>1058</v>
      </c>
      <c r="I60" s="573"/>
      <c r="J60" s="294" t="str">
        <f>IF(ISBLANK(HLOOKUP(CaseName,CaseData,MATCH($G60,cases!$G$4:$G$2494,0),FALSE)),"",HLOOKUP(CaseName,CaseData,MATCH($G60,cases!$G$4:$G$2494,0),FALSE))</f>
        <v/>
      </c>
      <c r="K60" s="407">
        <f>L59+WATERflow.w2C.w2R</f>
        <v>13698.544520547945</v>
      </c>
      <c r="L60" s="298">
        <f t="shared" si="3"/>
        <v>13698.544520547945</v>
      </c>
      <c r="M60" s="228" t="s">
        <v>1059</v>
      </c>
      <c r="N60" s="228"/>
      <c r="O60" s="262"/>
      <c r="P60" s="215"/>
    </row>
    <row r="61" spans="1:16" ht="12.75" customHeight="1" x14ac:dyDescent="0.3">
      <c r="I61" s="611"/>
      <c r="J61" s="640"/>
      <c r="O61" s="19"/>
      <c r="P61" s="11"/>
    </row>
    <row r="62" spans="1:16" s="413" customFormat="1" ht="12.75" customHeight="1" x14ac:dyDescent="0.3">
      <c r="A62" s="630" t="s">
        <v>1068</v>
      </c>
      <c r="G62" s="630" t="s">
        <v>258</v>
      </c>
      <c r="H62" s="630" t="s">
        <v>274</v>
      </c>
      <c r="I62" s="646" t="s">
        <v>259</v>
      </c>
      <c r="J62" s="667" t="s">
        <v>275</v>
      </c>
      <c r="K62" s="413" t="s">
        <v>260</v>
      </c>
      <c r="L62" s="648" t="s">
        <v>261</v>
      </c>
      <c r="N62" s="630" t="s">
        <v>262</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1069</v>
      </c>
      <c r="C64" s="228"/>
      <c r="D64" s="228"/>
      <c r="E64" s="228"/>
      <c r="F64" s="228"/>
      <c r="G64" s="228" t="s">
        <v>1070</v>
      </c>
      <c r="H64" s="228" t="s">
        <v>291</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292</v>
      </c>
      <c r="N64" s="608"/>
      <c r="O64" s="262"/>
      <c r="P64" s="215"/>
    </row>
    <row r="65" spans="1:16" ht="12.75" customHeight="1" x14ac:dyDescent="0.3">
      <c r="A65" s="228"/>
      <c r="B65" s="228" t="s">
        <v>1071</v>
      </c>
      <c r="C65" s="228"/>
      <c r="D65" s="228"/>
      <c r="E65" s="228"/>
      <c r="F65" s="228"/>
      <c r="G65" s="228" t="s">
        <v>1072</v>
      </c>
      <c r="H65" s="228" t="s">
        <v>291</v>
      </c>
      <c r="I65" s="710"/>
      <c r="J65" s="294" t="str">
        <f>IF(ISBLANK(HLOOKUP(CaseName,CaseData,MATCH($G65,cases!$G$4:$G$2494,0),FALSE)),"",HLOOKUP(CaseName,CaseData,MATCH($G65,cases!$G$4:$G$2494,0),FALSE))</f>
        <v/>
      </c>
      <c r="K65" s="637">
        <f>L35*L68/(1+L35*L68+L34*L69)</f>
        <v>0.74854509595646335</v>
      </c>
      <c r="L65" s="298">
        <f t="shared" si="4"/>
        <v>0.74854509595646335</v>
      </c>
      <c r="M65" s="216" t="s">
        <v>292</v>
      </c>
      <c r="N65" s="216" t="s">
        <v>1073</v>
      </c>
      <c r="O65" s="262"/>
      <c r="P65" s="215"/>
    </row>
    <row r="66" spans="1:16" ht="12.75" customHeight="1" x14ac:dyDescent="0.3">
      <c r="A66" s="228"/>
      <c r="B66" s="228" t="s">
        <v>1074</v>
      </c>
      <c r="C66" s="228"/>
      <c r="D66" s="228"/>
      <c r="E66" s="228"/>
      <c r="F66" s="228"/>
      <c r="G66" s="228" t="s">
        <v>1075</v>
      </c>
      <c r="H66" s="228" t="s">
        <v>291</v>
      </c>
      <c r="I66" s="710"/>
      <c r="J66" s="294" t="str">
        <f>IF(ISBLANK(HLOOKUP(CaseName,CaseData,MATCH($G66,cases!$G$4:$G$2494,0),FALSE)),"",HLOOKUP(CaseName,CaseData,MATCH($G66,cases!$G$4:$G$2494,0),FALSE))</f>
        <v/>
      </c>
      <c r="K66" s="637">
        <f>L34*L69/(1+L35*L68+L34*L69)</f>
        <v>0.25145490404311338</v>
      </c>
      <c r="L66" s="298">
        <f t="shared" si="4"/>
        <v>0.25145490404311338</v>
      </c>
      <c r="M66" s="216" t="s">
        <v>292</v>
      </c>
      <c r="N66" s="216" t="s">
        <v>1073</v>
      </c>
      <c r="O66" s="262"/>
      <c r="P66" s="215"/>
    </row>
    <row r="67" spans="1:16" ht="12.75" customHeight="1" x14ac:dyDescent="0.4">
      <c r="A67" s="228"/>
      <c r="B67" s="228"/>
      <c r="C67" s="228" t="s">
        <v>1076</v>
      </c>
      <c r="D67" s="228"/>
      <c r="E67" s="228"/>
      <c r="F67" s="228"/>
      <c r="G67" s="228" t="s">
        <v>1077</v>
      </c>
      <c r="H67" s="228" t="s">
        <v>1078</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292</v>
      </c>
      <c r="N67" s="228"/>
      <c r="O67" s="262"/>
      <c r="P67" s="215"/>
    </row>
    <row r="68" spans="1:16" ht="12.75" customHeight="1" x14ac:dyDescent="0.4">
      <c r="A68" s="228"/>
      <c r="B68" s="228"/>
      <c r="C68" s="228" t="s">
        <v>1079</v>
      </c>
      <c r="D68" s="228"/>
      <c r="E68" s="228"/>
      <c r="F68" s="228"/>
      <c r="G68" s="228" t="s">
        <v>1080</v>
      </c>
      <c r="H68" s="228" t="s">
        <v>1081</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292</v>
      </c>
      <c r="N68" s="228"/>
      <c r="O68" s="262"/>
      <c r="P68" s="215"/>
    </row>
    <row r="69" spans="1:16" ht="12.75" customHeight="1" x14ac:dyDescent="0.4">
      <c r="A69" s="228"/>
      <c r="B69" s="228"/>
      <c r="C69" s="228" t="s">
        <v>1082</v>
      </c>
      <c r="D69" s="228"/>
      <c r="E69" s="228"/>
      <c r="F69" s="228"/>
      <c r="G69" s="228" t="s">
        <v>1083</v>
      </c>
      <c r="H69" s="228" t="s">
        <v>1084</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292</v>
      </c>
      <c r="N69" s="228" t="s">
        <v>1085</v>
      </c>
      <c r="O69" s="262"/>
      <c r="P69" s="215"/>
    </row>
    <row r="70" spans="1:16" ht="12.75" customHeight="1" x14ac:dyDescent="0.3">
      <c r="A70" s="216"/>
      <c r="B70" s="216" t="s">
        <v>1086</v>
      </c>
      <c r="C70" s="578"/>
      <c r="D70" s="228"/>
      <c r="E70" s="228"/>
      <c r="F70" s="228"/>
      <c r="G70" s="578" t="s">
        <v>1087</v>
      </c>
      <c r="H70" s="216" t="s">
        <v>291</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292</v>
      </c>
      <c r="N70" s="228"/>
      <c r="O70" s="262"/>
      <c r="P70" s="215"/>
    </row>
    <row r="71" spans="1:16" ht="12.75" customHeight="1" x14ac:dyDescent="0.3">
      <c r="A71" s="216"/>
      <c r="B71" s="228"/>
      <c r="C71" s="216" t="s">
        <v>1088</v>
      </c>
      <c r="D71" s="228"/>
      <c r="E71" s="228"/>
      <c r="F71" s="228"/>
      <c r="G71" s="578" t="s">
        <v>1089</v>
      </c>
      <c r="H71" s="216" t="s">
        <v>1090</v>
      </c>
      <c r="I71" s="573"/>
      <c r="J71" s="294" t="str">
        <f>IF(ISBLANK(HLOOKUP(CaseName,CaseData,MATCH($G71,cases!$G$4:$G$2494,0),FALSE)),"",HLOOKUP(CaseName,CaseData,MATCH($G71,cases!$G$4:$G$2494,0),FALSE))</f>
        <v/>
      </c>
      <c r="K71" s="406">
        <f>(FRorig.w1*Ksw+(1-FRorig.w1)*Ksw.alt)*(1000/RHOsolid/CORG)*L72</f>
        <v>95000</v>
      </c>
      <c r="L71" s="298">
        <f t="shared" si="4"/>
        <v>95000</v>
      </c>
      <c r="M71" s="216" t="s">
        <v>1091</v>
      </c>
      <c r="N71" s="228"/>
      <c r="O71" s="262"/>
      <c r="P71" s="215"/>
    </row>
    <row r="72" spans="1:16" ht="12.75" customHeight="1" x14ac:dyDescent="0.3">
      <c r="A72" s="216"/>
      <c r="B72" s="228"/>
      <c r="C72" s="216" t="s">
        <v>1092</v>
      </c>
      <c r="D72" s="228"/>
      <c r="E72" s="228"/>
      <c r="F72" s="228"/>
      <c r="G72" s="578" t="s">
        <v>1093</v>
      </c>
      <c r="H72" s="216" t="s">
        <v>291</v>
      </c>
      <c r="I72" s="573"/>
      <c r="J72" s="294" t="str">
        <f>IF(ISBLANK(HLOOKUP(CaseName,CaseData,MATCH($G72,cases!$G$4:$G$2494,0),FALSE)),"",HLOOKUP(CaseName,CaseData,MATCH($G72,cases!$G$4:$G$2494,0),FALSE))</f>
        <v/>
      </c>
      <c r="K72" s="406">
        <v>0.1</v>
      </c>
      <c r="L72" s="298">
        <f t="shared" si="4"/>
        <v>0.1</v>
      </c>
      <c r="M72" s="216" t="s">
        <v>292</v>
      </c>
      <c r="N72" s="228"/>
      <c r="O72" s="262"/>
      <c r="P72" s="215"/>
    </row>
    <row r="73" spans="1:16" ht="12.75" customHeight="1" x14ac:dyDescent="0.3">
      <c r="A73" s="216"/>
      <c r="B73" s="228"/>
      <c r="C73" s="216" t="s">
        <v>1094</v>
      </c>
      <c r="D73" s="228"/>
      <c r="E73" s="228"/>
      <c r="F73" s="228"/>
      <c r="G73" s="578" t="s">
        <v>1095</v>
      </c>
      <c r="H73" s="216" t="s">
        <v>1096</v>
      </c>
      <c r="I73" s="573"/>
      <c r="J73" s="294" t="str">
        <f>IF(ISBLANK(HLOOKUP(CaseName,CaseData,MATCH($G73,cases!$G$4:$G$2494,0),FALSE)),"",HLOOKUP(CaseName,CaseData,MATCH($G73,cases!$G$4:$G$2494,0),FALSE))</f>
        <v/>
      </c>
      <c r="K73" s="406">
        <f>0.08*D</f>
        <v>220</v>
      </c>
      <c r="L73" s="298">
        <f t="shared" si="4"/>
        <v>220</v>
      </c>
      <c r="M73" s="216" t="s">
        <v>1091</v>
      </c>
      <c r="N73" s="228"/>
      <c r="O73" s="262"/>
      <c r="P73" s="215"/>
    </row>
    <row r="74" spans="1:16" ht="12.75" customHeight="1" x14ac:dyDescent="0.3">
      <c r="A74" s="216"/>
      <c r="B74" s="216" t="s">
        <v>1097</v>
      </c>
      <c r="C74" s="578"/>
      <c r="D74" s="228"/>
      <c r="E74" s="228"/>
      <c r="F74" s="228"/>
      <c r="G74" s="578" t="s">
        <v>1098</v>
      </c>
      <c r="H74" s="216" t="s">
        <v>291</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292</v>
      </c>
      <c r="N74" s="228"/>
      <c r="O74" s="262"/>
      <c r="P74" s="215"/>
    </row>
    <row r="75" spans="1:16" ht="12.75" customHeight="1" x14ac:dyDescent="0.3">
      <c r="A75" s="216"/>
      <c r="B75" s="228"/>
      <c r="C75" s="216" t="s">
        <v>1088</v>
      </c>
      <c r="D75" s="228"/>
      <c r="E75" s="228"/>
      <c r="F75" s="228"/>
      <c r="G75" s="578" t="s">
        <v>1099</v>
      </c>
      <c r="H75" s="216" t="s">
        <v>1090</v>
      </c>
      <c r="I75" s="573"/>
      <c r="J75" s="294" t="str">
        <f>IF(ISBLANK(HLOOKUP(CaseName,CaseData,MATCH($G75,cases!$G$4:$G$2494,0),FALSE)),"",HLOOKUP(CaseName,CaseData,MATCH($G75,cases!$G$4:$G$2494,0),FALSE))</f>
        <v/>
      </c>
      <c r="K75" s="406">
        <f>(FRorig.w1*Ksw+(1-FRorig.w1)*Ksw.alt)*(1000/RHOsolid/CORG)*L76</f>
        <v>95000</v>
      </c>
      <c r="L75" s="298">
        <f t="shared" si="4"/>
        <v>95000</v>
      </c>
      <c r="M75" s="216" t="s">
        <v>1091</v>
      </c>
      <c r="N75" s="228"/>
      <c r="O75" s="262"/>
      <c r="P75" s="215"/>
    </row>
    <row r="76" spans="1:16" ht="12.75" customHeight="1" x14ac:dyDescent="0.3">
      <c r="A76" s="216"/>
      <c r="B76" s="228"/>
      <c r="C76" s="216" t="s">
        <v>1092</v>
      </c>
      <c r="D76" s="228"/>
      <c r="E76" s="228"/>
      <c r="F76" s="228"/>
      <c r="G76" s="578" t="s">
        <v>1100</v>
      </c>
      <c r="H76" s="216" t="s">
        <v>291</v>
      </c>
      <c r="I76" s="573"/>
      <c r="J76" s="294" t="str">
        <f>IF(ISBLANK(HLOOKUP(CaseName,CaseData,MATCH($G76,cases!$G$4:$G$2494,0),FALSE)),"",HLOOKUP(CaseName,CaseData,MATCH($G76,cases!$G$4:$G$2494,0),FALSE))</f>
        <v/>
      </c>
      <c r="K76" s="406">
        <v>0.1</v>
      </c>
      <c r="L76" s="298">
        <f t="shared" si="4"/>
        <v>0.1</v>
      </c>
      <c r="M76" s="216" t="s">
        <v>292</v>
      </c>
      <c r="N76" s="228"/>
      <c r="O76" s="262"/>
      <c r="P76" s="215"/>
    </row>
    <row r="77" spans="1:16" ht="12.75" customHeight="1" x14ac:dyDescent="0.3">
      <c r="A77" s="216"/>
      <c r="B77" s="228"/>
      <c r="C77" s="216" t="s">
        <v>1094</v>
      </c>
      <c r="D77" s="228"/>
      <c r="E77" s="228"/>
      <c r="F77" s="228"/>
      <c r="G77" s="578" t="s">
        <v>1101</v>
      </c>
      <c r="H77" s="216" t="s">
        <v>1096</v>
      </c>
      <c r="I77" s="573"/>
      <c r="J77" s="294" t="str">
        <f>IF(ISBLANK(HLOOKUP(CaseName,CaseData,MATCH($G77,cases!$G$4:$G$2494,0),FALSE)),"",HLOOKUP(CaseName,CaseData,MATCH($G77,cases!$G$4:$G$2494,0),FALSE))</f>
        <v/>
      </c>
      <c r="K77" s="406">
        <f>0.08*D</f>
        <v>220</v>
      </c>
      <c r="L77" s="298">
        <f t="shared" si="4"/>
        <v>220</v>
      </c>
      <c r="M77" s="216" t="s">
        <v>1091</v>
      </c>
      <c r="N77" s="412"/>
      <c r="O77" s="262"/>
      <c r="P77" s="215"/>
    </row>
    <row r="78" spans="1:16" ht="12.75" customHeight="1" x14ac:dyDescent="0.3">
      <c r="A78" s="216"/>
      <c r="B78" s="216" t="s">
        <v>1102</v>
      </c>
      <c r="C78" s="578"/>
      <c r="D78" s="228"/>
      <c r="E78" s="228"/>
      <c r="F78" s="228"/>
      <c r="G78" s="578" t="s">
        <v>1103</v>
      </c>
      <c r="H78" s="216" t="s">
        <v>291</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292</v>
      </c>
      <c r="N78" s="228"/>
      <c r="O78" s="262"/>
      <c r="P78" s="215"/>
    </row>
    <row r="79" spans="1:16" ht="12.75" customHeight="1" x14ac:dyDescent="0.3">
      <c r="A79" s="216"/>
      <c r="B79" s="228"/>
      <c r="C79" s="216" t="s">
        <v>1088</v>
      </c>
      <c r="D79" s="228"/>
      <c r="E79" s="228"/>
      <c r="F79" s="228"/>
      <c r="G79" s="578" t="s">
        <v>1104</v>
      </c>
      <c r="H79" s="216" t="s">
        <v>1090</v>
      </c>
      <c r="I79" s="573"/>
      <c r="J79" s="294" t="str">
        <f>IF(ISBLANK(HLOOKUP(CaseName,CaseData,MATCH($G79,cases!$G$4:$G$2494,0),FALSE)),"",HLOOKUP(CaseName,CaseData,MATCH($G79,cases!$G$4:$G$2494,0),FALSE))</f>
        <v/>
      </c>
      <c r="K79" s="406">
        <f>(FRorig.w2*Ksw+(1-FRorig.w2)*Ksw.alt)*(1000/RHOsolid/CORG)*L80</f>
        <v>95000</v>
      </c>
      <c r="L79" s="298">
        <f t="shared" si="4"/>
        <v>95000</v>
      </c>
      <c r="M79" s="216" t="s">
        <v>1091</v>
      </c>
      <c r="N79" s="228"/>
      <c r="O79" s="262"/>
      <c r="P79" s="215"/>
    </row>
    <row r="80" spans="1:16" ht="12.75" customHeight="1" x14ac:dyDescent="0.3">
      <c r="A80" s="216"/>
      <c r="B80" s="228"/>
      <c r="C80" s="216" t="s">
        <v>1092</v>
      </c>
      <c r="D80" s="228"/>
      <c r="E80" s="228"/>
      <c r="F80" s="228"/>
      <c r="G80" s="578" t="s">
        <v>1105</v>
      </c>
      <c r="H80" s="216" t="s">
        <v>291</v>
      </c>
      <c r="I80" s="573"/>
      <c r="J80" s="294" t="str">
        <f>IF(ISBLANK(HLOOKUP(CaseName,CaseData,MATCH($G80,cases!$G$4:$G$2494,0),FALSE)),"",HLOOKUP(CaseName,CaseData,MATCH($G80,cases!$G$4:$G$2494,0),FALSE))</f>
        <v/>
      </c>
      <c r="K80" s="406">
        <v>0.1</v>
      </c>
      <c r="L80" s="298">
        <f t="shared" si="4"/>
        <v>0.1</v>
      </c>
      <c r="M80" s="216" t="s">
        <v>292</v>
      </c>
      <c r="N80" s="228"/>
      <c r="O80" s="262"/>
      <c r="P80" s="215"/>
    </row>
    <row r="81" spans="1:16" ht="12.75" customHeight="1" x14ac:dyDescent="0.3">
      <c r="A81" s="216"/>
      <c r="B81" s="228"/>
      <c r="C81" s="216" t="s">
        <v>1094</v>
      </c>
      <c r="D81" s="228"/>
      <c r="E81" s="228"/>
      <c r="F81" s="228"/>
      <c r="G81" s="578" t="s">
        <v>1106</v>
      </c>
      <c r="H81" s="216" t="s">
        <v>1096</v>
      </c>
      <c r="I81" s="573"/>
      <c r="J81" s="294" t="str">
        <f>IF(ISBLANK(HLOOKUP(CaseName,CaseData,MATCH($G81,cases!$G$4:$G$2494,0),FALSE)),"",HLOOKUP(CaseName,CaseData,MATCH($G81,cases!$G$4:$G$2494,0),FALSE))</f>
        <v/>
      </c>
      <c r="K81" s="406">
        <f>0.08*D</f>
        <v>220</v>
      </c>
      <c r="L81" s="298">
        <f t="shared" si="4"/>
        <v>220</v>
      </c>
      <c r="M81" s="216" t="s">
        <v>1091</v>
      </c>
      <c r="N81" s="228"/>
      <c r="O81" s="262"/>
      <c r="P81" s="215"/>
    </row>
    <row r="82" spans="1:16" s="386" customFormat="1" ht="12.75" customHeight="1" x14ac:dyDescent="0.3">
      <c r="A82" s="567"/>
      <c r="B82" s="566"/>
      <c r="C82" s="567" t="s">
        <v>1107</v>
      </c>
      <c r="D82" s="679"/>
      <c r="E82" s="566"/>
      <c r="F82" s="566"/>
      <c r="G82" s="679" t="s">
        <v>1108</v>
      </c>
      <c r="H82" s="567" t="s">
        <v>291</v>
      </c>
      <c r="I82" s="573"/>
      <c r="J82" s="294" t="str">
        <f>IF(ISBLANK(HLOOKUP(CaseName,CaseData,MATCH($G82,cases!$G$4:$G$2494,0),FALSE)),"",HLOOKUP(CaseName,CaseData,MATCH($G82,cases!$G$4:$G$2494,0),FALSE))</f>
        <v/>
      </c>
      <c r="K82" s="749">
        <f>L45+L46*L83*RHOsolid/1000</f>
        <v>23750.799999999996</v>
      </c>
      <c r="L82" s="298">
        <f t="shared" si="4"/>
        <v>23750.799999999996</v>
      </c>
      <c r="M82" s="567" t="s">
        <v>292</v>
      </c>
      <c r="N82" s="577"/>
      <c r="O82" s="606"/>
      <c r="P82" s="577"/>
    </row>
    <row r="83" spans="1:16" s="386" customFormat="1" ht="12.75" customHeight="1" x14ac:dyDescent="0.3">
      <c r="A83" s="567"/>
      <c r="B83" s="566"/>
      <c r="C83" s="566"/>
      <c r="D83" s="567" t="s">
        <v>1109</v>
      </c>
      <c r="E83" s="566"/>
      <c r="F83" s="566"/>
      <c r="G83" s="679" t="s">
        <v>1110</v>
      </c>
      <c r="H83" s="567" t="s">
        <v>1090</v>
      </c>
      <c r="I83" s="573"/>
      <c r="J83" s="294" t="str">
        <f>IF(ISBLANK(HLOOKUP(CaseName,CaseData,MATCH($G83,cases!$G$4:$G$2494,0),FALSE)),"",HLOOKUP(CaseName,CaseData,MATCH($G83,cases!$G$4:$G$2494,0),FALSE))</f>
        <v/>
      </c>
      <c r="K83" s="749">
        <f>(FRorig.sd1*Ksw+(1-FRorig.sd1)*Ksw.alt)*(1000/RHOsolid/CORG)*L84</f>
        <v>47500</v>
      </c>
      <c r="L83" s="298">
        <f t="shared" si="4"/>
        <v>47500</v>
      </c>
      <c r="M83" s="567" t="s">
        <v>1091</v>
      </c>
      <c r="N83" s="577"/>
      <c r="O83" s="606"/>
      <c r="P83" s="577"/>
    </row>
    <row r="84" spans="1:16" s="386" customFormat="1" ht="12.75" customHeight="1" x14ac:dyDescent="0.3">
      <c r="A84" s="567"/>
      <c r="B84" s="566"/>
      <c r="C84" s="567" t="s">
        <v>1111</v>
      </c>
      <c r="D84" s="566"/>
      <c r="E84" s="566"/>
      <c r="F84" s="566"/>
      <c r="G84" s="679" t="s">
        <v>1112</v>
      </c>
      <c r="H84" s="567" t="s">
        <v>291</v>
      </c>
      <c r="I84" s="573"/>
      <c r="J84" s="294" t="str">
        <f>IF(ISBLANK(HLOOKUP(CaseName,CaseData,MATCH($G84,cases!$G$4:$G$2494,0),FALSE)),"",HLOOKUP(CaseName,CaseData,MATCH($G84,cases!$G$4:$G$2494,0),FALSE))</f>
        <v/>
      </c>
      <c r="K84" s="749">
        <v>0.05</v>
      </c>
      <c r="L84" s="298">
        <f t="shared" si="4"/>
        <v>0.05</v>
      </c>
      <c r="M84" s="566" t="s">
        <v>292</v>
      </c>
      <c r="N84" s="577"/>
      <c r="O84" s="606"/>
      <c r="P84" s="577"/>
    </row>
    <row r="85" spans="1:16" ht="12.75" customHeight="1" x14ac:dyDescent="0.3">
      <c r="A85" s="216"/>
      <c r="B85" s="216"/>
      <c r="C85" s="216" t="s">
        <v>1113</v>
      </c>
      <c r="D85" s="578"/>
      <c r="E85" s="228"/>
      <c r="F85" s="228"/>
      <c r="G85" s="578" t="s">
        <v>1114</v>
      </c>
      <c r="H85" s="216" t="s">
        <v>291</v>
      </c>
      <c r="I85" s="573"/>
      <c r="J85" s="294" t="str">
        <f>IF(ISBLANK(HLOOKUP(CaseName,CaseData,MATCH($G85,cases!$G$4:$G$2494,0),FALSE)),"",HLOOKUP(CaseName,CaseData,MATCH($G85,cases!$G$4:$G$2494,0),FALSE))</f>
        <v/>
      </c>
      <c r="K85" s="406">
        <f>L45+L46*L86*RHOsolid/1000</f>
        <v>23750.799999999996</v>
      </c>
      <c r="L85" s="298">
        <f t="shared" si="4"/>
        <v>23750.799999999996</v>
      </c>
      <c r="M85" s="216" t="s">
        <v>292</v>
      </c>
      <c r="N85" s="228"/>
      <c r="O85" s="262"/>
      <c r="P85" s="215"/>
    </row>
    <row r="86" spans="1:16" ht="12.75" customHeight="1" x14ac:dyDescent="0.3">
      <c r="A86" s="216"/>
      <c r="B86" s="228"/>
      <c r="C86" s="228"/>
      <c r="D86" s="216" t="s">
        <v>1115</v>
      </c>
      <c r="E86" s="228"/>
      <c r="F86" s="228"/>
      <c r="G86" s="578" t="s">
        <v>1116</v>
      </c>
      <c r="H86" s="216" t="s">
        <v>1090</v>
      </c>
      <c r="I86" s="573"/>
      <c r="J86" s="294" t="str">
        <f>IF(ISBLANK(HLOOKUP(CaseName,CaseData,MATCH($G86,cases!$G$4:$G$2494,0),FALSE)),"",HLOOKUP(CaseName,CaseData,MATCH($G86,cases!$G$4:$G$2494,0),FALSE))</f>
        <v/>
      </c>
      <c r="K86" s="406">
        <f>(FRorig.sd1*Ksw+(1-FRorig.sd1)*Ksw.alt)*(1000/RHOsolid/CORG)*L87</f>
        <v>47500</v>
      </c>
      <c r="L86" s="298">
        <f t="shared" si="4"/>
        <v>47500</v>
      </c>
      <c r="M86" s="216" t="s">
        <v>1091</v>
      </c>
      <c r="N86" s="228"/>
      <c r="O86" s="262"/>
      <c r="P86" s="215"/>
    </row>
    <row r="87" spans="1:16" ht="12.75" customHeight="1" x14ac:dyDescent="0.3">
      <c r="A87" s="216"/>
      <c r="B87" s="228"/>
      <c r="C87" s="216" t="s">
        <v>1117</v>
      </c>
      <c r="D87" s="228"/>
      <c r="E87" s="228"/>
      <c r="F87" s="228"/>
      <c r="G87" s="578" t="s">
        <v>1118</v>
      </c>
      <c r="H87" s="216" t="s">
        <v>291</v>
      </c>
      <c r="I87" s="573"/>
      <c r="J87" s="294" t="str">
        <f>IF(ISBLANK(HLOOKUP(CaseName,CaseData,MATCH($G87,cases!$G$4:$G$2494,0),FALSE)),"",HLOOKUP(CaseName,CaseData,MATCH($G87,cases!$G$4:$G$2494,0),FALSE))</f>
        <v/>
      </c>
      <c r="K87" s="406">
        <v>0.05</v>
      </c>
      <c r="L87" s="298">
        <f t="shared" si="4"/>
        <v>0.05</v>
      </c>
      <c r="M87" s="228" t="s">
        <v>292</v>
      </c>
      <c r="N87" s="228"/>
      <c r="O87" s="262"/>
      <c r="P87" s="215"/>
    </row>
    <row r="88" spans="1:16" ht="12.75" customHeight="1" x14ac:dyDescent="0.3">
      <c r="A88" s="216"/>
      <c r="B88" s="216"/>
      <c r="C88" s="216" t="s">
        <v>1119</v>
      </c>
      <c r="D88" s="578"/>
      <c r="E88" s="228"/>
      <c r="F88" s="228"/>
      <c r="G88" s="578" t="s">
        <v>1120</v>
      </c>
      <c r="H88" s="216" t="s">
        <v>291</v>
      </c>
      <c r="I88" s="573"/>
      <c r="J88" s="294" t="str">
        <f>IF(ISBLANK(HLOOKUP(CaseName,CaseData,MATCH($G88,cases!$G$4:$G$2494,0),FALSE)),"",HLOOKUP(CaseName,CaseData,MATCH($G88,cases!$G$4:$G$2494,0),FALSE))</f>
        <v/>
      </c>
      <c r="K88" s="406">
        <f>L45+L46*L89*RHOsolid/1000</f>
        <v>23750.799999999996</v>
      </c>
      <c r="L88" s="298">
        <f t="shared" si="4"/>
        <v>23750.799999999996</v>
      </c>
      <c r="M88" s="228" t="s">
        <v>292</v>
      </c>
      <c r="N88" s="228"/>
      <c r="O88" s="262"/>
      <c r="P88" s="215"/>
    </row>
    <row r="89" spans="1:16" ht="12.75" customHeight="1" x14ac:dyDescent="0.3">
      <c r="A89" s="216"/>
      <c r="B89" s="216"/>
      <c r="C89" s="228"/>
      <c r="D89" s="216" t="s">
        <v>1121</v>
      </c>
      <c r="E89" s="228"/>
      <c r="F89" s="228"/>
      <c r="G89" s="578" t="s">
        <v>1122</v>
      </c>
      <c r="H89" s="216" t="s">
        <v>1090</v>
      </c>
      <c r="I89" s="573"/>
      <c r="J89" s="294" t="str">
        <f>IF(ISBLANK(HLOOKUP(CaseName,CaseData,MATCH($G89,cases!$G$4:$G$2494,0),FALSE)),"",HLOOKUP(CaseName,CaseData,MATCH($G89,cases!$G$4:$G$2494,0),FALSE))</f>
        <v/>
      </c>
      <c r="K89" s="406">
        <f>(FRorig.sd2*Ksw+(1-FRorig.sd2)*Ksw.alt)*(1000/RHOsolid/CORG)*L90</f>
        <v>47500</v>
      </c>
      <c r="L89" s="298">
        <f t="shared" si="4"/>
        <v>47500</v>
      </c>
      <c r="M89" s="216" t="s">
        <v>1091</v>
      </c>
      <c r="N89" s="228"/>
      <c r="O89" s="262"/>
      <c r="P89" s="215"/>
    </row>
    <row r="90" spans="1:16" ht="12.75" customHeight="1" x14ac:dyDescent="0.3">
      <c r="A90" s="216"/>
      <c r="B90" s="228"/>
      <c r="C90" s="216" t="s">
        <v>1123</v>
      </c>
      <c r="D90" s="228"/>
      <c r="E90" s="228"/>
      <c r="F90" s="228"/>
      <c r="G90" s="578" t="s">
        <v>1124</v>
      </c>
      <c r="H90" s="216" t="s">
        <v>291</v>
      </c>
      <c r="I90" s="573"/>
      <c r="J90" s="294" t="str">
        <f>IF(ISBLANK(HLOOKUP(CaseName,CaseData,MATCH($G90,cases!$G$4:$G$2494,0),FALSE)),"",HLOOKUP(CaseName,CaseData,MATCH($G90,cases!$G$4:$G$2494,0),FALSE))</f>
        <v/>
      </c>
      <c r="K90" s="406">
        <v>0.05</v>
      </c>
      <c r="L90" s="298">
        <f t="shared" si="4"/>
        <v>0.05</v>
      </c>
      <c r="M90" s="228" t="s">
        <v>292</v>
      </c>
      <c r="N90" s="228"/>
      <c r="O90" s="262"/>
      <c r="P90" s="215"/>
    </row>
    <row r="91" spans="1:16" ht="12.75" customHeight="1" x14ac:dyDescent="0.3">
      <c r="A91" s="216"/>
      <c r="B91" s="216"/>
      <c r="C91" s="216" t="s">
        <v>1125</v>
      </c>
      <c r="D91" s="578"/>
      <c r="E91" s="228"/>
      <c r="F91" s="228"/>
      <c r="G91" s="578" t="s">
        <v>1126</v>
      </c>
      <c r="H91" s="216" t="s">
        <v>291</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292</v>
      </c>
      <c r="N91" s="228"/>
      <c r="O91" s="262"/>
      <c r="P91" s="215"/>
    </row>
    <row r="92" spans="1:16" ht="12.75" customHeight="1" x14ac:dyDescent="0.3">
      <c r="A92" s="216"/>
      <c r="B92" s="216" t="s">
        <v>1127</v>
      </c>
      <c r="C92" s="578"/>
      <c r="D92" s="228"/>
      <c r="E92" s="228"/>
      <c r="F92" s="228"/>
      <c r="G92" s="578" t="s">
        <v>1128</v>
      </c>
      <c r="H92" s="216" t="s">
        <v>291</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3">
      <c r="A93" s="216"/>
      <c r="B93" s="216" t="s">
        <v>1129</v>
      </c>
      <c r="C93" s="578"/>
      <c r="D93" s="228"/>
      <c r="E93" s="228"/>
      <c r="F93" s="228"/>
      <c r="G93" s="578" t="s">
        <v>1130</v>
      </c>
      <c r="H93" s="216" t="s">
        <v>291</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3">
      <c r="A94" s="216"/>
      <c r="B94" s="228"/>
      <c r="C94" s="216" t="s">
        <v>1131</v>
      </c>
      <c r="D94" s="228"/>
      <c r="E94" s="228"/>
      <c r="F94" s="228"/>
      <c r="G94" s="578" t="s">
        <v>1132</v>
      </c>
      <c r="H94" s="216" t="s">
        <v>1090</v>
      </c>
      <c r="I94" s="573"/>
      <c r="J94" s="294" t="str">
        <f>IF(ISBLANK(HLOOKUP(CaseName,CaseData,MATCH($G94,cases!$G$4:$G$2494,0),FALSE)),"",HLOOKUP(CaseName,CaseData,MATCH($G94,cases!$G$4:$G$2494,0),FALSE))</f>
        <v/>
      </c>
      <c r="K94" s="406">
        <f>(FRorig.s1*Ksw+(1-FRorig.s1)*Ksw.alt)*(1000/RHOsolid/CORG)*L95</f>
        <v>19000</v>
      </c>
      <c r="L94" s="298">
        <f t="shared" si="4"/>
        <v>19000</v>
      </c>
      <c r="M94" s="216" t="s">
        <v>1091</v>
      </c>
      <c r="N94" s="228"/>
      <c r="O94" s="262"/>
      <c r="P94" s="215"/>
    </row>
    <row r="95" spans="1:16" ht="12.75" customHeight="1" x14ac:dyDescent="0.3">
      <c r="A95" s="216"/>
      <c r="B95" s="228"/>
      <c r="C95" s="216" t="s">
        <v>1133</v>
      </c>
      <c r="D95" s="228"/>
      <c r="E95" s="228"/>
      <c r="F95" s="228"/>
      <c r="G95" s="578" t="s">
        <v>1134</v>
      </c>
      <c r="H95" s="216" t="s">
        <v>291</v>
      </c>
      <c r="I95" s="573"/>
      <c r="J95" s="294" t="str">
        <f>IF(ISBLANK(HLOOKUP(CaseName,CaseData,MATCH($G95,cases!$G$4:$G$2494,0),FALSE)),"",HLOOKUP(CaseName,CaseData,MATCH($G95,cases!$G$4:$G$2494,0),FALSE))</f>
        <v/>
      </c>
      <c r="K95" s="406">
        <v>0.02</v>
      </c>
      <c r="L95" s="298">
        <f t="shared" si="4"/>
        <v>0.02</v>
      </c>
      <c r="M95" s="228" t="s">
        <v>292</v>
      </c>
      <c r="N95" s="228"/>
      <c r="O95" s="262"/>
      <c r="P95" s="215"/>
    </row>
    <row r="96" spans="1:16" ht="12.75" customHeight="1" x14ac:dyDescent="0.3">
      <c r="A96" s="216"/>
      <c r="B96" s="216"/>
      <c r="C96" s="216" t="s">
        <v>1135</v>
      </c>
      <c r="D96" s="578"/>
      <c r="E96" s="228"/>
      <c r="F96" s="228"/>
      <c r="G96" s="578" t="s">
        <v>1136</v>
      </c>
      <c r="H96" s="216" t="s">
        <v>291</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292</v>
      </c>
      <c r="N96" s="228"/>
      <c r="O96" s="262"/>
      <c r="P96" s="215"/>
    </row>
    <row r="97" spans="1:16" ht="12.75" customHeight="1" x14ac:dyDescent="0.3">
      <c r="A97" s="216"/>
      <c r="B97" s="216" t="s">
        <v>1137</v>
      </c>
      <c r="C97" s="578"/>
      <c r="D97" s="228"/>
      <c r="E97" s="228"/>
      <c r="F97" s="228"/>
      <c r="G97" s="578" t="s">
        <v>1138</v>
      </c>
      <c r="H97" s="216" t="s">
        <v>291</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292</v>
      </c>
      <c r="N97" s="228"/>
      <c r="O97" s="262"/>
      <c r="P97" s="215"/>
    </row>
    <row r="98" spans="1:16" ht="12.75" customHeight="1" x14ac:dyDescent="0.3">
      <c r="A98" s="216"/>
      <c r="B98" s="216" t="s">
        <v>1139</v>
      </c>
      <c r="C98" s="578"/>
      <c r="D98" s="228"/>
      <c r="E98" s="228"/>
      <c r="F98" s="228"/>
      <c r="G98" s="578" t="s">
        <v>1140</v>
      </c>
      <c r="H98" s="216" t="s">
        <v>291</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292</v>
      </c>
      <c r="N98" s="228"/>
      <c r="O98" s="262"/>
      <c r="P98" s="215"/>
    </row>
    <row r="99" spans="1:16" ht="12.75" customHeight="1" x14ac:dyDescent="0.3">
      <c r="A99" s="216"/>
      <c r="B99" s="228"/>
      <c r="C99" s="216" t="s">
        <v>1141</v>
      </c>
      <c r="D99" s="228"/>
      <c r="E99" s="228"/>
      <c r="F99" s="228"/>
      <c r="G99" s="578" t="s">
        <v>1142</v>
      </c>
      <c r="H99" s="216" t="s">
        <v>1090</v>
      </c>
      <c r="I99" s="573"/>
      <c r="J99" s="294" t="str">
        <f>IF(ISBLANK(HLOOKUP(CaseName,CaseData,MATCH($G99,cases!$G$4:$G$2494,0),FALSE)),"",HLOOKUP(CaseName,CaseData,MATCH($G99,cases!$G$4:$G$2494,0),FALSE))</f>
        <v/>
      </c>
      <c r="K99" s="406">
        <f>(FRorig.s2*Ksw+(1-FRorig.s2)*Ksw.alt)*(1000/RHOsolid/CORG)*L100</f>
        <v>19000</v>
      </c>
      <c r="L99" s="298">
        <f t="shared" si="4"/>
        <v>19000</v>
      </c>
      <c r="M99" s="216" t="s">
        <v>1091</v>
      </c>
      <c r="N99" s="228"/>
      <c r="O99" s="262"/>
      <c r="P99" s="215"/>
    </row>
    <row r="100" spans="1:16" ht="12.75" customHeight="1" x14ac:dyDescent="0.3">
      <c r="A100" s="216"/>
      <c r="B100" s="228"/>
      <c r="C100" s="216" t="s">
        <v>1143</v>
      </c>
      <c r="D100" s="228"/>
      <c r="E100" s="228"/>
      <c r="F100" s="228"/>
      <c r="G100" s="578" t="s">
        <v>1144</v>
      </c>
      <c r="H100" s="216" t="s">
        <v>291</v>
      </c>
      <c r="I100" s="573"/>
      <c r="J100" s="294" t="str">
        <f>IF(ISBLANK(HLOOKUP(CaseName,CaseData,MATCH($G100,cases!$G$4:$G$2494,0),FALSE)),"",HLOOKUP(CaseName,CaseData,MATCH($G100,cases!$G$4:$G$2494,0),FALSE))</f>
        <v/>
      </c>
      <c r="K100" s="406">
        <v>0.02</v>
      </c>
      <c r="L100" s="298">
        <f t="shared" si="4"/>
        <v>0.02</v>
      </c>
      <c r="M100" s="228" t="s">
        <v>292</v>
      </c>
      <c r="N100" s="228"/>
      <c r="O100" s="262"/>
      <c r="P100" s="215"/>
    </row>
    <row r="101" spans="1:16" ht="12.75" customHeight="1" x14ac:dyDescent="0.3">
      <c r="A101" s="216"/>
      <c r="B101" s="216"/>
      <c r="C101" s="216" t="s">
        <v>1145</v>
      </c>
      <c r="D101" s="578"/>
      <c r="E101" s="228"/>
      <c r="F101" s="228"/>
      <c r="G101" s="578" t="s">
        <v>1146</v>
      </c>
      <c r="H101" s="216" t="s">
        <v>291</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292</v>
      </c>
      <c r="N101" s="228"/>
      <c r="O101" s="262"/>
      <c r="P101" s="215"/>
    </row>
    <row r="102" spans="1:16" ht="12.75" customHeight="1" x14ac:dyDescent="0.3">
      <c r="A102" s="216"/>
      <c r="B102" s="216" t="s">
        <v>1147</v>
      </c>
      <c r="C102" s="578"/>
      <c r="D102" s="228"/>
      <c r="E102" s="228"/>
      <c r="F102" s="228"/>
      <c r="G102" s="578" t="s">
        <v>1148</v>
      </c>
      <c r="H102" s="216" t="s">
        <v>291</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292</v>
      </c>
      <c r="N102" s="228"/>
      <c r="O102" s="262"/>
      <c r="P102" s="215"/>
    </row>
    <row r="103" spans="1:16" ht="12.75" customHeight="1" x14ac:dyDescent="0.3">
      <c r="A103" s="216"/>
      <c r="B103" s="216" t="s">
        <v>1149</v>
      </c>
      <c r="C103" s="578"/>
      <c r="D103" s="228"/>
      <c r="E103" s="228"/>
      <c r="F103" s="228"/>
      <c r="G103" s="578" t="s">
        <v>1150</v>
      </c>
      <c r="H103" s="216" t="s">
        <v>291</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292</v>
      </c>
      <c r="N103" s="228"/>
      <c r="O103" s="262"/>
      <c r="P103" s="215"/>
    </row>
    <row r="104" spans="1:16" ht="12.75" customHeight="1" x14ac:dyDescent="0.3">
      <c r="A104" s="216"/>
      <c r="B104" s="228"/>
      <c r="C104" s="216" t="s">
        <v>1151</v>
      </c>
      <c r="D104" s="228"/>
      <c r="E104" s="228"/>
      <c r="F104" s="228"/>
      <c r="G104" s="578" t="s">
        <v>1152</v>
      </c>
      <c r="H104" s="216" t="s">
        <v>1090</v>
      </c>
      <c r="I104" s="573"/>
      <c r="J104" s="294" t="str">
        <f>IF(ISBLANK(HLOOKUP(CaseName,CaseData,MATCH($G104,cases!$G$4:$G$2494,0),FALSE)),"",HLOOKUP(CaseName,CaseData,MATCH($G104,cases!$G$4:$G$2494,0),FALSE))</f>
        <v/>
      </c>
      <c r="K104" s="406">
        <f>(FRorig.s3*Ksw+(1-FRorig.s3)*Ksw.alt)*(1000/RHOsolid/CORG)*L105</f>
        <v>19000</v>
      </c>
      <c r="L104" s="298">
        <f t="shared" si="4"/>
        <v>19000</v>
      </c>
      <c r="M104" s="216" t="s">
        <v>1091</v>
      </c>
      <c r="N104" s="228"/>
      <c r="O104" s="262"/>
      <c r="P104" s="215"/>
    </row>
    <row r="105" spans="1:16" ht="12.75" customHeight="1" x14ac:dyDescent="0.3">
      <c r="A105" s="216"/>
      <c r="B105" s="228"/>
      <c r="C105" s="216" t="s">
        <v>1153</v>
      </c>
      <c r="D105" s="228"/>
      <c r="E105" s="228"/>
      <c r="F105" s="228"/>
      <c r="G105" s="578" t="s">
        <v>1154</v>
      </c>
      <c r="H105" s="216" t="s">
        <v>291</v>
      </c>
      <c r="I105" s="573"/>
      <c r="J105" s="294" t="str">
        <f>IF(ISBLANK(HLOOKUP(CaseName,CaseData,MATCH($G105,cases!$G$4:$G$2494,0),FALSE)),"",HLOOKUP(CaseName,CaseData,MATCH($G105,cases!$G$4:$G$2494,0),FALSE))</f>
        <v/>
      </c>
      <c r="K105" s="406">
        <v>0.02</v>
      </c>
      <c r="L105" s="298">
        <f t="shared" si="4"/>
        <v>0.02</v>
      </c>
      <c r="M105" s="228" t="s">
        <v>292</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1155</v>
      </c>
      <c r="G107" s="630" t="s">
        <v>258</v>
      </c>
      <c r="H107" s="630" t="s">
        <v>274</v>
      </c>
      <c r="I107" s="646" t="s">
        <v>259</v>
      </c>
      <c r="J107" s="498" t="s">
        <v>275</v>
      </c>
      <c r="K107" s="647" t="s">
        <v>260</v>
      </c>
      <c r="L107" s="648" t="s">
        <v>261</v>
      </c>
      <c r="N107" s="630" t="s">
        <v>262</v>
      </c>
      <c r="O107" s="209"/>
    </row>
    <row r="108" spans="1:16" ht="12.75" customHeight="1" x14ac:dyDescent="0.3">
      <c r="I108" s="611"/>
      <c r="J108" s="640"/>
      <c r="O108" s="19"/>
      <c r="P108" s="11"/>
    </row>
    <row r="109" spans="1:16" ht="12.75" customHeight="1" x14ac:dyDescent="0.3">
      <c r="A109" s="216" t="s">
        <v>1156</v>
      </c>
      <c r="B109" s="228"/>
      <c r="C109" s="228"/>
      <c r="D109" s="228"/>
      <c r="E109" s="228"/>
      <c r="F109" s="228"/>
      <c r="G109" s="216" t="s">
        <v>1157</v>
      </c>
      <c r="H109" s="216" t="s">
        <v>617</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1041</v>
      </c>
      <c r="N109" s="384"/>
      <c r="O109" s="262"/>
      <c r="P109" s="215"/>
    </row>
    <row r="110" spans="1:16" ht="12.75" customHeight="1" x14ac:dyDescent="0.3">
      <c r="A110" s="216" t="s">
        <v>1158</v>
      </c>
      <c r="B110" s="228"/>
      <c r="C110" s="228"/>
      <c r="D110" s="228"/>
      <c r="E110" s="228"/>
      <c r="F110" s="228"/>
      <c r="G110" s="216" t="s">
        <v>1159</v>
      </c>
      <c r="H110" s="216" t="s">
        <v>617</v>
      </c>
      <c r="I110" s="569"/>
      <c r="J110" s="294" t="str">
        <f>IF(ISBLANK(HLOOKUP(CaseName,CaseData,MATCH($G110,cases!$G$4:$G$2494,0),FALSE)),"",HLOOKUP(CaseName,CaseData,MATCH($G110,cases!$G$4:$G$2494,0),FALSE))</f>
        <v/>
      </c>
      <c r="K110" s="406">
        <f>(L121+L132/L23)*L18</f>
        <v>1.8798752113996628E-7</v>
      </c>
      <c r="L110" s="298">
        <f t="shared" si="5"/>
        <v>1.8798752113996628E-7</v>
      </c>
      <c r="M110" s="228" t="s">
        <v>1041</v>
      </c>
      <c r="N110" s="384"/>
      <c r="O110" s="262"/>
      <c r="P110" s="215"/>
    </row>
    <row r="111" spans="1:16" ht="12.75" customHeight="1" x14ac:dyDescent="0.3">
      <c r="A111" s="216" t="s">
        <v>1160</v>
      </c>
      <c r="B111" s="228"/>
      <c r="C111" s="228"/>
      <c r="D111" s="228"/>
      <c r="E111" s="228"/>
      <c r="F111" s="228"/>
      <c r="G111" s="216" t="s">
        <v>1161</v>
      </c>
      <c r="H111" s="216" t="s">
        <v>617</v>
      </c>
      <c r="I111" s="569"/>
      <c r="J111" s="294" t="str">
        <f>IF(ISBLANK(HLOOKUP(CaseName,CaseData,MATCH($G111,cases!$G$4:$G$2494,0),FALSE)),"",HLOOKUP(CaseName,CaseData,MATCH($G111,cases!$G$4:$G$2494,0),FALSE))</f>
        <v/>
      </c>
      <c r="K111" s="407">
        <f>(L121+L132/L23)*L22</f>
        <v>2.9907292556482235E-8</v>
      </c>
      <c r="L111" s="298">
        <f t="shared" si="5"/>
        <v>2.9907292556482235E-8</v>
      </c>
      <c r="M111" s="228" t="s">
        <v>1041</v>
      </c>
      <c r="N111" s="384"/>
      <c r="O111" s="262"/>
      <c r="P111" s="215"/>
    </row>
    <row r="112" spans="1:16" ht="12.75" customHeight="1" x14ac:dyDescent="0.3">
      <c r="A112" s="216" t="s">
        <v>1162</v>
      </c>
      <c r="B112" s="228"/>
      <c r="C112" s="228"/>
      <c r="D112" s="228"/>
      <c r="E112" s="228"/>
      <c r="F112" s="228"/>
      <c r="G112" s="216" t="s">
        <v>1163</v>
      </c>
      <c r="H112" s="216" t="s">
        <v>617</v>
      </c>
      <c r="I112" s="569"/>
      <c r="J112" s="294" t="str">
        <f>IF(ISBLANK(HLOOKUP(CaseName,CaseData,MATCH($G112,cases!$G$4:$G$2494,0),FALSE)),"",HLOOKUP(CaseName,CaseData,MATCH($G112,cases!$G$4:$G$2494,0),FALSE))</f>
        <v/>
      </c>
      <c r="K112" s="407">
        <f>(L121+L133/L23)*L19</f>
        <v>1.8456956621010444E-6</v>
      </c>
      <c r="L112" s="298">
        <f t="shared" si="5"/>
        <v>1.8456956621010444E-6</v>
      </c>
      <c r="M112" s="228" t="s">
        <v>1041</v>
      </c>
      <c r="N112" s="384"/>
      <c r="O112" s="262"/>
      <c r="P112" s="215"/>
    </row>
    <row r="113" spans="1:16" ht="12.75" customHeight="1" x14ac:dyDescent="0.3">
      <c r="A113" s="216" t="s">
        <v>1164</v>
      </c>
      <c r="B113" s="228"/>
      <c r="C113" s="228"/>
      <c r="D113" s="228"/>
      <c r="E113" s="228"/>
      <c r="F113" s="228"/>
      <c r="G113" s="216" t="s">
        <v>1165</v>
      </c>
      <c r="H113" s="216" t="s">
        <v>617</v>
      </c>
      <c r="I113" s="569"/>
      <c r="J113" s="294" t="str">
        <f>IF(ISBLANK(HLOOKUP(CaseName,CaseData,MATCH($G113,cases!$G$4:$G$2494,0),FALSE)),"",HLOOKUP(CaseName,CaseData,MATCH($G113,cases!$G$4:$G$2494,0),FALSE))</f>
        <v/>
      </c>
      <c r="K113" s="406">
        <f>(L121+L133/L23)*L20</f>
        <v>4.1015459157800973E-6</v>
      </c>
      <c r="L113" s="298">
        <f t="shared" si="5"/>
        <v>4.1015459157800973E-6</v>
      </c>
      <c r="M113" s="228" t="s">
        <v>1041</v>
      </c>
      <c r="N113" s="384"/>
      <c r="O113" s="262"/>
      <c r="P113" s="215"/>
    </row>
    <row r="114" spans="1:16" ht="12.75" customHeight="1" x14ac:dyDescent="0.3">
      <c r="A114" s="216" t="s">
        <v>1166</v>
      </c>
      <c r="B114" s="228"/>
      <c r="C114" s="228"/>
      <c r="D114" s="228"/>
      <c r="E114" s="228"/>
      <c r="F114" s="228"/>
      <c r="G114" s="216" t="s">
        <v>1167</v>
      </c>
      <c r="H114" s="216" t="s">
        <v>617</v>
      </c>
      <c r="I114" s="569"/>
      <c r="J114" s="294" t="str">
        <f>IF(ISBLANK(HLOOKUP(CaseName,CaseData,MATCH($G114,cases!$G$4:$G$2494,0),FALSE)),"",HLOOKUP(CaseName,CaseData,MATCH($G114,cases!$G$4:$G$2494,0),FALSE))</f>
        <v/>
      </c>
      <c r="K114" s="406">
        <f>(L121+L133/L23)*L21</f>
        <v>6.8359098596334965E-7</v>
      </c>
      <c r="L114" s="298">
        <f t="shared" si="5"/>
        <v>6.8359098596334965E-7</v>
      </c>
      <c r="M114" s="228" t="s">
        <v>1041</v>
      </c>
      <c r="N114" s="384"/>
      <c r="O114" s="262"/>
      <c r="P114" s="215"/>
    </row>
    <row r="115" spans="1:16" ht="12.75" customHeight="1" x14ac:dyDescent="0.3">
      <c r="A115" s="216" t="s">
        <v>1168</v>
      </c>
      <c r="B115" s="228"/>
      <c r="C115" s="228"/>
      <c r="D115" s="228"/>
      <c r="E115" s="228"/>
      <c r="F115" s="228"/>
      <c r="G115" s="216" t="s">
        <v>1169</v>
      </c>
      <c r="H115" s="216" t="s">
        <v>617</v>
      </c>
      <c r="I115" s="569"/>
      <c r="J115" s="294" t="str">
        <f>IF(ISBLANK(HLOOKUP(CaseName,CaseData,MATCH($G115,cases!$G$4:$G$2494,0),FALSE)),"",HLOOKUP(CaseName,CaseData,MATCH($G115,cases!$G$4:$G$2494,0),FALSE))</f>
        <v/>
      </c>
      <c r="K115" s="406">
        <f>L134/L24</f>
        <v>5.3330729970194079E-28</v>
      </c>
      <c r="L115" s="298">
        <f t="shared" si="5"/>
        <v>5.3330729970194079E-28</v>
      </c>
      <c r="M115" s="228" t="s">
        <v>1041</v>
      </c>
      <c r="N115" s="384"/>
      <c r="O115" s="262"/>
      <c r="P115" s="215"/>
    </row>
    <row r="116" spans="1:16" ht="12.75" customHeight="1" x14ac:dyDescent="0.3">
      <c r="A116" s="216" t="s">
        <v>1170</v>
      </c>
      <c r="B116" s="228"/>
      <c r="C116" s="228"/>
      <c r="D116" s="228"/>
      <c r="E116" s="228"/>
      <c r="F116" s="228"/>
      <c r="G116" s="216" t="s">
        <v>1171</v>
      </c>
      <c r="H116" s="216" t="s">
        <v>617</v>
      </c>
      <c r="I116" s="569"/>
      <c r="J116" s="294" t="str">
        <f>IF(ISBLANK(HLOOKUP(CaseName,CaseData,MATCH($G116,cases!$G$4:$G$2494,0),FALSE)),"",HLOOKUP(CaseName,CaseData,MATCH($G116,cases!$G$4:$G$2494,0),FALSE))</f>
        <v/>
      </c>
      <c r="K116" s="406">
        <f>L135/L25</f>
        <v>7.6798080729956804E-27</v>
      </c>
      <c r="L116" s="298">
        <f t="shared" si="5"/>
        <v>7.6798080729956804E-27</v>
      </c>
      <c r="M116" s="228" t="s">
        <v>1041</v>
      </c>
      <c r="N116" s="384"/>
      <c r="O116" s="262"/>
      <c r="P116" s="215"/>
    </row>
    <row r="117" spans="1:16" ht="12.75" customHeight="1" x14ac:dyDescent="0.3">
      <c r="A117" s="216" t="s">
        <v>1172</v>
      </c>
      <c r="B117" s="228"/>
      <c r="C117" s="228"/>
      <c r="D117" s="228"/>
      <c r="E117" s="228"/>
      <c r="F117" s="228"/>
      <c r="G117" s="216" t="s">
        <v>1173</v>
      </c>
      <c r="H117" s="216" t="s">
        <v>617</v>
      </c>
      <c r="I117" s="569"/>
      <c r="J117" s="294" t="str">
        <f>IF(ISBLANK(HLOOKUP(CaseName,CaseData,MATCH($G117,cases!$G$4:$G$2494,0),FALSE)),"",HLOOKUP(CaseName,CaseData,MATCH($G117,cases!$G$4:$G$2494,0),FALSE))</f>
        <v/>
      </c>
      <c r="K117" s="406">
        <f>L136/L26</f>
        <v>3.7876162473645788E-27</v>
      </c>
      <c r="L117" s="298">
        <f t="shared" si="5"/>
        <v>3.7876162473645788E-27</v>
      </c>
      <c r="M117" s="228" t="s">
        <v>1041</v>
      </c>
      <c r="N117" s="384"/>
      <c r="O117" s="262"/>
      <c r="P117" s="215"/>
    </row>
    <row r="118" spans="1:16" ht="12.75" customHeight="1" x14ac:dyDescent="0.3">
      <c r="A118" s="216" t="s">
        <v>1174</v>
      </c>
      <c r="B118" s="228"/>
      <c r="C118" s="228"/>
      <c r="D118" s="228"/>
      <c r="E118" s="228"/>
      <c r="F118" s="228"/>
      <c r="G118" s="216" t="s">
        <v>1175</v>
      </c>
      <c r="H118" s="216" t="s">
        <v>617</v>
      </c>
      <c r="I118" s="569"/>
      <c r="J118" s="294" t="str">
        <f>IF(ISBLANK(HLOOKUP(CaseName,CaseData,MATCH($G118,cases!$G$4:$G$2494,0),FALSE)),"",HLOOKUP(CaseName,CaseData,MATCH($G118,cases!$G$4:$G$2494,0),FALSE))</f>
        <v/>
      </c>
      <c r="K118" s="407">
        <f>L139/L30</f>
        <v>1.0567882828234127E-29</v>
      </c>
      <c r="L118" s="298">
        <f t="shared" si="5"/>
        <v>1.0567882828234127E-29</v>
      </c>
      <c r="M118" s="228" t="s">
        <v>1041</v>
      </c>
      <c r="N118" s="384"/>
      <c r="O118" s="262"/>
      <c r="P118" s="215"/>
    </row>
    <row r="119" spans="1:16" ht="12.75" customHeight="1" x14ac:dyDescent="0.3">
      <c r="A119" s="216" t="s">
        <v>1176</v>
      </c>
      <c r="B119" s="228"/>
      <c r="C119" s="228"/>
      <c r="D119" s="228"/>
      <c r="E119" s="228"/>
      <c r="F119" s="228"/>
      <c r="G119" s="216" t="s">
        <v>1177</v>
      </c>
      <c r="H119" s="216" t="s">
        <v>617</v>
      </c>
      <c r="I119" s="569"/>
      <c r="J119" s="294" t="str">
        <f>IF(ISBLANK(HLOOKUP(CaseName,CaseData,MATCH($G119,cases!$G$4:$G$2494,0),FALSE)),"",HLOOKUP(CaseName,CaseData,MATCH($G119,cases!$G$4:$G$2494,0),FALSE))</f>
        <v/>
      </c>
      <c r="K119" s="407">
        <f>L140/L31</f>
        <v>4.8089598245944533E-30</v>
      </c>
      <c r="L119" s="298">
        <f t="shared" si="5"/>
        <v>4.8089598245944533E-30</v>
      </c>
      <c r="M119" s="228" t="s">
        <v>1041</v>
      </c>
      <c r="N119" s="384"/>
      <c r="O119" s="262"/>
      <c r="P119" s="215"/>
    </row>
    <row r="120" spans="1:16" ht="12.75" customHeight="1" x14ac:dyDescent="0.3">
      <c r="A120" s="216" t="s">
        <v>1178</v>
      </c>
      <c r="B120" s="228"/>
      <c r="C120" s="228"/>
      <c r="D120" s="228"/>
      <c r="E120" s="228"/>
      <c r="F120" s="228"/>
      <c r="G120" s="216" t="s">
        <v>1179</v>
      </c>
      <c r="H120" s="216" t="s">
        <v>617</v>
      </c>
      <c r="I120" s="569"/>
      <c r="J120" s="294" t="str">
        <f>IF(ISBLANK(HLOOKUP(CaseName,CaseData,MATCH($G120,cases!$G$4:$G$2494,0),FALSE)),"",HLOOKUP(CaseName,CaseData,MATCH($G120,cases!$G$4:$G$2494,0),FALSE))</f>
        <v/>
      </c>
      <c r="K120" s="407">
        <f>L141/L32</f>
        <v>1.0567882828234127E-29</v>
      </c>
      <c r="L120" s="298">
        <f t="shared" si="5"/>
        <v>1.0567882828234127E-29</v>
      </c>
      <c r="M120" s="228" t="s">
        <v>1041</v>
      </c>
      <c r="N120" s="384"/>
      <c r="O120" s="262"/>
      <c r="P120" s="215"/>
    </row>
    <row r="121" spans="1:16" ht="12.75" customHeight="1" x14ac:dyDescent="0.3">
      <c r="A121" s="216"/>
      <c r="B121" s="216" t="s">
        <v>1180</v>
      </c>
      <c r="C121" s="228"/>
      <c r="D121" s="228"/>
      <c r="E121" s="228"/>
      <c r="F121" s="228"/>
      <c r="G121" s="641" t="s">
        <v>1181</v>
      </c>
      <c r="H121" s="216" t="s">
        <v>617</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3">
      <c r="A122" s="216"/>
      <c r="B122" s="216"/>
      <c r="C122" s="228" t="s">
        <v>1182</v>
      </c>
      <c r="D122" s="228"/>
      <c r="E122" s="228"/>
      <c r="F122" s="228"/>
      <c r="G122" s="641" t="s">
        <v>1183</v>
      </c>
      <c r="H122" s="216" t="s">
        <v>617</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3">
      <c r="A123" s="216"/>
      <c r="B123" s="216"/>
      <c r="C123" s="216"/>
      <c r="D123" s="216" t="s">
        <v>1184</v>
      </c>
      <c r="E123" s="228"/>
      <c r="F123" s="228"/>
      <c r="G123" s="216" t="s">
        <v>1185</v>
      </c>
      <c r="H123" s="216" t="s">
        <v>617</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1041</v>
      </c>
      <c r="N123" s="228"/>
      <c r="O123" s="262"/>
      <c r="P123" s="215"/>
    </row>
    <row r="124" spans="1:16" ht="12.75" customHeight="1" x14ac:dyDescent="0.3">
      <c r="A124" s="216"/>
      <c r="B124" s="216"/>
      <c r="C124" s="216"/>
      <c r="D124" s="216" t="s">
        <v>1186</v>
      </c>
      <c r="E124" s="228"/>
      <c r="F124" s="228"/>
      <c r="G124" s="216" t="s">
        <v>1187</v>
      </c>
      <c r="H124" s="216" t="s">
        <v>617</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1041</v>
      </c>
      <c r="N124" s="228"/>
      <c r="O124" s="262"/>
      <c r="P124" s="215"/>
    </row>
    <row r="125" spans="1:16" ht="12.75" customHeight="1" x14ac:dyDescent="0.3">
      <c r="A125" s="216"/>
      <c r="B125" s="216"/>
      <c r="C125" s="228"/>
      <c r="D125" s="228" t="s">
        <v>1188</v>
      </c>
      <c r="E125" s="228"/>
      <c r="F125" s="228"/>
      <c r="G125" s="228" t="s">
        <v>1189</v>
      </c>
      <c r="H125" s="228" t="s">
        <v>1190</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1045</v>
      </c>
      <c r="N125" s="228"/>
      <c r="O125" s="262"/>
      <c r="P125" s="215"/>
    </row>
    <row r="126" spans="1:16" ht="12.75" customHeight="1" x14ac:dyDescent="0.3">
      <c r="A126" s="216"/>
      <c r="B126" s="216"/>
      <c r="C126" s="228"/>
      <c r="D126" s="228" t="s">
        <v>1191</v>
      </c>
      <c r="E126" s="228"/>
      <c r="F126" s="228"/>
      <c r="G126" s="228" t="s">
        <v>1192</v>
      </c>
      <c r="H126" s="228" t="s">
        <v>1190</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1045</v>
      </c>
      <c r="N126" s="228"/>
      <c r="O126" s="262"/>
      <c r="P126" s="215"/>
    </row>
    <row r="127" spans="1:16" ht="12.75" customHeight="1" x14ac:dyDescent="0.3">
      <c r="A127" s="216"/>
      <c r="B127" s="216"/>
      <c r="C127" s="216" t="s">
        <v>1193</v>
      </c>
      <c r="D127" s="228"/>
      <c r="E127" s="228"/>
      <c r="F127" s="228"/>
      <c r="G127" s="578" t="s">
        <v>1194</v>
      </c>
      <c r="H127" s="578" t="s">
        <v>1195</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690</v>
      </c>
      <c r="N127" s="228"/>
      <c r="O127" s="262"/>
      <c r="P127" s="215"/>
    </row>
    <row r="128" spans="1:16" ht="12.75" customHeight="1" x14ac:dyDescent="0.3">
      <c r="A128" s="216"/>
      <c r="B128" s="216"/>
      <c r="C128" s="216" t="s">
        <v>1196</v>
      </c>
      <c r="D128" s="228"/>
      <c r="E128" s="228"/>
      <c r="F128" s="228"/>
      <c r="G128" s="216" t="s">
        <v>1197</v>
      </c>
      <c r="H128" s="578" t="s">
        <v>1195</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690</v>
      </c>
      <c r="N128" s="228"/>
      <c r="O128" s="262"/>
      <c r="P128" s="215"/>
    </row>
    <row r="129" spans="1:16" ht="12.75" customHeight="1" x14ac:dyDescent="0.3">
      <c r="A129" s="216"/>
      <c r="B129" s="216"/>
      <c r="C129" s="216" t="s">
        <v>1198</v>
      </c>
      <c r="D129" s="228"/>
      <c r="E129" s="228"/>
      <c r="F129" s="228"/>
      <c r="G129" s="216" t="s">
        <v>1199</v>
      </c>
      <c r="H129" s="578" t="s">
        <v>1195</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690</v>
      </c>
      <c r="N129" s="228"/>
      <c r="O129" s="262"/>
      <c r="P129" s="215"/>
    </row>
    <row r="130" spans="1:16" ht="12.75" customHeight="1" x14ac:dyDescent="0.3">
      <c r="A130" s="216"/>
      <c r="B130" s="216"/>
      <c r="C130" s="228"/>
      <c r="D130" s="578" t="s">
        <v>1200</v>
      </c>
      <c r="E130" s="578"/>
      <c r="F130" s="578"/>
      <c r="G130" s="578" t="s">
        <v>1201</v>
      </c>
      <c r="H130" s="578" t="s">
        <v>1195</v>
      </c>
      <c r="I130" s="573"/>
      <c r="J130" s="294" t="str">
        <f>IF(ISBLANK(HLOOKUP(CaseName,CaseData,MATCH($G130,cases!$G$4:$G$2494,0),FALSE)),"",HLOOKUP(CaseName,CaseData,MATCH($G130,cases!$G$4:$G$2494,0),FALSE))</f>
        <v/>
      </c>
      <c r="K130" s="750">
        <v>1E-3</v>
      </c>
      <c r="L130" s="298">
        <f t="shared" si="6"/>
        <v>1E-3</v>
      </c>
      <c r="M130" s="228" t="s">
        <v>690</v>
      </c>
      <c r="N130" s="384"/>
      <c r="O130" s="262"/>
      <c r="P130" s="215"/>
    </row>
    <row r="131" spans="1:16" ht="12.75" customHeight="1" x14ac:dyDescent="0.3">
      <c r="A131" s="216"/>
      <c r="B131" s="216"/>
      <c r="C131" s="228"/>
      <c r="D131" s="216" t="s">
        <v>1202</v>
      </c>
      <c r="E131" s="228"/>
      <c r="F131" s="228"/>
      <c r="G131" s="578" t="s">
        <v>1203</v>
      </c>
      <c r="H131" s="216" t="s">
        <v>291</v>
      </c>
      <c r="I131" s="573"/>
      <c r="J131" s="294" t="str">
        <f>IF(ISBLANK(HLOOKUP(CaseName,CaseData,MATCH($G131,cases!$G$4:$G$2494,0),FALSE)),"",HLOOKUP(CaseName,CaseData,MATCH($G131,cases!$G$4:$G$2494,0),FALSE))</f>
        <v/>
      </c>
      <c r="K131" s="407">
        <v>200000</v>
      </c>
      <c r="L131" s="298">
        <f t="shared" si="6"/>
        <v>200000</v>
      </c>
      <c r="M131" s="216" t="s">
        <v>292</v>
      </c>
      <c r="N131" s="228"/>
      <c r="O131" s="262"/>
      <c r="P131" s="215"/>
    </row>
    <row r="132" spans="1:16" ht="12.75" customHeight="1" x14ac:dyDescent="0.3">
      <c r="A132" s="216"/>
      <c r="B132" s="216"/>
      <c r="C132" s="216" t="s">
        <v>1204</v>
      </c>
      <c r="D132" s="216"/>
      <c r="E132" s="228"/>
      <c r="F132" s="228"/>
      <c r="G132" s="641" t="s">
        <v>1205</v>
      </c>
      <c r="H132" s="216" t="s">
        <v>1195</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3">
      <c r="A133" s="216"/>
      <c r="B133" s="216"/>
      <c r="C133" s="216" t="s">
        <v>1206</v>
      </c>
      <c r="D133" s="216"/>
      <c r="E133" s="228"/>
      <c r="F133" s="228"/>
      <c r="G133" s="641" t="s">
        <v>1207</v>
      </c>
      <c r="H133" s="216" t="s">
        <v>1195</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3">
      <c r="A134" s="216"/>
      <c r="B134" s="216"/>
      <c r="C134" s="216" t="s">
        <v>1208</v>
      </c>
      <c r="D134" s="216"/>
      <c r="E134" s="228"/>
      <c r="F134" s="228"/>
      <c r="G134" s="641" t="s">
        <v>1209</v>
      </c>
      <c r="H134" s="216" t="s">
        <v>1195</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1210</v>
      </c>
      <c r="N134" s="228"/>
      <c r="O134" s="262"/>
      <c r="P134" s="215"/>
    </row>
    <row r="135" spans="1:16" ht="12.75" customHeight="1" x14ac:dyDescent="0.3">
      <c r="A135" s="216"/>
      <c r="B135" s="216"/>
      <c r="C135" s="216" t="s">
        <v>1211</v>
      </c>
      <c r="D135" s="216"/>
      <c r="E135" s="228"/>
      <c r="F135" s="228"/>
      <c r="G135" s="641" t="s">
        <v>1212</v>
      </c>
      <c r="H135" s="216" t="s">
        <v>1195</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1210</v>
      </c>
      <c r="N135" s="228"/>
      <c r="O135" s="262"/>
      <c r="P135" s="215"/>
    </row>
    <row r="136" spans="1:16" ht="12.75" customHeight="1" x14ac:dyDescent="0.3">
      <c r="A136" s="216"/>
      <c r="B136" s="216"/>
      <c r="C136" s="216" t="s">
        <v>1213</v>
      </c>
      <c r="D136" s="216"/>
      <c r="E136" s="228"/>
      <c r="F136" s="228"/>
      <c r="G136" s="641" t="s">
        <v>1214</v>
      </c>
      <c r="H136" s="216" t="s">
        <v>1195</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1210</v>
      </c>
      <c r="N136" s="228"/>
      <c r="O136" s="262"/>
      <c r="P136" s="215"/>
    </row>
    <row r="137" spans="1:16" ht="12.75" customHeight="1" x14ac:dyDescent="0.3">
      <c r="A137" s="216"/>
      <c r="B137" s="216"/>
      <c r="C137" s="228"/>
      <c r="D137" s="228" t="s">
        <v>1215</v>
      </c>
      <c r="E137" s="578"/>
      <c r="F137" s="578"/>
      <c r="G137" s="228" t="s">
        <v>1216</v>
      </c>
      <c r="H137" s="578" t="s">
        <v>1195</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690</v>
      </c>
      <c r="N137" s="228"/>
      <c r="O137" s="262"/>
      <c r="P137" s="215"/>
    </row>
    <row r="138" spans="1:16" ht="12.75" customHeight="1" x14ac:dyDescent="0.3">
      <c r="A138" s="216"/>
      <c r="B138" s="216"/>
      <c r="C138" s="228"/>
      <c r="D138" s="228" t="s">
        <v>1217</v>
      </c>
      <c r="E138" s="578"/>
      <c r="F138" s="578"/>
      <c r="G138" s="228" t="s">
        <v>1218</v>
      </c>
      <c r="H138" s="578" t="s">
        <v>1195</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690</v>
      </c>
      <c r="N138" s="228"/>
      <c r="O138" s="262"/>
      <c r="P138" s="215"/>
    </row>
    <row r="139" spans="1:16" ht="12.75" customHeight="1" x14ac:dyDescent="0.3">
      <c r="A139" s="216"/>
      <c r="B139" s="216" t="s">
        <v>1219</v>
      </c>
      <c r="C139" s="228"/>
      <c r="D139" s="228"/>
      <c r="E139" s="578"/>
      <c r="F139" s="578"/>
      <c r="G139" s="641" t="s">
        <v>1220</v>
      </c>
      <c r="H139" s="216" t="s">
        <v>1195</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1210</v>
      </c>
      <c r="N139" s="228"/>
      <c r="O139" s="262"/>
      <c r="P139" s="215"/>
    </row>
    <row r="140" spans="1:16" ht="12.75" customHeight="1" x14ac:dyDescent="0.3">
      <c r="A140" s="216"/>
      <c r="B140" s="216" t="s">
        <v>1221</v>
      </c>
      <c r="C140" s="228"/>
      <c r="D140" s="228"/>
      <c r="E140" s="578"/>
      <c r="F140" s="578"/>
      <c r="G140" s="641" t="s">
        <v>1222</v>
      </c>
      <c r="H140" s="216" t="s">
        <v>1195</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1210</v>
      </c>
      <c r="N140" s="228"/>
      <c r="O140" s="262"/>
      <c r="P140" s="215"/>
    </row>
    <row r="141" spans="1:16" ht="12.75" customHeight="1" x14ac:dyDescent="0.3">
      <c r="A141" s="216"/>
      <c r="B141" s="216" t="s">
        <v>1223</v>
      </c>
      <c r="C141" s="228"/>
      <c r="D141" s="228"/>
      <c r="E141" s="578"/>
      <c r="F141" s="578"/>
      <c r="G141" s="641" t="s">
        <v>1224</v>
      </c>
      <c r="H141" s="216" t="s">
        <v>1195</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1210</v>
      </c>
      <c r="N141" s="228"/>
      <c r="O141" s="262"/>
      <c r="P141" s="215"/>
    </row>
    <row r="142" spans="1:16" ht="12.75" customHeight="1" x14ac:dyDescent="0.3">
      <c r="A142" s="216"/>
      <c r="B142" s="216"/>
      <c r="C142" s="228" t="s">
        <v>1225</v>
      </c>
      <c r="D142" s="228"/>
      <c r="E142" s="228"/>
      <c r="F142" s="578"/>
      <c r="G142" s="228" t="s">
        <v>1226</v>
      </c>
      <c r="H142" s="578" t="s">
        <v>1195</v>
      </c>
      <c r="I142" s="573"/>
      <c r="J142" s="294" t="str">
        <f>IF(ISBLANK(HLOOKUP(CaseName,CaseData,MATCH($G142,cases!$G$4:$G$2494,0),FALSE)),"",HLOOKUP(CaseName,CaseData,MATCH($G142,cases!$G$4:$G$2494,0),FALSE))</f>
        <v/>
      </c>
      <c r="K142" s="407">
        <f>0.43/(24*3600)/0.00475</f>
        <v>1.0477582846003899E-3</v>
      </c>
      <c r="L142" s="298">
        <f t="shared" si="6"/>
        <v>1.0477582846003899E-3</v>
      </c>
      <c r="M142" s="228" t="s">
        <v>690</v>
      </c>
      <c r="N142" s="228"/>
      <c r="O142" s="262"/>
      <c r="P142" s="215"/>
    </row>
    <row r="143" spans="1:16" ht="12.75" customHeight="1" x14ac:dyDescent="0.3">
      <c r="A143" s="216"/>
      <c r="B143" s="216"/>
      <c r="C143" s="228" t="s">
        <v>1227</v>
      </c>
      <c r="D143" s="228"/>
      <c r="E143" s="578"/>
      <c r="F143" s="578"/>
      <c r="G143" s="228" t="s">
        <v>1228</v>
      </c>
      <c r="H143" s="578" t="s">
        <v>1195</v>
      </c>
      <c r="I143" s="573"/>
      <c r="J143" s="294" t="str">
        <f>IF(ISBLANK(HLOOKUP(CaseName,CaseData,MATCH($G143,cases!$G$4:$G$2494,0),FALSE)),"",HLOOKUP(CaseName,CaseData,MATCH($G143,cases!$G$4:$G$2494,0),FALSE))</f>
        <v/>
      </c>
      <c r="K143" s="407">
        <f>0.1*L218</f>
        <v>4.0612619817811774E-22</v>
      </c>
      <c r="L143" s="298">
        <f t="shared" si="6"/>
        <v>4.0612619817811774E-22</v>
      </c>
      <c r="M143" s="228" t="s">
        <v>690</v>
      </c>
      <c r="N143" s="228"/>
      <c r="O143" s="262"/>
      <c r="P143" s="215"/>
    </row>
    <row r="144" spans="1:16" ht="12.75" customHeight="1" x14ac:dyDescent="0.3">
      <c r="A144" s="216"/>
      <c r="B144" s="216"/>
      <c r="C144" s="228" t="s">
        <v>1229</v>
      </c>
      <c r="D144" s="228"/>
      <c r="E144" s="578"/>
      <c r="F144" s="578"/>
      <c r="G144" s="216" t="s">
        <v>1230</v>
      </c>
      <c r="H144" s="228" t="s">
        <v>291</v>
      </c>
      <c r="I144" s="573"/>
      <c r="J144" s="294" t="str">
        <f>IF(ISBLANK(HLOOKUP(CaseName,CaseData,MATCH($G144,cases!$G$4:$G$2494,0),FALSE)),"",HLOOKUP(CaseName,CaseData,MATCH($G144,cases!$G$4:$G$2494,0),FALSE))</f>
        <v/>
      </c>
      <c r="K144" s="407">
        <f>(EXP((-1/0.1)*0)*(1/0.1)*L30/(1-EXP((-1/0.1)*L30)))</f>
        <v>1.2707470412683992</v>
      </c>
      <c r="L144" s="298">
        <f t="shared" si="6"/>
        <v>1.2707470412683992</v>
      </c>
      <c r="M144" s="228" t="s">
        <v>292</v>
      </c>
      <c r="N144" s="228" t="s">
        <v>1231</v>
      </c>
      <c r="O144" s="262"/>
      <c r="P144" s="215"/>
    </row>
    <row r="145" spans="1:17" ht="12.75" customHeight="1" x14ac:dyDescent="0.3">
      <c r="A145" s="216"/>
      <c r="B145" s="216"/>
      <c r="C145" s="228" t="s">
        <v>1229</v>
      </c>
      <c r="D145" s="228"/>
      <c r="E145" s="578"/>
      <c r="F145" s="578"/>
      <c r="G145" s="216" t="s">
        <v>1232</v>
      </c>
      <c r="H145" s="228" t="s">
        <v>291</v>
      </c>
      <c r="I145" s="573"/>
      <c r="J145" s="294" t="str">
        <f>IF(ISBLANK(HLOOKUP(CaseName,CaseData,MATCH($G145,cases!$G$4:$G$2494,0),FALSE)),"",HLOOKUP(CaseName,CaseData,MATCH($G145,cases!$G$4:$G$2494,0),FALSE))</f>
        <v/>
      </c>
      <c r="K145" s="407">
        <f>(EXP((-1/0.1)*0)*(1/0.1)*L31/(1-EXP((-1/0.1)*L31)))</f>
        <v>2.3130352854993315</v>
      </c>
      <c r="L145" s="298">
        <f t="shared" si="6"/>
        <v>2.3130352854993315</v>
      </c>
      <c r="M145" s="228" t="s">
        <v>292</v>
      </c>
      <c r="N145" s="228" t="s">
        <v>1231</v>
      </c>
      <c r="O145" s="262"/>
      <c r="P145" s="215"/>
      <c r="Q145" s="11"/>
    </row>
    <row r="146" spans="1:17" ht="12.75" customHeight="1" x14ac:dyDescent="0.3">
      <c r="A146" s="216"/>
      <c r="B146" s="216"/>
      <c r="C146" s="228" t="s">
        <v>1229</v>
      </c>
      <c r="D146" s="228"/>
      <c r="E146" s="578"/>
      <c r="F146" s="578"/>
      <c r="G146" s="216" t="s">
        <v>1233</v>
      </c>
      <c r="H146" s="228" t="s">
        <v>291</v>
      </c>
      <c r="I146" s="573"/>
      <c r="J146" s="294" t="str">
        <f>IF(ISBLANK(HLOOKUP(CaseName,CaseData,MATCH($G146,cases!$G$4:$G$2494,0),FALSE)),"",HLOOKUP(CaseName,CaseData,MATCH($G146,cases!$G$4:$G$2494,0),FALSE))</f>
        <v/>
      </c>
      <c r="K146" s="407">
        <f>(EXP((-1/0.1)*0)*(1/0.1)*L32/(1-EXP((-1/0.1)*L32)))</f>
        <v>1.2707470412683992</v>
      </c>
      <c r="L146" s="298">
        <f t="shared" si="6"/>
        <v>1.2707470412683992</v>
      </c>
      <c r="M146" s="228" t="s">
        <v>292</v>
      </c>
      <c r="N146" s="228" t="s">
        <v>1231</v>
      </c>
      <c r="O146" s="262"/>
      <c r="P146" s="215"/>
      <c r="Q146" s="11"/>
    </row>
    <row r="147" spans="1:17" ht="12.75" customHeight="1" x14ac:dyDescent="0.3">
      <c r="I147" s="611"/>
      <c r="O147" s="19"/>
      <c r="P147" s="11"/>
      <c r="Q147" s="11"/>
    </row>
    <row r="148" spans="1:17" s="386" customFormat="1" ht="12.75" customHeight="1" x14ac:dyDescent="0.3">
      <c r="A148" s="567" t="s">
        <v>1234</v>
      </c>
      <c r="B148" s="566"/>
      <c r="C148" s="566"/>
      <c r="D148" s="566"/>
      <c r="E148" s="566"/>
      <c r="F148" s="566"/>
      <c r="G148" s="567" t="s">
        <v>1235</v>
      </c>
      <c r="H148" s="567" t="s">
        <v>617</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1041</v>
      </c>
      <c r="N148" s="566" t="s">
        <v>1236</v>
      </c>
      <c r="O148" s="609"/>
      <c r="P148" s="610"/>
      <c r="Q148" s="639"/>
    </row>
    <row r="149" spans="1:17" ht="12.75" customHeight="1" x14ac:dyDescent="0.3">
      <c r="A149" s="216" t="s">
        <v>1237</v>
      </c>
      <c r="B149" s="228"/>
      <c r="C149" s="228"/>
      <c r="D149" s="228"/>
      <c r="E149" s="228"/>
      <c r="F149" s="228"/>
      <c r="G149" s="216" t="s">
        <v>1238</v>
      </c>
      <c r="H149" s="216" t="s">
        <v>617</v>
      </c>
      <c r="I149" s="569"/>
      <c r="J149" s="294" t="str">
        <f>IF(ISBLANK(HLOOKUP(CaseName,CaseData,MATCH($G149,cases!$G$4:$G$2494,0),FALSE)),"",HLOOKUP(CaseName,CaseData,MATCH($G149,cases!$G$4:$G$2494,0),FALSE))</f>
        <v/>
      </c>
      <c r="K149" s="407">
        <f>(L156+L169)/L25</f>
        <v>5.7649508839197885E-6</v>
      </c>
      <c r="L149" s="298">
        <f t="shared" si="7"/>
        <v>5.7649508839197885E-6</v>
      </c>
      <c r="M149" s="228" t="s">
        <v>1041</v>
      </c>
      <c r="N149" s="228"/>
      <c r="O149" s="945"/>
      <c r="P149" s="946"/>
      <c r="Q149" s="947"/>
    </row>
    <row r="150" spans="1:17" ht="12.75" customHeight="1" x14ac:dyDescent="0.3">
      <c r="A150" s="216" t="s">
        <v>1239</v>
      </c>
      <c r="B150" s="228"/>
      <c r="C150" s="228"/>
      <c r="D150" s="228"/>
      <c r="E150" s="228"/>
      <c r="F150" s="228"/>
      <c r="G150" s="216" t="s">
        <v>1240</v>
      </c>
      <c r="H150" s="216" t="s">
        <v>617</v>
      </c>
      <c r="I150" s="569"/>
      <c r="J150" s="294" t="str">
        <f>IF(ISBLANK(HLOOKUP(CaseName,CaseData,MATCH($G150,cases!$G$4:$G$2494,0),FALSE)),"",HLOOKUP(CaseName,CaseData,MATCH($G150,cases!$G$4:$G$2494,0),FALSE))</f>
        <v/>
      </c>
      <c r="K150" s="407">
        <f>(L158+L171)/L26</f>
        <v>9.4927701254775779E-7</v>
      </c>
      <c r="L150" s="298">
        <f t="shared" si="7"/>
        <v>9.4927701254775779E-7</v>
      </c>
      <c r="M150" s="228" t="s">
        <v>1041</v>
      </c>
      <c r="N150" s="228"/>
      <c r="O150" s="945"/>
      <c r="P150" s="946"/>
      <c r="Q150" s="947"/>
    </row>
    <row r="151" spans="1:17" s="386" customFormat="1" ht="12.75" customHeight="1" x14ac:dyDescent="0.3">
      <c r="A151" s="567" t="s">
        <v>1241</v>
      </c>
      <c r="B151" s="566"/>
      <c r="C151" s="566"/>
      <c r="D151" s="566"/>
      <c r="E151" s="566"/>
      <c r="F151" s="566"/>
      <c r="G151" s="567" t="s">
        <v>1242</v>
      </c>
      <c r="H151" s="567" t="s">
        <v>617</v>
      </c>
      <c r="I151" s="569"/>
      <c r="J151" s="294" t="str">
        <f>IF(ISBLANK(HLOOKUP(CaseName,CaseData,MATCH($G151,cases!$G$4:$G$2494,0),FALSE)),"",HLOOKUP(CaseName,CaseData,MATCH($G151,cases!$G$4:$G$2494,0),FALSE))</f>
        <v/>
      </c>
      <c r="K151" s="576">
        <f>(L155)/L27</f>
        <v>0</v>
      </c>
      <c r="L151" s="298">
        <f t="shared" si="7"/>
        <v>0</v>
      </c>
      <c r="M151" s="566" t="s">
        <v>1041</v>
      </c>
      <c r="N151" s="566" t="s">
        <v>1243</v>
      </c>
      <c r="O151" s="609"/>
      <c r="P151" s="610"/>
      <c r="Q151" s="639"/>
    </row>
    <row r="152" spans="1:17" ht="12.75" customHeight="1" x14ac:dyDescent="0.3">
      <c r="A152" s="216" t="s">
        <v>1244</v>
      </c>
      <c r="B152" s="228"/>
      <c r="C152" s="228"/>
      <c r="D152" s="228"/>
      <c r="E152" s="228"/>
      <c r="F152" s="228"/>
      <c r="G152" s="216" t="s">
        <v>1245</v>
      </c>
      <c r="H152" s="216" t="s">
        <v>617</v>
      </c>
      <c r="I152" s="569"/>
      <c r="J152" s="294" t="str">
        <f>IF(ISBLANK(HLOOKUP(CaseName,CaseData,MATCH($G152,cases!$G$4:$G$2494,0),FALSE)),"",HLOOKUP(CaseName,CaseData,MATCH($G152,cases!$G$4:$G$2494,0),FALSE))</f>
        <v/>
      </c>
      <c r="K152" s="407">
        <f>(L157+L170)/L28</f>
        <v>2.6553653044301143E-8</v>
      </c>
      <c r="L152" s="298">
        <f t="shared" si="7"/>
        <v>2.6553653044301143E-8</v>
      </c>
      <c r="M152" s="228" t="s">
        <v>1041</v>
      </c>
      <c r="N152" s="228"/>
      <c r="O152" s="945"/>
      <c r="P152" s="946"/>
      <c r="Q152" s="947"/>
    </row>
    <row r="153" spans="1:17" ht="12.75" customHeight="1" x14ac:dyDescent="0.3">
      <c r="A153" s="216" t="s">
        <v>1246</v>
      </c>
      <c r="B153" s="228"/>
      <c r="C153" s="228"/>
      <c r="D153" s="228"/>
      <c r="E153" s="228"/>
      <c r="F153" s="228"/>
      <c r="G153" s="216" t="s">
        <v>1247</v>
      </c>
      <c r="H153" s="216" t="s">
        <v>617</v>
      </c>
      <c r="I153" s="569"/>
      <c r="J153" s="294" t="str">
        <f>IF(ISBLANK(HLOOKUP(CaseName,CaseData,MATCH($G153,cases!$G$4:$G$2494,0),FALSE)),"",HLOOKUP(CaseName,CaseData,MATCH($G153,cases!$G$4:$G$2494,0),FALSE))</f>
        <v/>
      </c>
      <c r="K153" s="407">
        <f>(L159+L172)/L29</f>
        <v>8.9277819513144377E-9</v>
      </c>
      <c r="L153" s="298">
        <f t="shared" si="7"/>
        <v>8.9277819513144377E-9</v>
      </c>
      <c r="M153" s="228" t="s">
        <v>1041</v>
      </c>
      <c r="N153" s="228"/>
      <c r="O153" s="945"/>
      <c r="P153" s="946"/>
      <c r="Q153" s="947"/>
    </row>
    <row r="154" spans="1:17" s="386" customFormat="1" ht="12.75" customHeight="1" x14ac:dyDescent="0.3">
      <c r="A154" s="567"/>
      <c r="B154" s="567" t="s">
        <v>1248</v>
      </c>
      <c r="C154" s="566"/>
      <c r="D154" s="566"/>
      <c r="E154" s="566"/>
      <c r="F154" s="566"/>
      <c r="G154" s="567" t="s">
        <v>1249</v>
      </c>
      <c r="H154" s="679" t="s">
        <v>1195</v>
      </c>
      <c r="I154" s="569"/>
      <c r="J154" s="294" t="str">
        <f>IF(ISBLANK(HLOOKUP(CaseName,CaseData,MATCH($G154,cases!$G$4:$G$2494,0),FALSE)),"",HLOOKUP(CaseName,CaseData,MATCH($G154,cases!$G$4:$G$2494,0),FALSE))</f>
        <v/>
      </c>
      <c r="K154" s="576">
        <f>L163*(1-L70)</f>
        <v>1.3395422463971426E-6</v>
      </c>
      <c r="L154" s="298">
        <f t="shared" si="7"/>
        <v>1.3395422463971426E-6</v>
      </c>
      <c r="M154" s="566" t="s">
        <v>1250</v>
      </c>
      <c r="N154" s="566"/>
      <c r="O154" s="609"/>
      <c r="P154" s="610"/>
      <c r="Q154" s="639"/>
    </row>
    <row r="155" spans="1:17" s="386" customFormat="1" ht="12.75" customHeight="1" x14ac:dyDescent="0.3">
      <c r="A155" s="567"/>
      <c r="B155" s="567" t="s">
        <v>1251</v>
      </c>
      <c r="C155" s="566"/>
      <c r="D155" s="566"/>
      <c r="E155" s="566"/>
      <c r="F155" s="566"/>
      <c r="G155" s="567" t="s">
        <v>1252</v>
      </c>
      <c r="H155" s="679" t="s">
        <v>1195</v>
      </c>
      <c r="I155" s="569"/>
      <c r="J155" s="294" t="str">
        <f>IF(ISBLANK(HLOOKUP(CaseName,CaseData,MATCH($G155,cases!$G$4:$G$2494,0),FALSE)),"",HLOOKUP(CaseName,CaseData,MATCH($G155,cases!$G$4:$G$2494,0),FALSE))</f>
        <v/>
      </c>
      <c r="K155" s="576">
        <f>L160-L164</f>
        <v>0</v>
      </c>
      <c r="L155" s="298">
        <f t="shared" si="7"/>
        <v>0</v>
      </c>
      <c r="M155" s="566" t="s">
        <v>1250</v>
      </c>
      <c r="N155" s="566"/>
      <c r="O155" s="609"/>
      <c r="P155" s="610"/>
      <c r="Q155" s="639"/>
    </row>
    <row r="156" spans="1:17" ht="12.75" customHeight="1" x14ac:dyDescent="0.3">
      <c r="A156" s="216"/>
      <c r="B156" s="216" t="s">
        <v>1248</v>
      </c>
      <c r="C156" s="228"/>
      <c r="D156" s="228"/>
      <c r="E156" s="228"/>
      <c r="F156" s="228"/>
      <c r="G156" s="641" t="s">
        <v>1253</v>
      </c>
      <c r="H156" s="578" t="s">
        <v>1195</v>
      </c>
      <c r="I156" s="569"/>
      <c r="J156" s="294" t="str">
        <f>IF(ISBLANK(HLOOKUP(CaseName,CaseData,MATCH($G156,cases!$G$4:$G$2494,0),FALSE)),"",HLOOKUP(CaseName,CaseData,MATCH($G156,cases!$G$4:$G$2494,0),FALSE))</f>
        <v/>
      </c>
      <c r="K156" s="407">
        <f>L163*(1-L74)</f>
        <v>1.7283511433026612E-5</v>
      </c>
      <c r="L156" s="298">
        <f t="shared" si="7"/>
        <v>1.7283511433026612E-5</v>
      </c>
      <c r="M156" s="228" t="s">
        <v>1250</v>
      </c>
      <c r="N156" s="228"/>
      <c r="O156" s="945"/>
      <c r="P156" s="946"/>
      <c r="Q156" s="947"/>
    </row>
    <row r="157" spans="1:17" ht="12.75" customHeight="1" x14ac:dyDescent="0.3">
      <c r="A157" s="216"/>
      <c r="B157" s="216" t="s">
        <v>1251</v>
      </c>
      <c r="C157" s="228"/>
      <c r="D157" s="228"/>
      <c r="E157" s="228"/>
      <c r="F157" s="228"/>
      <c r="G157" s="641" t="s">
        <v>1254</v>
      </c>
      <c r="H157" s="578" t="s">
        <v>1195</v>
      </c>
      <c r="I157" s="569"/>
      <c r="J157" s="294" t="str">
        <f>IF(ISBLANK(HLOOKUP(CaseName,CaseData,MATCH($G157,cases!$G$4:$G$2494,0),FALSE)),"",HLOOKUP(CaseName,CaseData,MATCH($G157,cases!$G$4:$G$2494,0),FALSE))</f>
        <v/>
      </c>
      <c r="K157" s="407">
        <f>L161-L165</f>
        <v>7.954515271587726E-10</v>
      </c>
      <c r="L157" s="298">
        <f t="shared" si="7"/>
        <v>7.954515271587726E-10</v>
      </c>
      <c r="M157" s="228" t="s">
        <v>1250</v>
      </c>
      <c r="N157" s="228"/>
      <c r="O157" s="945"/>
      <c r="P157" s="946"/>
      <c r="Q157" s="947"/>
    </row>
    <row r="158" spans="1:17" ht="12.75" customHeight="1" x14ac:dyDescent="0.3">
      <c r="A158" s="216"/>
      <c r="B158" s="216" t="s">
        <v>1255</v>
      </c>
      <c r="C158" s="228"/>
      <c r="D158" s="228"/>
      <c r="E158" s="228"/>
      <c r="F158" s="228"/>
      <c r="G158" s="641" t="s">
        <v>1256</v>
      </c>
      <c r="H158" s="578" t="s">
        <v>1195</v>
      </c>
      <c r="I158" s="569"/>
      <c r="J158" s="294" t="str">
        <f>IF(ISBLANK(HLOOKUP(CaseName,CaseData,MATCH($G158,cases!$G$4:$G$2494,0),FALSE)),"",HLOOKUP(CaseName,CaseData,MATCH($G158,cases!$G$4:$G$2494,0),FALSE))</f>
        <v/>
      </c>
      <c r="K158" s="407">
        <f>L163*(1-L78)</f>
        <v>9.4741254823090675E-6</v>
      </c>
      <c r="L158" s="298">
        <f t="shared" si="7"/>
        <v>9.4741254823090675E-6</v>
      </c>
      <c r="M158" s="228" t="s">
        <v>1250</v>
      </c>
      <c r="N158" s="228"/>
      <c r="O158" s="945"/>
      <c r="P158" s="946"/>
      <c r="Q158" s="947"/>
    </row>
    <row r="159" spans="1:17" ht="12.75" customHeight="1" x14ac:dyDescent="0.3">
      <c r="A159" s="216"/>
      <c r="B159" s="216" t="s">
        <v>1257</v>
      </c>
      <c r="C159" s="228"/>
      <c r="D159" s="228"/>
      <c r="E159" s="228"/>
      <c r="F159" s="228"/>
      <c r="G159" s="641" t="s">
        <v>1258</v>
      </c>
      <c r="H159" s="578" t="s">
        <v>1195</v>
      </c>
      <c r="I159" s="569"/>
      <c r="J159" s="294" t="str">
        <f>IF(ISBLANK(HLOOKUP(CaseName,CaseData,MATCH($G159,cases!$G$4:$G$2494,0),FALSE)),"",HLOOKUP(CaseName,CaseData,MATCH($G159,cases!$G$4:$G$2494,0),FALSE))</f>
        <v/>
      </c>
      <c r="K159" s="407">
        <f>L162-L166</f>
        <v>2.666753943691715E-10</v>
      </c>
      <c r="L159" s="298">
        <f t="shared" si="7"/>
        <v>2.666753943691715E-10</v>
      </c>
      <c r="M159" s="228" t="s">
        <v>1250</v>
      </c>
      <c r="N159" s="228"/>
      <c r="O159" s="945"/>
      <c r="P159" s="946"/>
      <c r="Q159" s="947"/>
    </row>
    <row r="160" spans="1:17" s="386" customFormat="1" ht="12.75" customHeight="1" x14ac:dyDescent="0.3">
      <c r="A160" s="567"/>
      <c r="B160" s="567"/>
      <c r="C160" s="567" t="s">
        <v>1259</v>
      </c>
      <c r="D160" s="566"/>
      <c r="E160" s="566"/>
      <c r="F160" s="566"/>
      <c r="G160" s="679" t="s">
        <v>1260</v>
      </c>
      <c r="H160" s="679" t="s">
        <v>1195</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690</v>
      </c>
      <c r="N160" s="577"/>
      <c r="O160" s="609"/>
      <c r="P160" s="610"/>
      <c r="Q160" s="639"/>
    </row>
    <row r="161" spans="1:17" ht="12.75" customHeight="1" x14ac:dyDescent="0.3">
      <c r="A161" s="216"/>
      <c r="B161" s="216"/>
      <c r="C161" s="216" t="s">
        <v>1261</v>
      </c>
      <c r="D161" s="228"/>
      <c r="E161" s="228"/>
      <c r="F161" s="228"/>
      <c r="G161" s="578" t="s">
        <v>1262</v>
      </c>
      <c r="H161" s="578" t="s">
        <v>1195</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690</v>
      </c>
      <c r="N161" s="228"/>
      <c r="O161" s="945"/>
      <c r="P161" s="946"/>
      <c r="Q161" s="947"/>
    </row>
    <row r="162" spans="1:17" ht="12.75" customHeight="1" x14ac:dyDescent="0.3">
      <c r="A162" s="216"/>
      <c r="B162" s="216"/>
      <c r="C162" s="216" t="s">
        <v>1263</v>
      </c>
      <c r="D162" s="228"/>
      <c r="E162" s="578"/>
      <c r="F162" s="578"/>
      <c r="G162" s="578" t="s">
        <v>1264</v>
      </c>
      <c r="H162" s="578" t="s">
        <v>1195</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690</v>
      </c>
      <c r="N162" s="228"/>
      <c r="O162" s="945"/>
      <c r="P162" s="946"/>
      <c r="Q162" s="947"/>
    </row>
    <row r="163" spans="1:17" ht="12.75" customHeight="1" x14ac:dyDescent="0.3">
      <c r="A163" s="216"/>
      <c r="B163" s="216"/>
      <c r="C163" s="228"/>
      <c r="D163" s="216" t="s">
        <v>1265</v>
      </c>
      <c r="E163" s="578"/>
      <c r="F163" s="578"/>
      <c r="G163" s="578" t="s">
        <v>1266</v>
      </c>
      <c r="H163" s="578" t="s">
        <v>1195</v>
      </c>
      <c r="I163" s="569"/>
      <c r="J163" s="294" t="str">
        <f>IF(ISBLANK(HLOOKUP(CaseName,CaseData,MATCH($G163,cases!$G$4:$G$2494,0),FALSE)),"",HLOOKUP(CaseName,CaseData,MATCH($G163,cases!$G$4:$G$2494,0),FALSE))</f>
        <v/>
      </c>
      <c r="K163" s="407">
        <f>SetVelSPM.w</f>
        <v>2.9410419161676656E-5</v>
      </c>
      <c r="L163" s="298">
        <f t="shared" si="7"/>
        <v>2.9410419161676656E-5</v>
      </c>
      <c r="M163" s="228" t="s">
        <v>690</v>
      </c>
      <c r="N163" s="714" t="s">
        <v>1267</v>
      </c>
      <c r="O163" s="945"/>
      <c r="P163" s="642"/>
      <c r="Q163" s="402"/>
    </row>
    <row r="164" spans="1:17" s="386" customFormat="1" ht="12.75" customHeight="1" x14ac:dyDescent="0.3">
      <c r="A164" s="567"/>
      <c r="B164" s="567"/>
      <c r="C164" s="566"/>
      <c r="D164" s="567" t="s">
        <v>1268</v>
      </c>
      <c r="E164" s="679"/>
      <c r="F164" s="679"/>
      <c r="G164" s="679" t="s">
        <v>1269</v>
      </c>
      <c r="H164" s="679" t="s">
        <v>866</v>
      </c>
      <c r="I164" s="569"/>
      <c r="J164" s="294" t="str">
        <f>IF(ISBLANK(HLOOKUP(CaseName,CaseData,MATCH($G164,cases!$G$4:$G$2494,0),FALSE)),"",HLOOKUP(CaseName,CaseData,MATCH($G164,cases!$G$4:$G$2494,0),FALSE))</f>
        <v/>
      </c>
      <c r="K164" s="576">
        <f>L165</f>
        <v>8.6861047691527194E-11</v>
      </c>
      <c r="L164" s="298">
        <f t="shared" si="7"/>
        <v>8.6861047691527194E-11</v>
      </c>
      <c r="M164" s="566" t="s">
        <v>690</v>
      </c>
      <c r="N164" s="577"/>
      <c r="O164" s="609"/>
      <c r="P164" s="610"/>
      <c r="Q164" s="639"/>
    </row>
    <row r="165" spans="1:17" ht="12.75" customHeight="1" x14ac:dyDescent="0.3">
      <c r="A165" s="216"/>
      <c r="B165" s="216"/>
      <c r="C165" s="228"/>
      <c r="D165" s="216" t="s">
        <v>1270</v>
      </c>
      <c r="E165" s="578"/>
      <c r="F165" s="216"/>
      <c r="G165" s="578" t="s">
        <v>1271</v>
      </c>
      <c r="H165" s="578" t="s">
        <v>1195</v>
      </c>
      <c r="I165" s="569"/>
      <c r="J165" s="294" t="str">
        <f>IF(ISBLANK(HLOOKUP(CaseName,CaseData,MATCH($G165,cases!$G$4:$G$2494,0),FALSE)),"",HLOOKUP(CaseName,CaseData,MATCH($G165,cases!$G$4:$G$2494,0),FALSE))</f>
        <v/>
      </c>
      <c r="K165" s="407">
        <v>8.6861047691527194E-11</v>
      </c>
      <c r="L165" s="298">
        <f t="shared" si="7"/>
        <v>8.6861047691527194E-11</v>
      </c>
      <c r="M165" s="228" t="s">
        <v>690</v>
      </c>
      <c r="N165" s="38" t="s">
        <v>1272</v>
      </c>
      <c r="O165" s="643"/>
      <c r="P165" s="644"/>
      <c r="Q165" s="947"/>
    </row>
    <row r="166" spans="1:17" ht="12.75" customHeight="1" x14ac:dyDescent="0.3">
      <c r="A166" s="216"/>
      <c r="B166" s="216"/>
      <c r="C166" s="228"/>
      <c r="D166" s="216" t="s">
        <v>1273</v>
      </c>
      <c r="E166" s="578"/>
      <c r="F166" s="216"/>
      <c r="G166" s="578" t="s">
        <v>1274</v>
      </c>
      <c r="H166" s="578" t="s">
        <v>1195</v>
      </c>
      <c r="I166" s="572"/>
      <c r="J166" s="294" t="str">
        <f>IF(ISBLANK(HLOOKUP(CaseName,CaseData,MATCH($G166,cases!$G$4:$G$2494,0),FALSE)),"",HLOOKUP(CaseName,CaseData,MATCH($G166,cases!$G$4:$G$2494,0),FALSE))</f>
        <v/>
      </c>
      <c r="K166" s="407">
        <v>2.7428797247595103E-11</v>
      </c>
      <c r="L166" s="298">
        <f t="shared" si="7"/>
        <v>2.7428797247595103E-11</v>
      </c>
      <c r="M166" s="228" t="s">
        <v>690</v>
      </c>
      <c r="N166" s="38" t="s">
        <v>1272</v>
      </c>
      <c r="O166" s="643"/>
      <c r="P166" s="644"/>
      <c r="Q166" s="947"/>
    </row>
    <row r="167" spans="1:17" ht="12.75" customHeight="1" x14ac:dyDescent="0.3">
      <c r="A167" s="216"/>
      <c r="B167" s="216"/>
      <c r="C167" s="228"/>
      <c r="D167" s="228"/>
      <c r="E167" s="216" t="s">
        <v>1275</v>
      </c>
      <c r="F167" s="578"/>
      <c r="G167" s="578" t="s">
        <v>1276</v>
      </c>
      <c r="H167" s="216" t="s">
        <v>1277</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1278</v>
      </c>
      <c r="N167" s="384"/>
      <c r="O167" s="645"/>
      <c r="P167" s="946"/>
      <c r="Q167" s="947"/>
    </row>
    <row r="168" spans="1:17" ht="12.75" customHeight="1" x14ac:dyDescent="0.3">
      <c r="A168" s="216"/>
      <c r="B168" s="216"/>
      <c r="C168" s="228"/>
      <c r="D168" s="228"/>
      <c r="E168" s="216" t="s">
        <v>1279</v>
      </c>
      <c r="F168" s="228"/>
      <c r="G168" s="578" t="s">
        <v>1280</v>
      </c>
      <c r="H168" s="216" t="s">
        <v>1277</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1278</v>
      </c>
      <c r="N168" s="384"/>
      <c r="O168" s="645"/>
      <c r="P168" s="946"/>
      <c r="Q168" s="947"/>
    </row>
    <row r="169" spans="1:17" ht="12.75" customHeight="1" x14ac:dyDescent="0.3">
      <c r="A169" s="228"/>
      <c r="B169" s="228" t="s">
        <v>1281</v>
      </c>
      <c r="C169" s="578"/>
      <c r="D169" s="578"/>
      <c r="E169" s="228"/>
      <c r="F169" s="228"/>
      <c r="G169" s="641" t="s">
        <v>1282</v>
      </c>
      <c r="H169" s="578" t="s">
        <v>1195</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1250</v>
      </c>
      <c r="N169" s="228"/>
      <c r="O169" s="945"/>
      <c r="P169" s="946"/>
      <c r="Q169" s="947"/>
    </row>
    <row r="170" spans="1:17" ht="12.75" customHeight="1" x14ac:dyDescent="0.3">
      <c r="A170" s="228"/>
      <c r="B170" s="228" t="s">
        <v>1283</v>
      </c>
      <c r="C170" s="578"/>
      <c r="D170" s="578"/>
      <c r="E170" s="228"/>
      <c r="F170" s="228"/>
      <c r="G170" s="641" t="s">
        <v>1284</v>
      </c>
      <c r="H170" s="578" t="s">
        <v>1195</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1250</v>
      </c>
      <c r="N170" s="228"/>
      <c r="O170" s="945"/>
      <c r="P170" s="946"/>
      <c r="Q170" s="947"/>
    </row>
    <row r="171" spans="1:17" ht="12.75" customHeight="1" x14ac:dyDescent="0.3">
      <c r="A171" s="228"/>
      <c r="B171" s="228" t="s">
        <v>1285</v>
      </c>
      <c r="C171" s="578"/>
      <c r="D171" s="578"/>
      <c r="E171" s="228"/>
      <c r="F171" s="578"/>
      <c r="G171" s="641" t="s">
        <v>1286</v>
      </c>
      <c r="H171" s="578" t="s">
        <v>1195</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1250</v>
      </c>
      <c r="N171" s="228"/>
      <c r="O171" s="945"/>
      <c r="P171" s="946"/>
      <c r="Q171" s="947"/>
    </row>
    <row r="172" spans="1:17" ht="12.75" customHeight="1" x14ac:dyDescent="0.3">
      <c r="A172" s="228"/>
      <c r="B172" s="228" t="s">
        <v>1287</v>
      </c>
      <c r="C172" s="578"/>
      <c r="D172" s="578"/>
      <c r="E172" s="228"/>
      <c r="F172" s="578"/>
      <c r="G172" s="641" t="s">
        <v>1288</v>
      </c>
      <c r="H172" s="578" t="s">
        <v>1195</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1250</v>
      </c>
      <c r="N172" s="228"/>
      <c r="O172" s="945"/>
      <c r="P172" s="946"/>
      <c r="Q172" s="947"/>
    </row>
    <row r="173" spans="1:17" ht="12.75" customHeight="1" x14ac:dyDescent="0.3">
      <c r="A173" s="216"/>
      <c r="B173" s="216"/>
      <c r="C173" s="228" t="s">
        <v>1289</v>
      </c>
      <c r="D173" s="228"/>
      <c r="E173" s="578"/>
      <c r="F173" s="578"/>
      <c r="G173" s="228" t="s">
        <v>1290</v>
      </c>
      <c r="H173" s="578" t="s">
        <v>1195</v>
      </c>
      <c r="I173" s="569"/>
      <c r="J173" s="294" t="str">
        <f>IF(ISBLANK(HLOOKUP(CaseName,CaseData,MATCH($G173,cases!$G$4:$G$2494,0),FALSE)),"",HLOOKUP(CaseName,CaseData,MATCH($G173,cases!$G$4:$G$2494,0),FALSE))</f>
        <v/>
      </c>
      <c r="K173" s="407">
        <v>2.7779999999999999E-6</v>
      </c>
      <c r="L173" s="298">
        <f t="shared" si="8"/>
        <v>2.7779999999999999E-6</v>
      </c>
      <c r="M173" s="228" t="s">
        <v>690</v>
      </c>
      <c r="N173" s="228"/>
      <c r="O173" s="945"/>
      <c r="P173" s="946"/>
      <c r="Q173" s="947"/>
    </row>
    <row r="174" spans="1:17" ht="12.75" customHeight="1" x14ac:dyDescent="0.3">
      <c r="A174" s="216"/>
      <c r="B174" s="216"/>
      <c r="C174" s="228" t="s">
        <v>1291</v>
      </c>
      <c r="D174" s="228"/>
      <c r="E174" s="578"/>
      <c r="F174" s="228"/>
      <c r="G174" s="228" t="s">
        <v>1292</v>
      </c>
      <c r="H174" s="578" t="s">
        <v>1195</v>
      </c>
      <c r="I174" s="569"/>
      <c r="J174" s="294" t="str">
        <f>IF(ISBLANK(HLOOKUP(CaseName,CaseData,MATCH($G174,cases!$G$4:$G$2494,0),FALSE)),"",HLOOKUP(CaseName,CaseData,MATCH($G174,cases!$G$4:$G$2494,0),FALSE))</f>
        <v/>
      </c>
      <c r="K174" s="407">
        <v>2.7780000000000001E-8</v>
      </c>
      <c r="L174" s="298">
        <f t="shared" si="8"/>
        <v>2.7780000000000001E-8</v>
      </c>
      <c r="M174" s="228" t="s">
        <v>690</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1293</v>
      </c>
      <c r="B176" s="228"/>
      <c r="C176" s="228"/>
      <c r="D176" s="228"/>
      <c r="E176" s="228"/>
      <c r="F176" s="228"/>
      <c r="G176" s="216" t="s">
        <v>1294</v>
      </c>
      <c r="H176" s="216" t="s">
        <v>617</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1041</v>
      </c>
      <c r="N176" s="384"/>
      <c r="O176" s="262"/>
      <c r="P176" s="215"/>
      <c r="Q176" s="11"/>
    </row>
    <row r="177" spans="1:16" ht="12.75" customHeight="1" x14ac:dyDescent="0.3">
      <c r="A177" s="216" t="s">
        <v>1295</v>
      </c>
      <c r="B177" s="228"/>
      <c r="C177" s="228"/>
      <c r="D177" s="228"/>
      <c r="E177" s="228"/>
      <c r="F177" s="228"/>
      <c r="G177" s="216" t="s">
        <v>1296</v>
      </c>
      <c r="H177" s="216" t="s">
        <v>617</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1041</v>
      </c>
      <c r="N177" s="384"/>
      <c r="O177" s="262"/>
      <c r="P177" s="215"/>
    </row>
    <row r="178" spans="1:16" ht="12.75" customHeight="1" x14ac:dyDescent="0.3">
      <c r="A178" s="216" t="s">
        <v>1297</v>
      </c>
      <c r="B178" s="228"/>
      <c r="C178" s="228"/>
      <c r="D178" s="228"/>
      <c r="E178" s="228"/>
      <c r="F178" s="228"/>
      <c r="G178" s="216" t="s">
        <v>1298</v>
      </c>
      <c r="H178" s="216" t="s">
        <v>617</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1041</v>
      </c>
      <c r="N178" s="384"/>
      <c r="O178" s="262"/>
      <c r="P178" s="215"/>
    </row>
    <row r="179" spans="1:16" ht="12.75" customHeight="1" x14ac:dyDescent="0.3">
      <c r="A179" s="216" t="s">
        <v>2154</v>
      </c>
      <c r="B179" s="228"/>
      <c r="C179" s="228"/>
      <c r="D179" s="228"/>
      <c r="E179" s="228"/>
      <c r="F179" s="228"/>
      <c r="G179" s="216" t="s">
        <v>4736</v>
      </c>
      <c r="H179" s="216" t="s">
        <v>335</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1041</v>
      </c>
      <c r="N179" s="384"/>
      <c r="O179" s="262"/>
      <c r="P179" s="215"/>
    </row>
    <row r="180" spans="1:16" ht="12.75" customHeight="1" x14ac:dyDescent="0.3">
      <c r="A180" s="216" t="s">
        <v>2156</v>
      </c>
      <c r="B180" s="228"/>
      <c r="C180" s="228"/>
      <c r="D180" s="228"/>
      <c r="E180" s="228"/>
      <c r="F180" s="228"/>
      <c r="G180" s="216" t="s">
        <v>4737</v>
      </c>
      <c r="H180" s="216" t="s">
        <v>335</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1041</v>
      </c>
      <c r="N180" s="384"/>
      <c r="O180" s="262"/>
      <c r="P180" s="215"/>
    </row>
    <row r="181" spans="1:16" ht="12.75" customHeight="1" x14ac:dyDescent="0.3">
      <c r="A181" s="216" t="s">
        <v>2158</v>
      </c>
      <c r="B181" s="228"/>
      <c r="C181" s="228"/>
      <c r="D181" s="228"/>
      <c r="E181" s="228"/>
      <c r="F181" s="228"/>
      <c r="G181" s="216" t="s">
        <v>4738</v>
      </c>
      <c r="H181" s="216" t="s">
        <v>335</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1041</v>
      </c>
      <c r="N181" s="384"/>
      <c r="O181" s="262"/>
      <c r="P181" s="215"/>
    </row>
    <row r="182" spans="1:16" ht="12.75" customHeight="1" x14ac:dyDescent="0.3">
      <c r="A182" s="216"/>
      <c r="B182" s="216"/>
      <c r="C182" s="578" t="s">
        <v>1299</v>
      </c>
      <c r="D182" s="228"/>
      <c r="E182" s="578"/>
      <c r="F182" s="578"/>
      <c r="G182" s="578" t="s">
        <v>1300</v>
      </c>
      <c r="H182" s="216" t="s">
        <v>1195</v>
      </c>
      <c r="I182" s="573"/>
      <c r="J182" s="294" t="str">
        <f>IF(ISBLANK(HLOOKUP(CaseName,CaseData,MATCH($G182,cases!$G$4:$G$2494,0),FALSE)),"",HLOOKUP(CaseName,CaseData,MATCH($G182,cases!$G$4:$G$2494,0),FALSE))</f>
        <v/>
      </c>
      <c r="K182" s="407">
        <f>EROSION.R</f>
        <v>9.5129375951293754E-13</v>
      </c>
      <c r="L182" s="298">
        <f t="shared" si="9"/>
        <v>9.5129375951293754E-13</v>
      </c>
      <c r="M182" s="228" t="s">
        <v>690</v>
      </c>
      <c r="N182" s="228"/>
      <c r="O182" s="262"/>
      <c r="P182" s="215"/>
    </row>
    <row r="183" spans="1:16" ht="12.75" customHeight="1" x14ac:dyDescent="0.3">
      <c r="A183" s="216"/>
      <c r="B183" s="216"/>
      <c r="C183" s="578" t="s">
        <v>1301</v>
      </c>
      <c r="D183" s="228"/>
      <c r="E183" s="578"/>
      <c r="F183" s="578"/>
      <c r="G183" s="578" t="s">
        <v>1302</v>
      </c>
      <c r="H183" s="216" t="s">
        <v>1195</v>
      </c>
      <c r="I183" s="569"/>
      <c r="J183" s="294" t="str">
        <f>IF(ISBLANK(HLOOKUP(CaseName,CaseData,MATCH($G183,cases!$G$4:$G$2494,0),FALSE)),"",HLOOKUP(CaseName,CaseData,MATCH($G183,cases!$G$4:$G$2494,0),FALSE))</f>
        <v/>
      </c>
      <c r="K183" s="407">
        <f>EROSION.R</f>
        <v>9.5129375951293754E-13</v>
      </c>
      <c r="L183" s="298">
        <f t="shared" si="9"/>
        <v>9.5129375951293754E-13</v>
      </c>
      <c r="M183" s="228" t="s">
        <v>690</v>
      </c>
      <c r="N183" s="228"/>
      <c r="O183" s="262"/>
      <c r="P183" s="215"/>
    </row>
    <row r="184" spans="1:16" ht="12.75" customHeight="1" x14ac:dyDescent="0.3">
      <c r="A184" s="216"/>
      <c r="B184" s="216"/>
      <c r="C184" s="578" t="s">
        <v>1303</v>
      </c>
      <c r="D184" s="228"/>
      <c r="E184" s="578"/>
      <c r="F184" s="578"/>
      <c r="G184" s="578" t="s">
        <v>1304</v>
      </c>
      <c r="H184" s="216" t="s">
        <v>1195</v>
      </c>
      <c r="I184" s="569"/>
      <c r="J184" s="294" t="str">
        <f>IF(ISBLANK(HLOOKUP(CaseName,CaseData,MATCH($G184,cases!$G$4:$G$2494,0),FALSE)),"",HLOOKUP(CaseName,CaseData,MATCH($G184,cases!$G$4:$G$2494,0),FALSE))</f>
        <v/>
      </c>
      <c r="K184" s="407">
        <f>EROSION.R</f>
        <v>9.5129375951293754E-13</v>
      </c>
      <c r="L184" s="298">
        <f t="shared" si="9"/>
        <v>9.5129375951293754E-13</v>
      </c>
      <c r="M184" s="228" t="s">
        <v>690</v>
      </c>
      <c r="N184" s="228"/>
      <c r="O184" s="262"/>
      <c r="P184" s="215"/>
    </row>
    <row r="185" spans="1:16" ht="12.75" customHeight="1" x14ac:dyDescent="0.3">
      <c r="A185" s="216"/>
      <c r="B185" s="216"/>
      <c r="C185" s="216" t="s">
        <v>1305</v>
      </c>
      <c r="D185" s="228"/>
      <c r="E185" s="578"/>
      <c r="F185" s="578"/>
      <c r="G185" s="578" t="s">
        <v>1306</v>
      </c>
      <c r="H185" s="216" t="s">
        <v>291</v>
      </c>
      <c r="I185" s="573"/>
      <c r="J185" s="294" t="str">
        <f>IF(ISBLANK(HLOOKUP(CaseName,CaseData,MATCH($G185,cases!$G$4:$G$2494,0),FALSE)),"",HLOOKUP(CaseName,CaseData,MATCH($G185,cases!$G$4:$G$2494,0),FALSE))</f>
        <v/>
      </c>
      <c r="K185" s="407">
        <f>FRACrun.R</f>
        <v>0.25</v>
      </c>
      <c r="L185" s="298">
        <f t="shared" si="9"/>
        <v>0.25</v>
      </c>
      <c r="M185" s="228" t="s">
        <v>292</v>
      </c>
      <c r="N185" s="228"/>
      <c r="O185" s="262"/>
      <c r="P185" s="215"/>
    </row>
    <row r="186" spans="1:16" ht="12.75" customHeight="1" x14ac:dyDescent="0.3">
      <c r="A186" s="216"/>
      <c r="B186" s="216"/>
      <c r="C186" s="216" t="s">
        <v>1307</v>
      </c>
      <c r="D186" s="228"/>
      <c r="E186" s="578"/>
      <c r="F186" s="578"/>
      <c r="G186" s="578" t="s">
        <v>1308</v>
      </c>
      <c r="H186" s="216" t="s">
        <v>291</v>
      </c>
      <c r="I186" s="569"/>
      <c r="J186" s="294" t="str">
        <f>IF(ISBLANK(HLOOKUP(CaseName,CaseData,MATCH($G186,cases!$G$4:$G$2494,0),FALSE)),"",HLOOKUP(CaseName,CaseData,MATCH($G186,cases!$G$4:$G$2494,0),FALSE))</f>
        <v/>
      </c>
      <c r="K186" s="407">
        <f>FRACrun.R</f>
        <v>0.25</v>
      </c>
      <c r="L186" s="298">
        <f t="shared" si="9"/>
        <v>0.25</v>
      </c>
      <c r="M186" s="228" t="s">
        <v>292</v>
      </c>
      <c r="N186" s="228"/>
      <c r="O186" s="262"/>
      <c r="P186" s="215"/>
    </row>
    <row r="187" spans="1:16" ht="12.75" customHeight="1" x14ac:dyDescent="0.3">
      <c r="A187" s="216"/>
      <c r="B187" s="216"/>
      <c r="C187" s="216" t="s">
        <v>1309</v>
      </c>
      <c r="D187" s="228"/>
      <c r="E187" s="578"/>
      <c r="F187" s="578"/>
      <c r="G187" s="578" t="s">
        <v>1310</v>
      </c>
      <c r="H187" s="216" t="s">
        <v>291</v>
      </c>
      <c r="I187" s="569"/>
      <c r="J187" s="294" t="str">
        <f>IF(ISBLANK(HLOOKUP(CaseName,CaseData,MATCH($G187,cases!$G$4:$G$2494,0),FALSE)),"",HLOOKUP(CaseName,CaseData,MATCH($G187,cases!$G$4:$G$2494,0),FALSE))</f>
        <v/>
      </c>
      <c r="K187" s="407">
        <f>FRACrun.R</f>
        <v>0.25</v>
      </c>
      <c r="L187" s="298">
        <f t="shared" si="9"/>
        <v>0.25</v>
      </c>
      <c r="M187" s="228" t="s">
        <v>292</v>
      </c>
      <c r="N187" s="228"/>
      <c r="O187" s="262"/>
      <c r="P187" s="215"/>
    </row>
    <row r="188" spans="1:16" ht="12.75" customHeight="1" x14ac:dyDescent="0.3">
      <c r="A188" s="216"/>
      <c r="B188" s="216"/>
      <c r="C188" s="228" t="s">
        <v>1229</v>
      </c>
      <c r="D188" s="228"/>
      <c r="E188" s="578"/>
      <c r="F188" s="578"/>
      <c r="G188" s="216" t="s">
        <v>1311</v>
      </c>
      <c r="H188" s="228" t="s">
        <v>291</v>
      </c>
      <c r="I188" s="569"/>
      <c r="J188" s="294" t="str">
        <f>IF(ISBLANK(HLOOKUP(CaseName,CaseData,MATCH($G188,cases!$G$4:$G$2494,0),FALSE)),"",HLOOKUP(CaseName,CaseData,MATCH($G188,cases!$G$4:$G$2494,0),FALSE))</f>
        <v/>
      </c>
      <c r="K188" s="407">
        <f>(EXP((-1/0.1)*0)*(1/0.1)*L30/(1-EXP((-1/0.1)*L30)))</f>
        <v>1.2707470412683992</v>
      </c>
      <c r="L188" s="298">
        <f t="shared" si="9"/>
        <v>1.2707470412683992</v>
      </c>
      <c r="M188" s="228" t="s">
        <v>292</v>
      </c>
      <c r="N188" s="228" t="s">
        <v>1231</v>
      </c>
      <c r="O188" s="262"/>
      <c r="P188" s="215"/>
    </row>
    <row r="189" spans="1:16" ht="12.75" customHeight="1" x14ac:dyDescent="0.3">
      <c r="A189" s="216"/>
      <c r="B189" s="216"/>
      <c r="C189" s="228" t="s">
        <v>1229</v>
      </c>
      <c r="D189" s="228"/>
      <c r="E189" s="578"/>
      <c r="F189" s="578"/>
      <c r="G189" s="216" t="s">
        <v>1312</v>
      </c>
      <c r="H189" s="228" t="s">
        <v>291</v>
      </c>
      <c r="I189" s="569"/>
      <c r="J189" s="294" t="str">
        <f>IF(ISBLANK(HLOOKUP(CaseName,CaseData,MATCH($G189,cases!$G$4:$G$2494,0),FALSE)),"",HLOOKUP(CaseName,CaseData,MATCH($G189,cases!$G$4:$G$2494,0),FALSE))</f>
        <v/>
      </c>
      <c r="K189" s="407">
        <f>(EXP((-1/0.1)*0)*(1/0.1)*L31/(1-EXP((-1/0.1)*L31)))</f>
        <v>2.3130352854993315</v>
      </c>
      <c r="L189" s="298">
        <f t="shared" si="9"/>
        <v>2.3130352854993315</v>
      </c>
      <c r="M189" s="228" t="s">
        <v>292</v>
      </c>
      <c r="N189" s="228" t="s">
        <v>1231</v>
      </c>
      <c r="O189" s="262"/>
      <c r="P189" s="215"/>
    </row>
    <row r="190" spans="1:16" ht="12.75" customHeight="1" x14ac:dyDescent="0.3">
      <c r="A190" s="216"/>
      <c r="B190" s="216"/>
      <c r="C190" s="228" t="s">
        <v>1229</v>
      </c>
      <c r="D190" s="228"/>
      <c r="E190" s="578"/>
      <c r="F190" s="578"/>
      <c r="G190" s="216" t="s">
        <v>1313</v>
      </c>
      <c r="H190" s="228" t="s">
        <v>291</v>
      </c>
      <c r="I190" s="569"/>
      <c r="J190" s="294" t="str">
        <f>IF(ISBLANK(HLOOKUP(CaseName,CaseData,MATCH($G190,cases!$G$4:$G$2494,0),FALSE)),"",HLOOKUP(CaseName,CaseData,MATCH($G190,cases!$G$4:$G$2494,0),FALSE))</f>
        <v/>
      </c>
      <c r="K190" s="407">
        <f>(EXP((-1/0.1)*0)*(1/0.1)*L32/(1-EXP((-1/0.1)*L32)))</f>
        <v>1.2707470412683992</v>
      </c>
      <c r="L190" s="298">
        <f t="shared" si="9"/>
        <v>1.2707470412683992</v>
      </c>
      <c r="M190" s="228" t="s">
        <v>292</v>
      </c>
      <c r="N190" s="228" t="s">
        <v>1231</v>
      </c>
      <c r="O190" s="262"/>
      <c r="P190" s="215"/>
    </row>
    <row r="191" spans="1:16" ht="12.75" customHeight="1" x14ac:dyDescent="0.3">
      <c r="I191" s="611"/>
      <c r="J191" s="640"/>
      <c r="O191" s="19"/>
      <c r="P191" s="11"/>
    </row>
    <row r="192" spans="1:16" s="413" customFormat="1" ht="12.75" customHeight="1" x14ac:dyDescent="0.3">
      <c r="A192" s="630" t="s">
        <v>1314</v>
      </c>
      <c r="G192" s="630" t="s">
        <v>258</v>
      </c>
      <c r="H192" s="630" t="s">
        <v>274</v>
      </c>
      <c r="I192" s="646" t="s">
        <v>259</v>
      </c>
      <c r="J192" s="498" t="s">
        <v>275</v>
      </c>
      <c r="K192" s="647" t="s">
        <v>260</v>
      </c>
      <c r="L192" s="648" t="s">
        <v>261</v>
      </c>
      <c r="N192" s="630" t="s">
        <v>262</v>
      </c>
      <c r="O192" s="209"/>
    </row>
    <row r="193" spans="1:16" ht="12.75" customHeight="1" x14ac:dyDescent="0.3">
      <c r="A193" s="172"/>
      <c r="I193" s="611"/>
      <c r="J193" s="640"/>
      <c r="K193" s="649"/>
      <c r="L193" s="185"/>
      <c r="O193" s="19"/>
      <c r="P193" s="11"/>
    </row>
    <row r="194" spans="1:16" ht="12.75" customHeight="1" x14ac:dyDescent="0.3">
      <c r="A194" s="216" t="s">
        <v>1315</v>
      </c>
      <c r="B194" s="228"/>
      <c r="C194" s="228"/>
      <c r="D194" s="228"/>
      <c r="E194" s="228"/>
      <c r="F194" s="228"/>
      <c r="G194" s="216" t="s">
        <v>1316</v>
      </c>
      <c r="H194" s="216" t="s">
        <v>617</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1041</v>
      </c>
      <c r="N194" s="228"/>
      <c r="O194" s="262"/>
      <c r="P194" s="215"/>
    </row>
    <row r="195" spans="1:16" ht="12.75" customHeight="1" x14ac:dyDescent="0.3">
      <c r="A195" s="216" t="s">
        <v>1317</v>
      </c>
      <c r="B195" s="228"/>
      <c r="C195" s="228"/>
      <c r="D195" s="228"/>
      <c r="E195" s="228"/>
      <c r="F195" s="228"/>
      <c r="G195" s="216" t="s">
        <v>1318</v>
      </c>
      <c r="H195" s="216" t="s">
        <v>617</v>
      </c>
      <c r="I195" s="569"/>
      <c r="J195" s="294" t="str">
        <f>IF(ISBLANK(HLOOKUP(CaseName,CaseData,MATCH($G195,cases!$G$4:$G$2494,0),FALSE)),"",HLOOKUP(CaseName,CaseData,MATCH($G195,cases!$G$4:$G$2494,0),FALSE))</f>
        <v/>
      </c>
      <c r="K195" s="407">
        <f>L208</f>
        <v>3.8762856314484566E-21</v>
      </c>
      <c r="L195" s="298">
        <f t="shared" si="11"/>
        <v>3.8762856314484566E-21</v>
      </c>
      <c r="M195" s="228" t="s">
        <v>1041</v>
      </c>
      <c r="N195" s="228"/>
      <c r="O195" s="262"/>
      <c r="P195" s="215"/>
    </row>
    <row r="196" spans="1:16" ht="12.75" customHeight="1" x14ac:dyDescent="0.3">
      <c r="A196" s="216" t="s">
        <v>1319</v>
      </c>
      <c r="B196" s="228"/>
      <c r="C196" s="228"/>
      <c r="D196" s="228"/>
      <c r="E196" s="228"/>
      <c r="F196" s="228"/>
      <c r="G196" s="216" t="s">
        <v>1320</v>
      </c>
      <c r="H196" s="216" t="s">
        <v>617</v>
      </c>
      <c r="I196" s="569"/>
      <c r="J196" s="294" t="str">
        <f>IF(ISBLANK(HLOOKUP(CaseName,CaseData,MATCH($G196,cases!$G$4:$G$2494,0),FALSE)),"",HLOOKUP(CaseName,CaseData,MATCH($G196,cases!$G$4:$G$2494,0),FALSE))</f>
        <v/>
      </c>
      <c r="K196" s="407">
        <f>L209</f>
        <v>1.674595286935279E-21</v>
      </c>
      <c r="L196" s="298">
        <f t="shared" si="11"/>
        <v>1.674595286935279E-21</v>
      </c>
      <c r="M196" s="228" t="s">
        <v>1041</v>
      </c>
      <c r="N196" s="228"/>
      <c r="O196" s="262"/>
      <c r="P196" s="215"/>
    </row>
    <row r="197" spans="1:16" ht="12.75" customHeight="1" x14ac:dyDescent="0.3">
      <c r="A197" s="216" t="s">
        <v>1321</v>
      </c>
      <c r="B197" s="228"/>
      <c r="C197" s="228"/>
      <c r="D197" s="228"/>
      <c r="E197" s="228"/>
      <c r="F197" s="228"/>
      <c r="G197" s="216" t="s">
        <v>1322</v>
      </c>
      <c r="H197" s="216" t="s">
        <v>617</v>
      </c>
      <c r="I197" s="569"/>
      <c r="J197" s="294" t="str">
        <f>IF(ISBLANK(HLOOKUP(CaseName,CaseData,MATCH($G197,cases!$G$4:$G$2494,0),FALSE)),"",HLOOKUP(CaseName,CaseData,MATCH($G197,cases!$G$4:$G$2494,0),FALSE))</f>
        <v/>
      </c>
      <c r="K197" s="407">
        <f>L210</f>
        <v>2.7529873386892645E-21</v>
      </c>
      <c r="L197" s="298">
        <f t="shared" si="11"/>
        <v>2.7529873386892645E-21</v>
      </c>
      <c r="M197" s="228" t="s">
        <v>1041</v>
      </c>
      <c r="N197" s="228"/>
      <c r="O197" s="262"/>
      <c r="P197" s="215"/>
    </row>
    <row r="198" spans="1:16" s="386" customFormat="1" ht="12.75" customHeight="1" x14ac:dyDescent="0.3">
      <c r="A198" s="567" t="s">
        <v>1323</v>
      </c>
      <c r="B198" s="566"/>
      <c r="C198" s="566"/>
      <c r="D198" s="566"/>
      <c r="E198" s="566"/>
      <c r="F198" s="566"/>
      <c r="G198" s="567" t="s">
        <v>1324</v>
      </c>
      <c r="H198" s="567" t="s">
        <v>617</v>
      </c>
      <c r="I198" s="569"/>
      <c r="J198" s="294" t="str">
        <f>IF(ISBLANK(HLOOKUP(CaseName,CaseData,MATCH($G198,cases!$G$4:$G$2494,0),FALSE)),"",HLOOKUP(CaseName,CaseData,MATCH($G198,cases!$G$4:$G$2494,0),FALSE))</f>
        <v/>
      </c>
      <c r="K198" s="576">
        <f>L215+L164/L27</f>
        <v>2.8953682563883014E-9</v>
      </c>
      <c r="L198" s="298">
        <f t="shared" si="11"/>
        <v>2.8953682563883014E-9</v>
      </c>
      <c r="M198" s="566" t="s">
        <v>1041</v>
      </c>
      <c r="N198" s="577"/>
      <c r="O198" s="606"/>
      <c r="P198" s="577"/>
    </row>
    <row r="199" spans="1:16" ht="12.75" customHeight="1" x14ac:dyDescent="0.3">
      <c r="A199" s="216" t="s">
        <v>1325</v>
      </c>
      <c r="B199" s="228"/>
      <c r="C199" s="228"/>
      <c r="D199" s="228"/>
      <c r="E199" s="228"/>
      <c r="F199" s="228"/>
      <c r="G199" s="216" t="s">
        <v>1326</v>
      </c>
      <c r="H199" s="216" t="s">
        <v>617</v>
      </c>
      <c r="I199" s="569"/>
      <c r="J199" s="294" t="str">
        <f>IF(ISBLANK(HLOOKUP(CaseName,CaseData,MATCH($G199,cases!$G$4:$G$2494,0),FALSE)),"",HLOOKUP(CaseName,CaseData,MATCH($G199,cases!$G$4:$G$2494,0),FALSE))</f>
        <v/>
      </c>
      <c r="K199" s="407">
        <f>L216+L165/L28</f>
        <v>2.8953682563883014E-9</v>
      </c>
      <c r="L199" s="298">
        <f t="shared" si="11"/>
        <v>2.8953682563883014E-9</v>
      </c>
      <c r="M199" s="228" t="s">
        <v>1041</v>
      </c>
      <c r="N199" s="228"/>
      <c r="O199" s="262"/>
      <c r="P199" s="215"/>
    </row>
    <row r="200" spans="1:16" ht="12.75" customHeight="1" x14ac:dyDescent="0.3">
      <c r="A200" s="216" t="s">
        <v>1327</v>
      </c>
      <c r="B200" s="228"/>
      <c r="C200" s="228"/>
      <c r="D200" s="228"/>
      <c r="E200" s="228"/>
      <c r="F200" s="228"/>
      <c r="G200" s="216" t="s">
        <v>1328</v>
      </c>
      <c r="H200" s="216" t="s">
        <v>617</v>
      </c>
      <c r="I200" s="569"/>
      <c r="J200" s="294" t="str">
        <f>IF(ISBLANK(HLOOKUP(CaseName,CaseData,MATCH($G200,cases!$G$4:$G$2494,0),FALSE)),"",HLOOKUP(CaseName,CaseData,MATCH($G200,cases!$G$4:$G$2494,0),FALSE))</f>
        <v/>
      </c>
      <c r="K200" s="407">
        <f>L217+L166/L29</f>
        <v>9.1429324159056473E-10</v>
      </c>
      <c r="L200" s="298">
        <f t="shared" si="11"/>
        <v>9.1429324159056473E-10</v>
      </c>
      <c r="M200" s="228" t="s">
        <v>1041</v>
      </c>
      <c r="N200" s="228"/>
      <c r="O200" s="262"/>
      <c r="P200" s="215"/>
    </row>
    <row r="201" spans="1:16" ht="12.75" customHeight="1" x14ac:dyDescent="0.3">
      <c r="A201" s="216" t="s">
        <v>1329</v>
      </c>
      <c r="B201" s="228"/>
      <c r="C201" s="228"/>
      <c r="D201" s="228"/>
      <c r="E201" s="228"/>
      <c r="F201" s="228"/>
      <c r="G201" s="216" t="s">
        <v>1330</v>
      </c>
      <c r="H201" s="216" t="s">
        <v>617</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1041</v>
      </c>
      <c r="N201" s="228"/>
      <c r="O201" s="262"/>
      <c r="P201" s="215"/>
    </row>
    <row r="202" spans="1:16" ht="12.75" customHeight="1" x14ac:dyDescent="0.3">
      <c r="A202" s="216" t="s">
        <v>1331</v>
      </c>
      <c r="B202" s="228"/>
      <c r="C202" s="228"/>
      <c r="D202" s="228"/>
      <c r="E202" s="228"/>
      <c r="F202" s="228"/>
      <c r="G202" s="216" t="s">
        <v>1332</v>
      </c>
      <c r="H202" s="216" t="s">
        <v>617</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1041</v>
      </c>
      <c r="N202" s="228"/>
      <c r="O202" s="262"/>
      <c r="P202" s="215"/>
    </row>
    <row r="203" spans="1:16" ht="12.75" customHeight="1" x14ac:dyDescent="0.3">
      <c r="A203" s="216" t="s">
        <v>1333</v>
      </c>
      <c r="B203" s="228"/>
      <c r="C203" s="228"/>
      <c r="D203" s="228"/>
      <c r="E203" s="228"/>
      <c r="F203" s="228"/>
      <c r="G203" s="216" t="s">
        <v>1334</v>
      </c>
      <c r="H203" s="216" t="s">
        <v>617</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1041</v>
      </c>
      <c r="N203" s="228"/>
      <c r="O203" s="262"/>
      <c r="P203" s="215"/>
    </row>
    <row r="204" spans="1:16" ht="12.75" customHeight="1" x14ac:dyDescent="0.3">
      <c r="A204" s="216"/>
      <c r="B204" s="216" t="s">
        <v>1335</v>
      </c>
      <c r="C204" s="578"/>
      <c r="D204" s="228"/>
      <c r="E204" s="228"/>
      <c r="F204" s="228"/>
      <c r="G204" s="578" t="s">
        <v>1336</v>
      </c>
      <c r="H204" s="216" t="s">
        <v>617</v>
      </c>
      <c r="I204" s="569"/>
      <c r="J204" s="294" t="str">
        <f>IF(ISBLANK(HLOOKUP(CaseName,CaseData,MATCH($G204,cases!$G$4:$G$2494,0),FALSE)),"",HLOOKUP(CaseName,CaseData,MATCH($G204,cases!$G$4:$G$2494,0),FALSE))</f>
        <v/>
      </c>
      <c r="K204" s="407">
        <f>LN(2)/(60*365*24*3600)</f>
        <v>3.663258818281463E-10</v>
      </c>
      <c r="L204" s="298">
        <f t="shared" si="11"/>
        <v>3.663258818281463E-10</v>
      </c>
      <c r="M204" s="216" t="s">
        <v>1041</v>
      </c>
      <c r="N204" s="228"/>
      <c r="O204" s="262"/>
      <c r="P204" s="215"/>
    </row>
    <row r="205" spans="1:16" ht="12.75" customHeight="1" x14ac:dyDescent="0.3">
      <c r="A205" s="216"/>
      <c r="B205" s="216" t="s">
        <v>1337</v>
      </c>
      <c r="C205" s="228"/>
      <c r="D205" s="228"/>
      <c r="E205" s="228"/>
      <c r="F205" s="228"/>
      <c r="G205" s="216" t="s">
        <v>1338</v>
      </c>
      <c r="H205" s="216" t="s">
        <v>617</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1041</v>
      </c>
      <c r="N205" s="228"/>
      <c r="O205" s="262"/>
      <c r="P205" s="215"/>
    </row>
    <row r="206" spans="1:16" ht="12.75" customHeight="1" x14ac:dyDescent="0.3">
      <c r="A206" s="578"/>
      <c r="B206" s="578"/>
      <c r="C206" s="216" t="s">
        <v>1339</v>
      </c>
      <c r="D206" s="228"/>
      <c r="E206" s="228"/>
      <c r="F206" s="228"/>
      <c r="G206" s="216" t="s">
        <v>1340</v>
      </c>
      <c r="H206" s="216" t="s">
        <v>620</v>
      </c>
      <c r="I206" s="569"/>
      <c r="J206" s="294" t="str">
        <f>IF(ISBLANK(HLOOKUP(CaseName,CaseData,MATCH($G206,cases!$G$4:$G$2494,0),FALSE)),"",HLOOKUP(CaseName,CaseData,MATCH($G206,cases!$G$4:$G$2494,0),FALSE))</f>
        <v/>
      </c>
      <c r="K206" s="407">
        <v>500000</v>
      </c>
      <c r="L206" s="298">
        <f t="shared" si="11"/>
        <v>500000</v>
      </c>
      <c r="M206" s="216" t="s">
        <v>1341</v>
      </c>
      <c r="N206" s="228"/>
      <c r="O206" s="262"/>
      <c r="P206" s="215"/>
    </row>
    <row r="207" spans="1:16" ht="12.75" customHeight="1" x14ac:dyDescent="0.3">
      <c r="A207" s="578"/>
      <c r="B207" s="578"/>
      <c r="C207" s="216" t="s">
        <v>1342</v>
      </c>
      <c r="D207" s="228"/>
      <c r="E207" s="228"/>
      <c r="F207" s="228"/>
      <c r="G207" s="216" t="s">
        <v>1343</v>
      </c>
      <c r="H207" s="216" t="s">
        <v>291</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292</v>
      </c>
      <c r="N207" s="228"/>
      <c r="O207" s="262"/>
      <c r="P207" s="215"/>
    </row>
    <row r="208" spans="1:16" ht="12.75" customHeight="1" x14ac:dyDescent="0.3">
      <c r="A208" s="216"/>
      <c r="B208" s="216" t="s">
        <v>1344</v>
      </c>
      <c r="C208" s="228"/>
      <c r="D208" s="228"/>
      <c r="E208" s="228"/>
      <c r="F208" s="228"/>
      <c r="G208" s="216" t="s">
        <v>1345</v>
      </c>
      <c r="H208" s="216" t="s">
        <v>617</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1041</v>
      </c>
      <c r="N208" s="228"/>
      <c r="O208" s="262"/>
      <c r="P208" s="215"/>
    </row>
    <row r="209" spans="1:16" ht="12.75" customHeight="1" x14ac:dyDescent="0.3">
      <c r="A209" s="216"/>
      <c r="B209" s="216" t="s">
        <v>1346</v>
      </c>
      <c r="C209" s="228"/>
      <c r="D209" s="228"/>
      <c r="E209" s="228"/>
      <c r="F209" s="228"/>
      <c r="G209" s="216" t="s">
        <v>1347</v>
      </c>
      <c r="H209" s="216" t="s">
        <v>617</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1041</v>
      </c>
      <c r="N209" s="228"/>
      <c r="O209" s="262"/>
      <c r="P209" s="215"/>
    </row>
    <row r="210" spans="1:16" ht="12.75" customHeight="1" x14ac:dyDescent="0.3">
      <c r="A210" s="216"/>
      <c r="B210" s="216" t="s">
        <v>1348</v>
      </c>
      <c r="C210" s="228"/>
      <c r="D210" s="228"/>
      <c r="E210" s="228"/>
      <c r="F210" s="228"/>
      <c r="G210" s="216" t="s">
        <v>1349</v>
      </c>
      <c r="H210" s="216" t="s">
        <v>617</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1041</v>
      </c>
      <c r="N210" s="228"/>
      <c r="O210" s="262"/>
      <c r="P210" s="215"/>
    </row>
    <row r="211" spans="1:16" ht="12.75" customHeight="1" x14ac:dyDescent="0.3">
      <c r="A211" s="216"/>
      <c r="B211" s="216"/>
      <c r="C211" s="216" t="s">
        <v>1350</v>
      </c>
      <c r="D211" s="228"/>
      <c r="E211" s="228"/>
      <c r="F211" s="228"/>
      <c r="G211" s="578" t="s">
        <v>1351</v>
      </c>
      <c r="H211" s="216" t="s">
        <v>1352</v>
      </c>
      <c r="I211" s="569"/>
      <c r="J211" s="294" t="str">
        <f>IF(ISBLANK(HLOOKUP(CaseName,CaseData,MATCH($G211,cases!$G$4:$G$2494,0),FALSE)),"",HLOOKUP(CaseName,CaseData,MATCH($G211,cases!$G$4:$G$2494,0),FALSE))</f>
        <v/>
      </c>
      <c r="K211" s="407">
        <v>40000</v>
      </c>
      <c r="L211" s="298">
        <f t="shared" si="11"/>
        <v>40000</v>
      </c>
      <c r="M211" s="216" t="s">
        <v>1353</v>
      </c>
      <c r="N211" s="228"/>
      <c r="O211" s="262"/>
      <c r="P211" s="215"/>
    </row>
    <row r="212" spans="1:16" ht="12.75" customHeight="1" x14ac:dyDescent="0.3">
      <c r="A212" s="216"/>
      <c r="B212" s="216"/>
      <c r="C212" s="216" t="s">
        <v>1354</v>
      </c>
      <c r="D212" s="228"/>
      <c r="E212" s="228"/>
      <c r="F212" s="228"/>
      <c r="G212" s="578" t="s">
        <v>1355</v>
      </c>
      <c r="H212" s="216" t="s">
        <v>1352</v>
      </c>
      <c r="I212" s="569"/>
      <c r="J212" s="294" t="str">
        <f>IF(ISBLANK(HLOOKUP(CaseName,CaseData,MATCH($G212,cases!$G$4:$G$2494,0),FALSE)),"",HLOOKUP(CaseName,CaseData,MATCH($G212,cases!$G$4:$G$2494,0),FALSE))</f>
        <v/>
      </c>
      <c r="K212" s="407">
        <v>40000</v>
      </c>
      <c r="L212" s="298">
        <f t="shared" si="11"/>
        <v>40000</v>
      </c>
      <c r="M212" s="216" t="s">
        <v>1353</v>
      </c>
      <c r="N212" s="228"/>
      <c r="O212" s="262"/>
      <c r="P212" s="215"/>
    </row>
    <row r="213" spans="1:16" ht="12.75" customHeight="1" x14ac:dyDescent="0.3">
      <c r="A213" s="216"/>
      <c r="B213" s="216"/>
      <c r="C213" s="216" t="s">
        <v>1356</v>
      </c>
      <c r="D213" s="228"/>
      <c r="E213" s="228"/>
      <c r="F213" s="228"/>
      <c r="G213" s="578" t="s">
        <v>1357</v>
      </c>
      <c r="H213" s="216" t="s">
        <v>1352</v>
      </c>
      <c r="I213" s="569"/>
      <c r="J213" s="294" t="str">
        <f>IF(ISBLANK(HLOOKUP(CaseName,CaseData,MATCH($G213,cases!$G$4:$G$2494,0),FALSE)),"",HLOOKUP(CaseName,CaseData,MATCH($G213,cases!$G$4:$G$2494,0),FALSE))</f>
        <v/>
      </c>
      <c r="K213" s="407">
        <v>40000</v>
      </c>
      <c r="L213" s="298">
        <f t="shared" si="11"/>
        <v>40000</v>
      </c>
      <c r="M213" s="216" t="s">
        <v>1353</v>
      </c>
      <c r="N213" s="228"/>
      <c r="O213" s="262"/>
      <c r="P213" s="215"/>
    </row>
    <row r="214" spans="1:16" ht="12.75" customHeight="1" x14ac:dyDescent="0.3">
      <c r="A214" s="578"/>
      <c r="B214" s="578"/>
      <c r="C214" s="216" t="s">
        <v>1358</v>
      </c>
      <c r="D214" s="228"/>
      <c r="E214" s="228"/>
      <c r="F214" s="228"/>
      <c r="G214" s="216" t="s">
        <v>1359</v>
      </c>
      <c r="H214" s="216" t="s">
        <v>291</v>
      </c>
      <c r="I214" s="569"/>
      <c r="J214" s="294" t="str">
        <f>IF(ISBLANK(HLOOKUP(CaseName,CaseData,MATCH($G214,cases!$G$4:$G$2494,0),FALSE)),"",HLOOKUP(CaseName,CaseData,MATCH($G214,cases!$G$4:$G$2494,0),FALSE))</f>
        <v/>
      </c>
      <c r="K214" s="407">
        <f>Q.10^((TEMP.R-298)/10)</f>
        <v>0.40612619817811774</v>
      </c>
      <c r="L214" s="298">
        <f t="shared" si="11"/>
        <v>0.40612619817811774</v>
      </c>
      <c r="M214" s="216" t="s">
        <v>292</v>
      </c>
      <c r="N214" s="228"/>
      <c r="O214" s="262"/>
      <c r="P214" s="215"/>
    </row>
    <row r="215" spans="1:16" ht="12.75" customHeight="1" x14ac:dyDescent="0.3">
      <c r="A215" s="567"/>
      <c r="B215" s="567" t="s">
        <v>1360</v>
      </c>
      <c r="C215" s="566"/>
      <c r="D215" s="566"/>
      <c r="E215" s="566"/>
      <c r="F215" s="566"/>
      <c r="G215" s="567" t="s">
        <v>1361</v>
      </c>
      <c r="H215" s="567" t="s">
        <v>617</v>
      </c>
      <c r="I215" s="569"/>
      <c r="J215" s="294" t="str">
        <f>IF(ISBLANK(HLOOKUP(CaseName,CaseData,MATCH($G215,cases!$G$4:$G$2494,0),FALSE)),"",HLOOKUP(CaseName,CaseData,MATCH($G215,cases!$G$4:$G$2494,0),FALSE))</f>
        <v/>
      </c>
      <c r="K215" s="576">
        <f>L214*kdeg.sed</f>
        <v>4.0612619817811774E-21</v>
      </c>
      <c r="L215" s="298">
        <f t="shared" si="11"/>
        <v>4.0612619817811774E-21</v>
      </c>
      <c r="M215" s="567" t="s">
        <v>1041</v>
      </c>
      <c r="N215" s="566"/>
      <c r="O215" s="605"/>
      <c r="P215" s="584"/>
    </row>
    <row r="216" spans="1:16" ht="12.75" customHeight="1" x14ac:dyDescent="0.3">
      <c r="A216" s="216"/>
      <c r="B216" s="216" t="s">
        <v>1362</v>
      </c>
      <c r="C216" s="228"/>
      <c r="D216" s="228"/>
      <c r="E216" s="228"/>
      <c r="F216" s="228"/>
      <c r="G216" s="216" t="s">
        <v>1363</v>
      </c>
      <c r="H216" s="216" t="s">
        <v>617</v>
      </c>
      <c r="I216" s="569"/>
      <c r="J216" s="294" t="str">
        <f>IF(ISBLANK(HLOOKUP(CaseName,CaseData,MATCH($G216,cases!$G$4:$G$2494,0),FALSE)),"",HLOOKUP(CaseName,CaseData,MATCH($G216,cases!$G$4:$G$2494,0),FALSE))</f>
        <v/>
      </c>
      <c r="K216" s="407">
        <f>L214*kdeg.sed</f>
        <v>4.0612619817811774E-21</v>
      </c>
      <c r="L216" s="298">
        <f t="shared" si="11"/>
        <v>4.0612619817811774E-21</v>
      </c>
      <c r="M216" s="216" t="s">
        <v>1041</v>
      </c>
      <c r="N216" s="228"/>
      <c r="O216" s="262"/>
      <c r="P216" s="215"/>
    </row>
    <row r="217" spans="1:16" ht="12.75" customHeight="1" x14ac:dyDescent="0.3">
      <c r="A217" s="216"/>
      <c r="B217" s="216" t="s">
        <v>1364</v>
      </c>
      <c r="C217" s="228"/>
      <c r="D217" s="228"/>
      <c r="E217" s="228"/>
      <c r="F217" s="228"/>
      <c r="G217" s="216" t="s">
        <v>1365</v>
      </c>
      <c r="H217" s="216" t="s">
        <v>617</v>
      </c>
      <c r="I217" s="569"/>
      <c r="J217" s="294" t="str">
        <f>IF(ISBLANK(HLOOKUP(CaseName,CaseData,MATCH($G217,cases!$G$4:$G$2494,0),FALSE)),"",HLOOKUP(CaseName,CaseData,MATCH($G217,cases!$G$4:$G$2494,0),FALSE))</f>
        <v/>
      </c>
      <c r="K217" s="407">
        <f>L214*kdeg.sed</f>
        <v>4.0612619817811774E-21</v>
      </c>
      <c r="L217" s="298">
        <f t="shared" si="11"/>
        <v>4.0612619817811774E-21</v>
      </c>
      <c r="M217" s="216" t="s">
        <v>1041</v>
      </c>
      <c r="N217" s="228"/>
      <c r="O217" s="262"/>
      <c r="P217" s="215"/>
    </row>
    <row r="218" spans="1:16" ht="12.75" customHeight="1" x14ac:dyDescent="0.3">
      <c r="A218" s="216"/>
      <c r="B218" s="216" t="s">
        <v>1366</v>
      </c>
      <c r="C218" s="228"/>
      <c r="D218" s="228"/>
      <c r="E218" s="228"/>
      <c r="F218" s="228"/>
      <c r="G218" s="216" t="s">
        <v>1367</v>
      </c>
      <c r="H218" s="216" t="s">
        <v>617</v>
      </c>
      <c r="I218" s="569"/>
      <c r="J218" s="294" t="str">
        <f>IF(ISBLANK(HLOOKUP(CaseName,CaseData,MATCH($G218,cases!$G$4:$G$2494,0),FALSE)),"",HLOOKUP(CaseName,CaseData,MATCH($G218,cases!$G$4:$G$2494,0),FALSE))</f>
        <v/>
      </c>
      <c r="K218" s="407">
        <f>L214*kdeg.soil</f>
        <v>4.0612619817811774E-21</v>
      </c>
      <c r="L218" s="298">
        <f t="shared" si="11"/>
        <v>4.0612619817811774E-21</v>
      </c>
      <c r="M218" s="216" t="s">
        <v>1041</v>
      </c>
      <c r="N218" s="228"/>
      <c r="O218" s="262"/>
      <c r="P218" s="215"/>
    </row>
    <row r="219" spans="1:16" ht="12.75" customHeight="1" x14ac:dyDescent="0.3">
      <c r="A219" s="216"/>
      <c r="B219" s="216" t="s">
        <v>1368</v>
      </c>
      <c r="C219" s="228"/>
      <c r="D219" s="228"/>
      <c r="E219" s="228"/>
      <c r="F219" s="228"/>
      <c r="G219" s="216" t="s">
        <v>1369</v>
      </c>
      <c r="H219" s="216" t="s">
        <v>617</v>
      </c>
      <c r="I219" s="569"/>
      <c r="J219" s="294" t="str">
        <f>IF(ISBLANK(HLOOKUP(CaseName,CaseData,MATCH($G219,cases!$G$4:$G$2494,0),FALSE)),"",HLOOKUP(CaseName,CaseData,MATCH($G219,cases!$G$4:$G$2494,0),FALSE))</f>
        <v/>
      </c>
      <c r="K219" s="407">
        <f>L214*kdeg.soil</f>
        <v>4.0612619817811774E-21</v>
      </c>
      <c r="L219" s="298">
        <f t="shared" si="11"/>
        <v>4.0612619817811774E-21</v>
      </c>
      <c r="M219" s="216" t="s">
        <v>1041</v>
      </c>
      <c r="N219" s="228"/>
      <c r="O219" s="262"/>
      <c r="P219" s="215"/>
    </row>
    <row r="220" spans="1:16" ht="12.75" customHeight="1" x14ac:dyDescent="0.3">
      <c r="A220" s="216"/>
      <c r="B220" s="216" t="s">
        <v>1370</v>
      </c>
      <c r="C220" s="228"/>
      <c r="D220" s="228"/>
      <c r="E220" s="228"/>
      <c r="F220" s="228"/>
      <c r="G220" s="216" t="s">
        <v>1371</v>
      </c>
      <c r="H220" s="216" t="s">
        <v>617</v>
      </c>
      <c r="I220" s="569"/>
      <c r="J220" s="294" t="str">
        <f>IF(ISBLANK(HLOOKUP(CaseName,CaseData,MATCH($G220,cases!$G$4:$G$2494,0),FALSE)),"",HLOOKUP(CaseName,CaseData,MATCH($G220,cases!$G$4:$G$2494,0),FALSE))</f>
        <v/>
      </c>
      <c r="K220" s="407">
        <f>L214*kdeg.soil</f>
        <v>4.0612619817811774E-21</v>
      </c>
      <c r="L220" s="298">
        <f t="shared" si="11"/>
        <v>4.0612619817811774E-21</v>
      </c>
      <c r="M220" s="216" t="s">
        <v>1041</v>
      </c>
      <c r="N220" s="228"/>
      <c r="O220" s="262"/>
      <c r="P220" s="215"/>
    </row>
    <row r="221" spans="1:16" ht="12.75" customHeight="1" x14ac:dyDescent="0.3">
      <c r="A221" s="216"/>
      <c r="B221" s="216"/>
      <c r="C221" s="216" t="s">
        <v>1372</v>
      </c>
      <c r="D221" s="228"/>
      <c r="E221" s="228"/>
      <c r="F221" s="228"/>
      <c r="G221" s="578" t="s">
        <v>1373</v>
      </c>
      <c r="H221" s="216" t="s">
        <v>291</v>
      </c>
      <c r="I221" s="569"/>
      <c r="J221" s="294" t="str">
        <f>IF(ISBLANK(HLOOKUP(CaseName,CaseData,MATCH($G221,cases!$G$4:$G$2494,0),FALSE)),"",HLOOKUP(CaseName,CaseData,MATCH($G221,cases!$G$4:$G$2494,0),FALSE))</f>
        <v/>
      </c>
      <c r="K221" s="407">
        <f>FRACinf.R</f>
        <v>0.25</v>
      </c>
      <c r="L221" s="298">
        <f t="shared" si="11"/>
        <v>0.25</v>
      </c>
      <c r="M221" s="216" t="s">
        <v>292</v>
      </c>
      <c r="N221" s="228"/>
      <c r="O221" s="262"/>
      <c r="P221" s="215"/>
    </row>
    <row r="222" spans="1:16" ht="12.75" customHeight="1" x14ac:dyDescent="0.3">
      <c r="A222" s="216"/>
      <c r="B222" s="216"/>
      <c r="C222" s="216" t="s">
        <v>1374</v>
      </c>
      <c r="D222" s="228"/>
      <c r="E222" s="228"/>
      <c r="F222" s="228"/>
      <c r="G222" s="578" t="s">
        <v>1375</v>
      </c>
      <c r="H222" s="216" t="s">
        <v>291</v>
      </c>
      <c r="I222" s="569"/>
      <c r="J222" s="294" t="str">
        <f>IF(ISBLANK(HLOOKUP(CaseName,CaseData,MATCH($G222,cases!$G$4:$G$2494,0),FALSE)),"",HLOOKUP(CaseName,CaseData,MATCH($G222,cases!$G$4:$G$2494,0),FALSE))</f>
        <v/>
      </c>
      <c r="K222" s="407">
        <f>FRACinf.R</f>
        <v>0.25</v>
      </c>
      <c r="L222" s="298">
        <f t="shared" si="11"/>
        <v>0.25</v>
      </c>
      <c r="M222" s="216" t="s">
        <v>292</v>
      </c>
      <c r="N222" s="228"/>
      <c r="O222" s="262"/>
      <c r="P222" s="215"/>
    </row>
    <row r="223" spans="1:16" ht="12.75" customHeight="1" x14ac:dyDescent="0.3">
      <c r="A223" s="228"/>
      <c r="B223" s="228"/>
      <c r="C223" s="216" t="s">
        <v>1376</v>
      </c>
      <c r="D223" s="228"/>
      <c r="E223" s="228"/>
      <c r="F223" s="228"/>
      <c r="G223" s="578" t="s">
        <v>1377</v>
      </c>
      <c r="H223" s="216" t="s">
        <v>291</v>
      </c>
      <c r="I223" s="569"/>
      <c r="J223" s="294" t="str">
        <f>IF(ISBLANK(HLOOKUP(CaseName,CaseData,MATCH($G223,cases!$G$4:$G$2494,0),FALSE)),"",HLOOKUP(CaseName,CaseData,MATCH($G223,cases!$G$4:$G$2494,0),FALSE))</f>
        <v/>
      </c>
      <c r="K223" s="407">
        <f>FRACinf.R</f>
        <v>0.25</v>
      </c>
      <c r="L223" s="298">
        <f t="shared" si="11"/>
        <v>0.25</v>
      </c>
      <c r="M223" s="216" t="s">
        <v>292</v>
      </c>
      <c r="N223" s="228"/>
      <c r="O223" s="262"/>
      <c r="P223" s="215"/>
    </row>
    <row r="224" spans="1:16" ht="12.75" customHeight="1" x14ac:dyDescent="0.3">
      <c r="A224" s="216"/>
      <c r="B224" s="216"/>
      <c r="C224" s="228" t="s">
        <v>1229</v>
      </c>
      <c r="D224" s="228"/>
      <c r="E224" s="578"/>
      <c r="F224" s="578"/>
      <c r="G224" s="216" t="s">
        <v>1378</v>
      </c>
      <c r="H224" s="228" t="s">
        <v>291</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292</v>
      </c>
      <c r="N224" s="228" t="s">
        <v>1231</v>
      </c>
      <c r="O224" s="262"/>
      <c r="P224" s="215"/>
    </row>
    <row r="225" spans="1:17" ht="12.75" customHeight="1" x14ac:dyDescent="0.3">
      <c r="A225" s="216"/>
      <c r="B225" s="216"/>
      <c r="C225" s="228" t="s">
        <v>1229</v>
      </c>
      <c r="D225" s="228"/>
      <c r="E225" s="578"/>
      <c r="F225" s="578"/>
      <c r="G225" s="216" t="s">
        <v>1379</v>
      </c>
      <c r="H225" s="228" t="s">
        <v>291</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292</v>
      </c>
      <c r="N225" s="228" t="s">
        <v>1231</v>
      </c>
      <c r="O225" s="262"/>
      <c r="P225" s="215"/>
    </row>
    <row r="226" spans="1:17" ht="12.75" customHeight="1" x14ac:dyDescent="0.3">
      <c r="A226" s="216"/>
      <c r="B226" s="216"/>
      <c r="C226" s="228" t="s">
        <v>1229</v>
      </c>
      <c r="D226" s="228"/>
      <c r="E226" s="578"/>
      <c r="F226" s="578"/>
      <c r="G226" s="216" t="s">
        <v>1380</v>
      </c>
      <c r="H226" s="228" t="s">
        <v>291</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292</v>
      </c>
      <c r="N226" s="228" t="s">
        <v>1231</v>
      </c>
      <c r="O226" s="262"/>
      <c r="P226" s="215"/>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row>
    <row r="228" spans="1:17" ht="12.75" customHeight="1" x14ac:dyDescent="0.3">
      <c r="A228" t="s">
        <v>1381</v>
      </c>
      <c r="I228" s="611"/>
      <c r="O228" s="19"/>
      <c r="P228" s="11"/>
      <c r="Q228" s="11"/>
    </row>
    <row r="229" spans="1:17" s="413" customFormat="1" ht="12.75" customHeight="1" x14ac:dyDescent="0.3">
      <c r="A229" s="630" t="s">
        <v>1382</v>
      </c>
      <c r="G229" s="630" t="s">
        <v>258</v>
      </c>
      <c r="H229" s="630" t="s">
        <v>274</v>
      </c>
      <c r="I229" s="646" t="s">
        <v>259</v>
      </c>
      <c r="J229" s="498" t="s">
        <v>275</v>
      </c>
      <c r="K229" s="647" t="s">
        <v>260</v>
      </c>
      <c r="L229" s="648" t="s">
        <v>261</v>
      </c>
      <c r="N229" s="630" t="s">
        <v>262</v>
      </c>
      <c r="O229" s="209" t="s">
        <v>1383</v>
      </c>
      <c r="P229" s="413" t="s">
        <v>1384</v>
      </c>
    </row>
    <row r="230" spans="1:17" s="410" customFormat="1" ht="12.75" customHeight="1" x14ac:dyDescent="0.3">
      <c r="A230" s="410" t="s">
        <v>1385</v>
      </c>
      <c r="G230" s="654"/>
      <c r="H230" s="654"/>
      <c r="I230" s="655"/>
      <c r="J230" s="656"/>
      <c r="K230" s="657"/>
      <c r="L230" s="658"/>
      <c r="O230" s="417"/>
    </row>
    <row r="231" spans="1:17" customFormat="1" ht="12.75" customHeight="1" x14ac:dyDescent="0.3">
      <c r="A231" s="566" t="s">
        <v>1386</v>
      </c>
      <c r="B231" s="566"/>
      <c r="C231" s="566"/>
      <c r="D231" s="566"/>
      <c r="E231" s="566"/>
      <c r="F231" s="566"/>
      <c r="G231" s="566" t="s">
        <v>1387</v>
      </c>
      <c r="H231" s="567" t="s">
        <v>335</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335</v>
      </c>
      <c r="N231" s="566"/>
      <c r="O231" s="604">
        <v>2</v>
      </c>
      <c r="P231" s="566" t="s">
        <v>1388</v>
      </c>
    </row>
    <row r="232" spans="1:17" s="11" customFormat="1" ht="12.75" customHeight="1" x14ac:dyDescent="0.3">
      <c r="A232" s="566"/>
      <c r="B232" s="566" t="s">
        <v>1389</v>
      </c>
      <c r="C232" s="566"/>
      <c r="D232" s="566"/>
      <c r="E232" s="566"/>
      <c r="F232" s="566"/>
      <c r="G232" s="566" t="s">
        <v>1390</v>
      </c>
      <c r="H232" s="566" t="s">
        <v>335</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335</v>
      </c>
      <c r="N232" s="566"/>
      <c r="O232" s="605">
        <v>10</v>
      </c>
      <c r="P232" s="566" t="s">
        <v>908</v>
      </c>
      <c r="Q232"/>
    </row>
    <row r="233" spans="1:17" ht="12.75" customHeight="1" x14ac:dyDescent="0.3">
      <c r="A233" s="566"/>
      <c r="B233" s="566"/>
      <c r="C233" s="566" t="s">
        <v>1391</v>
      </c>
      <c r="D233" s="566"/>
      <c r="E233" s="566"/>
      <c r="F233" s="566"/>
      <c r="G233" s="567" t="s">
        <v>1392</v>
      </c>
      <c r="H233" s="567" t="s">
        <v>291</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291</v>
      </c>
      <c r="N233" s="566"/>
      <c r="O233" s="675" t="s">
        <v>1393</v>
      </c>
      <c r="P233" s="584"/>
      <c r="Q233"/>
    </row>
    <row r="234" spans="1:17" ht="12.75" customHeight="1" x14ac:dyDescent="0.3">
      <c r="A234" s="566"/>
      <c r="B234" s="566"/>
      <c r="C234" s="566"/>
      <c r="D234" s="566" t="s">
        <v>1394</v>
      </c>
      <c r="E234" s="566"/>
      <c r="F234" s="566"/>
      <c r="G234" s="566" t="s">
        <v>1395</v>
      </c>
      <c r="H234" s="566" t="s">
        <v>900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900</v>
      </c>
      <c r="N234" s="566"/>
      <c r="O234" s="605"/>
      <c r="P234" s="584"/>
      <c r="Q234"/>
    </row>
    <row r="235" spans="1:17" s="386" customFormat="1" ht="12.75" customHeight="1" x14ac:dyDescent="0.3">
      <c r="A235" s="566"/>
      <c r="B235" s="566"/>
      <c r="C235" s="566"/>
      <c r="D235" s="566" t="s">
        <v>1396</v>
      </c>
      <c r="E235" s="566"/>
      <c r="F235" s="566"/>
      <c r="G235" s="567" t="s">
        <v>1397</v>
      </c>
      <c r="H235" s="567" t="s">
        <v>866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866</v>
      </c>
      <c r="N235" s="577"/>
      <c r="O235" s="606"/>
      <c r="P235" s="577"/>
      <c r="Q235"/>
    </row>
    <row r="236" spans="1:17" ht="12.75" customHeight="1" x14ac:dyDescent="0.3">
      <c r="A236" s="566" t="s">
        <v>1398</v>
      </c>
      <c r="B236" s="566"/>
      <c r="C236" s="566"/>
      <c r="D236" s="566"/>
      <c r="E236" s="566"/>
      <c r="F236" s="566"/>
      <c r="G236" s="566" t="s">
        <v>1399</v>
      </c>
      <c r="H236" s="566" t="s">
        <v>335</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335</v>
      </c>
      <c r="N236" s="566"/>
      <c r="O236" s="605"/>
      <c r="P236" s="584"/>
      <c r="Q236"/>
    </row>
    <row r="237" spans="1:17" s="386" customFormat="1" ht="12.75" customHeight="1" x14ac:dyDescent="0.3">
      <c r="A237" s="566"/>
      <c r="B237" s="566"/>
      <c r="C237" s="566" t="s">
        <v>1400</v>
      </c>
      <c r="D237" s="566"/>
      <c r="E237" s="566"/>
      <c r="F237" s="566"/>
      <c r="G237" s="567" t="s">
        <v>1401</v>
      </c>
      <c r="H237" s="567" t="s">
        <v>866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866</v>
      </c>
      <c r="N237" s="577"/>
      <c r="O237" s="606"/>
      <c r="P237" s="577"/>
      <c r="Q237"/>
    </row>
    <row r="238" spans="1:17" ht="12.75" customHeight="1" x14ac:dyDescent="0.3">
      <c r="A238" s="566"/>
      <c r="B238" s="566"/>
      <c r="C238" s="566" t="s">
        <v>1402</v>
      </c>
      <c r="D238" s="566"/>
      <c r="E238" s="566"/>
      <c r="F238" s="566"/>
      <c r="G238" s="566" t="s">
        <v>1403</v>
      </c>
      <c r="H238" s="566" t="s">
        <v>900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900</v>
      </c>
      <c r="N238" s="566"/>
      <c r="O238" s="605"/>
      <c r="P238" s="584"/>
      <c r="Q238"/>
    </row>
    <row r="239" spans="1:17" ht="12.75" customHeight="1" x14ac:dyDescent="0.3">
      <c r="A239" s="566"/>
      <c r="B239" s="566"/>
      <c r="C239" s="566" t="s">
        <v>1404</v>
      </c>
      <c r="D239" s="566"/>
      <c r="E239" s="566"/>
      <c r="F239" s="566"/>
      <c r="G239" s="567" t="s">
        <v>1405</v>
      </c>
      <c r="H239" s="567" t="s">
        <v>291</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291</v>
      </c>
      <c r="N239" s="566"/>
      <c r="O239" s="605"/>
      <c r="P239" s="584"/>
      <c r="Q239"/>
    </row>
    <row r="240" spans="1:17" ht="12.75" customHeight="1" x14ac:dyDescent="0.3">
      <c r="A240" s="566" t="s">
        <v>1406</v>
      </c>
      <c r="B240" s="566"/>
      <c r="C240" s="566"/>
      <c r="D240" s="566"/>
      <c r="E240" s="566"/>
      <c r="F240" s="566"/>
      <c r="G240" s="567" t="s">
        <v>1407</v>
      </c>
      <c r="H240" s="567" t="s">
        <v>335</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335</v>
      </c>
      <c r="N240" s="566"/>
      <c r="O240" s="605"/>
      <c r="P240" s="584"/>
      <c r="Q240"/>
    </row>
    <row r="241" spans="1:17" s="386" customFormat="1" ht="12.75" customHeight="1" x14ac:dyDescent="0.3">
      <c r="A241" s="566"/>
      <c r="B241" s="566" t="s">
        <v>1408</v>
      </c>
      <c r="C241" s="566"/>
      <c r="D241" s="566"/>
      <c r="E241" s="566"/>
      <c r="F241" s="566"/>
      <c r="G241" s="567" t="s">
        <v>1409</v>
      </c>
      <c r="H241" s="567" t="s">
        <v>866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866</v>
      </c>
      <c r="N241" s="577"/>
      <c r="O241" s="606"/>
      <c r="P241" s="577"/>
      <c r="Q241"/>
    </row>
    <row r="242" spans="1:17" ht="12.75" customHeight="1" x14ac:dyDescent="0.3">
      <c r="A242" s="566"/>
      <c r="B242" s="566" t="s">
        <v>1410</v>
      </c>
      <c r="C242" s="566"/>
      <c r="D242" s="566"/>
      <c r="E242" s="566"/>
      <c r="F242" s="566"/>
      <c r="G242" s="566" t="s">
        <v>1411</v>
      </c>
      <c r="H242" s="566" t="s">
        <v>900</v>
      </c>
      <c r="I242" s="572"/>
      <c r="J242" s="294"/>
      <c r="K242" s="896">
        <f>(kboltz*TEMP.R*(1+(66*10^-9/RadCP.a)*(1.142+0.558*EXP(-0.999/(66*10^-9/RadCP.a)))))/(6*PI()*DYNVISC.a*RadCP.a)</f>
        <v>1.3887806825099405E-11</v>
      </c>
      <c r="L242" s="298">
        <f t="shared" si="12"/>
        <v>1.3887806825099405E-11</v>
      </c>
      <c r="M242" s="566" t="s">
        <v>900</v>
      </c>
      <c r="N242" s="566"/>
      <c r="O242" s="605"/>
      <c r="P242" s="584"/>
      <c r="Q242"/>
    </row>
    <row r="243" spans="1:17" ht="12.75" customHeight="1" x14ac:dyDescent="0.3">
      <c r="A243" s="566"/>
      <c r="B243" s="566" t="s">
        <v>1412</v>
      </c>
      <c r="C243" s="566"/>
      <c r="D243" s="566"/>
      <c r="E243" s="566"/>
      <c r="F243" s="566"/>
      <c r="G243" s="567" t="s">
        <v>1413</v>
      </c>
      <c r="H243" s="567" t="s">
        <v>291</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291</v>
      </c>
      <c r="N243" s="566"/>
      <c r="O243" s="605"/>
      <c r="P243" s="584"/>
      <c r="Q243"/>
    </row>
    <row r="244" spans="1:17" s="410" customFormat="1" ht="12.75" customHeight="1" x14ac:dyDescent="0.3">
      <c r="A244" s="410" t="s">
        <v>1414</v>
      </c>
      <c r="G244" s="654"/>
      <c r="H244" s="654"/>
      <c r="I244" s="655"/>
      <c r="J244" s="640"/>
      <c r="K244" s="657"/>
      <c r="L244" s="658"/>
      <c r="O244" s="417"/>
    </row>
    <row r="245" spans="1:17" customFormat="1" ht="12.75" customHeight="1" x14ac:dyDescent="0.3">
      <c r="A245" s="566" t="s">
        <v>1415</v>
      </c>
      <c r="B245" s="566"/>
      <c r="C245" s="566"/>
      <c r="D245" s="566"/>
      <c r="E245" s="566"/>
      <c r="F245" s="566"/>
      <c r="G245" s="566" t="s">
        <v>1416</v>
      </c>
      <c r="H245" s="566" t="s">
        <v>335</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335</v>
      </c>
      <c r="N245" s="566"/>
      <c r="O245" s="604"/>
      <c r="P245" s="566"/>
    </row>
    <row r="246" spans="1:17" customFormat="1" ht="12.75" customHeight="1" x14ac:dyDescent="0.3">
      <c r="A246" s="566"/>
      <c r="B246" s="566" t="s">
        <v>1417</v>
      </c>
      <c r="C246" s="566"/>
      <c r="D246" s="566"/>
      <c r="E246" s="566"/>
      <c r="F246" s="566"/>
      <c r="G246" s="566" t="s">
        <v>1418</v>
      </c>
      <c r="H246" s="566" t="s">
        <v>708</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708</v>
      </c>
      <c r="N246" s="577"/>
      <c r="O246" s="604"/>
      <c r="P246" s="566"/>
    </row>
    <row r="247" spans="1:17" customFormat="1" ht="12.75" customHeight="1" x14ac:dyDescent="0.3">
      <c r="A247" s="566"/>
      <c r="B247" s="566" t="s">
        <v>1419</v>
      </c>
      <c r="C247" s="566"/>
      <c r="D247" s="566"/>
      <c r="E247" s="566"/>
      <c r="F247" s="566"/>
      <c r="G247" s="566" t="s">
        <v>1420</v>
      </c>
      <c r="H247" s="566" t="s">
        <v>335</v>
      </c>
      <c r="I247" s="572"/>
      <c r="J247" s="294" t="str">
        <f>IF(ISBLANK(HLOOKUP(CaseName,CaseData,MATCH($G247,cases!$G$4:$G$2494,0),FALSE)),"",HLOOKUP(CaseName,CaseData,MATCH($G247,cases!$G$4:$G$2494,0),FALSE))</f>
        <v/>
      </c>
      <c r="K247" s="620">
        <f>L260+L261+L248</f>
        <v>8.3871790100664376E-17</v>
      </c>
      <c r="L247" s="551">
        <f t="shared" si="13"/>
        <v>8.3871790100664376E-17</v>
      </c>
      <c r="M247" s="566" t="s">
        <v>335</v>
      </c>
      <c r="N247" s="566"/>
      <c r="O247" s="604"/>
      <c r="P247" s="566"/>
    </row>
    <row r="248" spans="1:17" customFormat="1" ht="12.75" customHeight="1" x14ac:dyDescent="0.3">
      <c r="A248" s="566"/>
      <c r="B248" s="566"/>
      <c r="C248" s="566" t="s">
        <v>1421</v>
      </c>
      <c r="D248" s="566"/>
      <c r="E248" s="566"/>
      <c r="F248" s="566"/>
      <c r="G248" s="567" t="s">
        <v>1422</v>
      </c>
      <c r="H248" s="567" t="s">
        <v>335</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335</v>
      </c>
      <c r="N248" s="566"/>
      <c r="O248" s="604"/>
      <c r="P248" s="566"/>
    </row>
    <row r="249" spans="1:17" customFormat="1" ht="12.75" customHeight="1" x14ac:dyDescent="0.3">
      <c r="A249" s="566"/>
      <c r="B249" s="566"/>
      <c r="C249" s="566"/>
      <c r="D249" s="566" t="s">
        <v>1423</v>
      </c>
      <c r="E249" s="566"/>
      <c r="F249" s="566"/>
      <c r="G249" s="566" t="s">
        <v>1424</v>
      </c>
      <c r="H249" s="566" t="s">
        <v>335</v>
      </c>
      <c r="I249" s="572"/>
      <c r="J249" s="294" t="str">
        <f>IF(ISBLANK(HLOOKUP(CaseName,CaseData,MATCH($G249,cases!$G$4:$G$2494,0),FALSE)),"",HLOOKUP(CaseName,CaseData,MATCH($G249,cases!$G$4:$G$2494,0),FALSE))</f>
        <v/>
      </c>
      <c r="K249" s="620">
        <v>1</v>
      </c>
      <c r="L249" s="551">
        <f t="shared" si="13"/>
        <v>1</v>
      </c>
      <c r="M249" s="566" t="s">
        <v>335</v>
      </c>
      <c r="N249" s="566"/>
      <c r="O249" s="604"/>
      <c r="P249" s="586" t="s">
        <v>1425</v>
      </c>
    </row>
    <row r="250" spans="1:17" ht="12.75" customHeight="1" x14ac:dyDescent="0.3">
      <c r="A250" s="566" t="s">
        <v>1426</v>
      </c>
      <c r="B250" s="566"/>
      <c r="C250" s="566"/>
      <c r="D250" s="566"/>
      <c r="E250" s="566"/>
      <c r="F250" s="566"/>
      <c r="G250" s="567" t="s">
        <v>1427</v>
      </c>
      <c r="H250" s="567" t="s">
        <v>335</v>
      </c>
      <c r="I250" s="572"/>
      <c r="J250" s="294" t="str">
        <f>IF(ISBLANK(HLOOKUP(CaseName,CaseData,MATCH($G250,cases!$G$4:$G$2494,0),FALSE)),"",HLOOKUP(CaseName,CaseData,MATCH($G250,cases!$G$4:$G$2494,0),FALSE))</f>
        <v/>
      </c>
      <c r="K250" s="620">
        <f>L252*L251*AtefSA.w1</f>
        <v>1.1338222835485395E-3</v>
      </c>
      <c r="L250" s="298">
        <f t="shared" si="13"/>
        <v>1.1338222835485395E-3</v>
      </c>
      <c r="M250" s="566" t="s">
        <v>335</v>
      </c>
      <c r="N250" s="566"/>
      <c r="O250" s="566"/>
      <c r="P250" s="584"/>
    </row>
    <row r="251" spans="1:17" ht="12.75" customHeight="1" x14ac:dyDescent="0.3">
      <c r="A251" s="566"/>
      <c r="B251" s="566" t="s">
        <v>1428</v>
      </c>
      <c r="C251" s="566"/>
      <c r="D251" s="566"/>
      <c r="E251" s="566"/>
      <c r="F251" s="566"/>
      <c r="G251" s="567" t="s">
        <v>1429</v>
      </c>
      <c r="H251" s="567" t="s">
        <v>708</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708</v>
      </c>
      <c r="N251" s="584"/>
      <c r="O251" s="605"/>
      <c r="P251" s="586" t="s">
        <v>1430</v>
      </c>
    </row>
    <row r="252" spans="1:17" ht="12.75" customHeight="1" x14ac:dyDescent="0.3">
      <c r="A252" s="566"/>
      <c r="B252" s="566" t="s">
        <v>1431</v>
      </c>
      <c r="C252" s="566"/>
      <c r="D252" s="566"/>
      <c r="E252" s="566"/>
      <c r="F252" s="566"/>
      <c r="G252" s="567" t="s">
        <v>1432</v>
      </c>
      <c r="H252" s="567" t="s">
        <v>335</v>
      </c>
      <c r="I252" s="572"/>
      <c r="J252" s="294" t="str">
        <f>IF(ISBLANK(HLOOKUP(CaseName,CaseData,MATCH($G252,cases!$G$4:$G$2494,0),FALSE)),"",HLOOKUP(CaseName,CaseData,MATCH($G252,cases!$G$4:$G$2494,0),FALSE))</f>
        <v/>
      </c>
      <c r="K252" s="620">
        <f>L253+L260+L261</f>
        <v>8.436334160066437E-17</v>
      </c>
      <c r="L252" s="298">
        <f t="shared" si="13"/>
        <v>8.436334160066437E-17</v>
      </c>
      <c r="M252" s="566" t="s">
        <v>335</v>
      </c>
      <c r="N252" s="566"/>
      <c r="O252" s="605"/>
      <c r="P252" s="584"/>
    </row>
    <row r="253" spans="1:17" ht="12.75" customHeight="1" x14ac:dyDescent="0.3">
      <c r="A253" s="566"/>
      <c r="B253" s="566"/>
      <c r="C253" s="566" t="s">
        <v>1421</v>
      </c>
      <c r="D253" s="566"/>
      <c r="E253" s="566"/>
      <c r="F253" s="566"/>
      <c r="G253" s="567" t="s">
        <v>1433</v>
      </c>
      <c r="H253" s="567" t="s">
        <v>335</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335</v>
      </c>
      <c r="N253" s="566"/>
      <c r="O253" s="605"/>
      <c r="P253" s="584"/>
    </row>
    <row r="254" spans="1:17" ht="12.75" customHeight="1" x14ac:dyDescent="0.3">
      <c r="A254" s="566"/>
      <c r="B254" s="566"/>
      <c r="C254" s="566"/>
      <c r="D254" s="566" t="s">
        <v>1434</v>
      </c>
      <c r="E254" s="566"/>
      <c r="F254" s="566"/>
      <c r="G254" s="567" t="s">
        <v>1435</v>
      </c>
      <c r="H254" s="567" t="s">
        <v>335</v>
      </c>
      <c r="I254" s="572"/>
      <c r="J254" s="294" t="str">
        <f>IF(ISBLANK(HLOOKUP(CaseName,CaseData,MATCH($G254,cases!$G$4:$G$2494,0),FALSE)),"",HLOOKUP(CaseName,CaseData,MATCH($G254,cases!$G$4:$G$2494,0),FALSE))</f>
        <v/>
      </c>
      <c r="K254" s="620">
        <v>100</v>
      </c>
      <c r="L254" s="298">
        <f t="shared" si="13"/>
        <v>100</v>
      </c>
      <c r="M254" s="567" t="s">
        <v>335</v>
      </c>
      <c r="N254" s="584"/>
      <c r="O254" s="605"/>
      <c r="P254" s="586" t="s">
        <v>1436</v>
      </c>
    </row>
    <row r="255" spans="1:17" ht="12.75" customHeight="1" x14ac:dyDescent="0.3">
      <c r="A255" s="566" t="s">
        <v>1437</v>
      </c>
      <c r="B255" s="566"/>
      <c r="C255" s="566"/>
      <c r="D255" s="566"/>
      <c r="E255" s="566"/>
      <c r="F255" s="566"/>
      <c r="G255" s="567" t="s">
        <v>1438</v>
      </c>
      <c r="H255" s="567" t="s">
        <v>335</v>
      </c>
      <c r="I255" s="572"/>
      <c r="J255" s="294" t="str">
        <f>IF(ISBLANK(HLOOKUP(CaseName,CaseData,MATCH($G255,cases!$G$4:$G$2494,0),FALSE)),"",HLOOKUP(CaseName,CaseData,MATCH($G255,cases!$G$4:$G$2494,0),FALSE))</f>
        <v/>
      </c>
      <c r="K255" s="620">
        <f>L257*L256*AtefSA.w2</f>
        <v>2.9679382350780224E-3</v>
      </c>
      <c r="L255" s="298">
        <f t="shared" si="13"/>
        <v>2.9679382350780224E-3</v>
      </c>
      <c r="M255" s="566" t="s">
        <v>335</v>
      </c>
      <c r="N255" s="566"/>
      <c r="O255" s="605"/>
      <c r="P255" s="584"/>
    </row>
    <row r="256" spans="1:17" ht="12.75" customHeight="1" x14ac:dyDescent="0.3">
      <c r="A256" s="566"/>
      <c r="B256" s="566" t="s">
        <v>1439</v>
      </c>
      <c r="C256" s="566"/>
      <c r="D256" s="566"/>
      <c r="E256" s="566"/>
      <c r="F256" s="566"/>
      <c r="G256" s="567" t="s">
        <v>1440</v>
      </c>
      <c r="H256" s="567" t="s">
        <v>708</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708</v>
      </c>
      <c r="N256" s="584"/>
      <c r="O256" s="605"/>
      <c r="P256" s="586" t="s">
        <v>1441</v>
      </c>
    </row>
    <row r="257" spans="1:16" ht="12.75" customHeight="1" x14ac:dyDescent="0.3">
      <c r="A257" s="566"/>
      <c r="B257" s="566" t="s">
        <v>1442</v>
      </c>
      <c r="C257" s="566"/>
      <c r="D257" s="566"/>
      <c r="E257" s="566"/>
      <c r="F257" s="566"/>
      <c r="G257" s="567" t="s">
        <v>1443</v>
      </c>
      <c r="H257" s="567" t="s">
        <v>335</v>
      </c>
      <c r="I257" s="572"/>
      <c r="J257" s="294" t="str">
        <f>IF(ISBLANK(HLOOKUP(CaseName,CaseData,MATCH($G257,cases!$G$4:$G$2494,0),FALSE)),"",HLOOKUP(CaseName,CaseData,MATCH($G257,cases!$G$4:$G$2494,0),FALSE))</f>
        <v/>
      </c>
      <c r="K257" s="620">
        <f>L258+L260+L261</f>
        <v>8.3916476600664372E-17</v>
      </c>
      <c r="L257" s="298">
        <f t="shared" si="13"/>
        <v>8.3916476600664372E-17</v>
      </c>
      <c r="M257" s="566" t="s">
        <v>335</v>
      </c>
      <c r="N257" s="566"/>
      <c r="O257" s="605"/>
      <c r="P257" s="584"/>
    </row>
    <row r="258" spans="1:16" ht="12.75" customHeight="1" x14ac:dyDescent="0.3">
      <c r="A258" s="566"/>
      <c r="B258" s="566"/>
      <c r="C258" s="566" t="s">
        <v>1421</v>
      </c>
      <c r="D258" s="566"/>
      <c r="E258" s="566"/>
      <c r="F258" s="566"/>
      <c r="G258" s="567" t="s">
        <v>1444</v>
      </c>
      <c r="H258" s="567" t="s">
        <v>335</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335</v>
      </c>
      <c r="N258" s="566"/>
      <c r="O258" s="605"/>
      <c r="P258" s="584"/>
    </row>
    <row r="259" spans="1:16" ht="12.75" customHeight="1" x14ac:dyDescent="0.3">
      <c r="A259" s="566"/>
      <c r="B259" s="566"/>
      <c r="C259" s="566"/>
      <c r="D259" s="566" t="s">
        <v>1445</v>
      </c>
      <c r="E259" s="566"/>
      <c r="F259" s="566"/>
      <c r="G259" s="567" t="s">
        <v>1446</v>
      </c>
      <c r="H259" s="567" t="s">
        <v>335</v>
      </c>
      <c r="I259" s="572"/>
      <c r="J259" s="294" t="str">
        <f>IF(ISBLANK(HLOOKUP(CaseName,CaseData,MATCH($G259,cases!$G$4:$G$2494,0),FALSE)),"",HLOOKUP(CaseName,CaseData,MATCH($G259,cases!$G$4:$G$2494,0),FALSE))</f>
        <v/>
      </c>
      <c r="K259" s="620">
        <v>10</v>
      </c>
      <c r="L259" s="298">
        <f t="shared" si="13"/>
        <v>10</v>
      </c>
      <c r="M259" s="567" t="s">
        <v>335</v>
      </c>
      <c r="N259" s="584"/>
      <c r="O259" s="605"/>
      <c r="P259" s="586" t="s">
        <v>1425</v>
      </c>
    </row>
    <row r="260" spans="1:16" customFormat="1" ht="12.75" customHeight="1" x14ac:dyDescent="0.3">
      <c r="A260" s="566"/>
      <c r="B260" s="566"/>
      <c r="C260" s="566" t="s">
        <v>1447</v>
      </c>
      <c r="D260" s="566"/>
      <c r="E260" s="566"/>
      <c r="F260" s="566"/>
      <c r="G260" s="566" t="s">
        <v>1448</v>
      </c>
      <c r="H260" s="566" t="s">
        <v>335</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335</v>
      </c>
      <c r="N260" s="566"/>
      <c r="O260" s="604"/>
      <c r="P260" s="566"/>
    </row>
    <row r="261" spans="1:16" ht="12.75" customHeight="1" x14ac:dyDescent="0.3">
      <c r="A261" s="566"/>
      <c r="B261" s="566"/>
      <c r="C261" s="566" t="s">
        <v>1449</v>
      </c>
      <c r="D261" s="566"/>
      <c r="E261" s="566"/>
      <c r="F261" s="566"/>
      <c r="G261" s="567" t="s">
        <v>1450</v>
      </c>
      <c r="H261" s="567" t="s">
        <v>335</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335</v>
      </c>
      <c r="N261" s="566"/>
      <c r="O261" s="605"/>
      <c r="P261" s="584"/>
    </row>
    <row r="262" spans="1:16" s="410" customFormat="1" ht="12.75" customHeight="1" x14ac:dyDescent="0.3">
      <c r="A262" s="410" t="s">
        <v>1451</v>
      </c>
      <c r="G262" s="654"/>
      <c r="H262" s="654"/>
      <c r="I262" s="655"/>
      <c r="J262" s="640"/>
      <c r="K262" s="657"/>
      <c r="L262" s="658"/>
      <c r="O262" s="417"/>
    </row>
    <row r="263" spans="1:16" ht="12.75" customHeight="1" x14ac:dyDescent="0.3">
      <c r="A263" s="566" t="s">
        <v>1452</v>
      </c>
      <c r="B263" s="566"/>
      <c r="C263" s="566"/>
      <c r="D263" s="566"/>
      <c r="E263" s="566"/>
      <c r="F263" s="566"/>
      <c r="G263" s="567" t="s">
        <v>1453</v>
      </c>
      <c r="H263" s="567" t="s">
        <v>335</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335</v>
      </c>
      <c r="N263" s="566"/>
      <c r="O263" s="605"/>
      <c r="P263" s="584"/>
    </row>
    <row r="264" spans="1:16" ht="12.75" customHeight="1" x14ac:dyDescent="0.3">
      <c r="A264" s="566"/>
      <c r="B264" s="566" t="s">
        <v>1454</v>
      </c>
      <c r="C264" s="566"/>
      <c r="D264" s="566"/>
      <c r="E264" s="566"/>
      <c r="F264" s="566"/>
      <c r="G264" s="567" t="s">
        <v>1455</v>
      </c>
      <c r="H264" s="567" t="s">
        <v>708</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708</v>
      </c>
      <c r="N264" s="566" t="s">
        <v>1456</v>
      </c>
      <c r="O264" s="605"/>
      <c r="P264" s="584"/>
    </row>
    <row r="265" spans="1:16" ht="12.75" customHeight="1" x14ac:dyDescent="0.3">
      <c r="A265" s="566"/>
      <c r="B265" s="566" t="s">
        <v>1457</v>
      </c>
      <c r="C265" s="566"/>
      <c r="D265" s="566"/>
      <c r="E265" s="566"/>
      <c r="F265" s="566"/>
      <c r="G265" s="567" t="s">
        <v>1458</v>
      </c>
      <c r="H265" s="566" t="s">
        <v>335</v>
      </c>
      <c r="I265" s="572"/>
      <c r="J265" s="294" t="str">
        <f>IF(ISBLANK(HLOOKUP(CaseName,CaseData,MATCH($G265,cases!$G$4:$G$2494,0),FALSE)),"",HLOOKUP(CaseName,CaseData,MATCH($G265,cases!$G$4:$G$2494,0),FALSE))</f>
        <v/>
      </c>
      <c r="K265" s="620">
        <f>L275+L266+L276</f>
        <v>2.4465382188211815E-15</v>
      </c>
      <c r="L265" s="298">
        <f t="shared" si="14"/>
        <v>2.4465382188211815E-15</v>
      </c>
      <c r="M265" s="566" t="s">
        <v>335</v>
      </c>
      <c r="N265" s="566"/>
      <c r="O265" s="605"/>
      <c r="P265" s="584"/>
    </row>
    <row r="266" spans="1:16" ht="12.75" customHeight="1" x14ac:dyDescent="0.3">
      <c r="A266" s="566"/>
      <c r="B266" s="566"/>
      <c r="C266" s="566" t="s">
        <v>1459</v>
      </c>
      <c r="D266" s="566"/>
      <c r="E266" s="566"/>
      <c r="F266" s="566"/>
      <c r="G266" s="567" t="s">
        <v>1460</v>
      </c>
      <c r="H266" s="567" t="s">
        <v>335</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335</v>
      </c>
      <c r="N266" s="566"/>
      <c r="O266" s="605"/>
      <c r="P266" s="584"/>
    </row>
    <row r="267" spans="1:16" ht="12.75" customHeight="1" x14ac:dyDescent="0.3">
      <c r="A267" s="566" t="s">
        <v>1461</v>
      </c>
      <c r="B267" s="566"/>
      <c r="C267" s="566"/>
      <c r="D267" s="566"/>
      <c r="E267" s="566"/>
      <c r="F267" s="566"/>
      <c r="G267" s="567" t="s">
        <v>1462</v>
      </c>
      <c r="H267" s="567" t="s">
        <v>335</v>
      </c>
      <c r="I267" s="572"/>
      <c r="J267" s="294" t="str">
        <f>IF(ISBLANK(HLOOKUP(CaseName,CaseData,MATCH($G267,cases!$G$4:$G$2494,0),FALSE)),"",HLOOKUP(CaseName,CaseData,MATCH($G267,cases!$G$4:$G$2494,0),FALSE))</f>
        <v/>
      </c>
      <c r="K267" s="620">
        <f>L268*L269*AtefSP.w1</f>
        <v>2.8783432163457325E-4</v>
      </c>
      <c r="L267" s="298">
        <f t="shared" si="14"/>
        <v>2.8783432163457325E-4</v>
      </c>
      <c r="M267" s="566" t="s">
        <v>335</v>
      </c>
      <c r="N267" s="566"/>
      <c r="O267" s="605"/>
      <c r="P267" s="584"/>
    </row>
    <row r="268" spans="1:16" ht="12.75" customHeight="1" x14ac:dyDescent="0.3">
      <c r="A268" s="566"/>
      <c r="B268" s="566" t="s">
        <v>1463</v>
      </c>
      <c r="C268" s="566"/>
      <c r="D268" s="566"/>
      <c r="E268" s="566"/>
      <c r="F268" s="566"/>
      <c r="G268" s="567" t="s">
        <v>1464</v>
      </c>
      <c r="H268" s="567" t="s">
        <v>708</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708</v>
      </c>
      <c r="N268" s="566" t="s">
        <v>1465</v>
      </c>
      <c r="O268" s="605"/>
      <c r="P268" s="584"/>
    </row>
    <row r="269" spans="1:16" ht="12.75" customHeight="1" x14ac:dyDescent="0.3">
      <c r="A269" s="566"/>
      <c r="B269" s="566" t="s">
        <v>1466</v>
      </c>
      <c r="C269" s="566"/>
      <c r="D269" s="566"/>
      <c r="E269" s="566"/>
      <c r="F269" s="566"/>
      <c r="G269" s="567" t="s">
        <v>1467</v>
      </c>
      <c r="H269" s="566" t="s">
        <v>335</v>
      </c>
      <c r="I269" s="572"/>
      <c r="J269" s="294" t="str">
        <f>IF(ISBLANK(HLOOKUP(CaseName,CaseData,MATCH($G269,cases!$G$4:$G$2494,0),FALSE)),"",HLOOKUP(CaseName,CaseData,MATCH($G269,cases!$G$4:$G$2494,0),FALSE))</f>
        <v/>
      </c>
      <c r="K269" s="620">
        <f>L270+L275+L276</f>
        <v>6.0283879353211813E-15</v>
      </c>
      <c r="L269" s="298">
        <f t="shared" si="14"/>
        <v>6.0283879353211813E-15</v>
      </c>
      <c r="M269" s="566" t="s">
        <v>335</v>
      </c>
      <c r="N269" s="566"/>
      <c r="O269" s="605"/>
      <c r="P269" s="584"/>
    </row>
    <row r="270" spans="1:16" ht="12.75" customHeight="1" x14ac:dyDescent="0.3">
      <c r="A270" s="566"/>
      <c r="B270" s="566"/>
      <c r="C270" s="566" t="s">
        <v>1459</v>
      </c>
      <c r="D270" s="566"/>
      <c r="E270" s="566"/>
      <c r="F270" s="566"/>
      <c r="G270" s="567" t="s">
        <v>1468</v>
      </c>
      <c r="H270" s="567" t="s">
        <v>335</v>
      </c>
      <c r="I270" s="572"/>
      <c r="J270" s="294" t="str">
        <f>IF(ISBLANK(HLOOKUP(CaseName,CaseData,MATCH($G270,cases!$G$4:$G$2494,0),FALSE)),"",HLOOKUP(CaseName,CaseData,MATCH($G270,cases!$G$4:$G$2494,0),FALSE))</f>
        <v/>
      </c>
      <c r="K270" s="620">
        <f>(4/3)*L254*(RadS+RadSPM.w)^3</f>
        <v>3.618030016666666E-15</v>
      </c>
      <c r="L270" s="298">
        <f t="shared" si="14"/>
        <v>3.618030016666666E-15</v>
      </c>
      <c r="M270" s="566" t="s">
        <v>335</v>
      </c>
      <c r="N270" s="566"/>
      <c r="O270" s="605"/>
      <c r="P270" s="584"/>
    </row>
    <row r="271" spans="1:16" ht="12.75" customHeight="1" x14ac:dyDescent="0.3">
      <c r="A271" s="566" t="s">
        <v>1469</v>
      </c>
      <c r="B271" s="566"/>
      <c r="C271" s="566"/>
      <c r="D271" s="566"/>
      <c r="E271" s="566"/>
      <c r="F271" s="566"/>
      <c r="G271" s="567" t="s">
        <v>1470</v>
      </c>
      <c r="H271" s="567" t="s">
        <v>335</v>
      </c>
      <c r="I271" s="572"/>
      <c r="J271" s="294" t="str">
        <f>IF(ISBLANK(HLOOKUP(CaseName,CaseData,MATCH($G271,cases!$G$4:$G$2494,0),FALSE)),"",HLOOKUP(CaseName,CaseData,MATCH($G271,cases!$G$4:$G$2494,0),FALSE))</f>
        <v/>
      </c>
      <c r="K271" s="620">
        <f>L272*L273*AtefSP.w2</f>
        <v>4.9022568168365979E-5</v>
      </c>
      <c r="L271" s="298">
        <f t="shared" si="14"/>
        <v>4.9022568168365979E-5</v>
      </c>
      <c r="M271" s="566" t="s">
        <v>335</v>
      </c>
      <c r="N271" s="566"/>
      <c r="O271" s="605"/>
      <c r="P271" s="584"/>
    </row>
    <row r="272" spans="1:16" ht="12.75" customHeight="1" x14ac:dyDescent="0.3">
      <c r="A272" s="566"/>
      <c r="B272" s="566" t="s">
        <v>1471</v>
      </c>
      <c r="C272" s="566"/>
      <c r="D272" s="566"/>
      <c r="E272" s="566"/>
      <c r="F272" s="566"/>
      <c r="G272" s="567" t="s">
        <v>1472</v>
      </c>
      <c r="H272" s="567" t="s">
        <v>708</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708</v>
      </c>
      <c r="N272" s="566" t="s">
        <v>1473</v>
      </c>
      <c r="O272" s="605"/>
      <c r="P272" s="584"/>
    </row>
    <row r="273" spans="1:16" ht="12.75" customHeight="1" x14ac:dyDescent="0.3">
      <c r="A273" s="566"/>
      <c r="B273" s="566" t="s">
        <v>1474</v>
      </c>
      <c r="C273" s="566"/>
      <c r="D273" s="566"/>
      <c r="E273" s="566"/>
      <c r="F273" s="566"/>
      <c r="G273" s="567" t="s">
        <v>1475</v>
      </c>
      <c r="H273" s="566" t="s">
        <v>335</v>
      </c>
      <c r="I273" s="572"/>
      <c r="J273" s="294" t="str">
        <f>IF(ISBLANK(HLOOKUP(CaseName,CaseData,MATCH($G273,cases!$G$4:$G$2494,0),FALSE)),"",HLOOKUP(CaseName,CaseData,MATCH($G273,cases!$G$4:$G$2494,0),FALSE))</f>
        <v/>
      </c>
      <c r="K273" s="620">
        <f>L275+L276+L274</f>
        <v>2.7721609203211815E-15</v>
      </c>
      <c r="L273" s="298">
        <f t="shared" si="14"/>
        <v>2.7721609203211815E-15</v>
      </c>
      <c r="M273" s="566" t="s">
        <v>335</v>
      </c>
      <c r="N273" s="566"/>
      <c r="O273" s="605"/>
      <c r="P273" s="584"/>
    </row>
    <row r="274" spans="1:16" ht="12.75" customHeight="1" x14ac:dyDescent="0.3">
      <c r="A274" s="566"/>
      <c r="B274" s="566"/>
      <c r="C274" s="566" t="s">
        <v>1459</v>
      </c>
      <c r="D274" s="566"/>
      <c r="E274" s="566"/>
      <c r="F274" s="566"/>
      <c r="G274" s="567" t="s">
        <v>1476</v>
      </c>
      <c r="H274" s="567" t="s">
        <v>335</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335</v>
      </c>
      <c r="N274" s="566"/>
      <c r="O274" s="605"/>
      <c r="P274" s="584"/>
    </row>
    <row r="275" spans="1:16" ht="12.75" customHeight="1" x14ac:dyDescent="0.3">
      <c r="A275" s="566"/>
      <c r="B275" s="566"/>
      <c r="C275" s="566" t="s">
        <v>1477</v>
      </c>
      <c r="D275" s="566"/>
      <c r="E275" s="566"/>
      <c r="F275" s="566"/>
      <c r="G275" s="567" t="s">
        <v>1478</v>
      </c>
      <c r="H275" s="567" t="s">
        <v>335</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335</v>
      </c>
      <c r="N275" s="566"/>
      <c r="O275" s="605"/>
      <c r="P275" s="584"/>
    </row>
    <row r="276" spans="1:16" ht="12.75" customHeight="1" x14ac:dyDescent="0.3">
      <c r="A276" s="566"/>
      <c r="B276" s="566"/>
      <c r="C276" s="566" t="s">
        <v>1479</v>
      </c>
      <c r="D276" s="566"/>
      <c r="E276" s="566"/>
      <c r="F276" s="566"/>
      <c r="G276" s="567" t="s">
        <v>1480</v>
      </c>
      <c r="H276" s="567" t="s">
        <v>335</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335</v>
      </c>
      <c r="N276" s="566"/>
      <c r="O276" s="605"/>
      <c r="P276" s="584"/>
    </row>
    <row r="277" spans="1:16" ht="12.75" customHeight="1" x14ac:dyDescent="0.3">
      <c r="A277" s="410" t="s">
        <v>1481</v>
      </c>
      <c r="I277" s="611"/>
      <c r="J277" s="640"/>
      <c r="K277"/>
      <c r="O277" s="19"/>
      <c r="P277" s="11"/>
    </row>
    <row r="278" spans="1:16" s="386" customFormat="1" ht="12.75" customHeight="1" x14ac:dyDescent="0.3">
      <c r="A278" s="566" t="s">
        <v>1482</v>
      </c>
      <c r="B278" s="566"/>
      <c r="C278" s="566"/>
      <c r="D278" s="566"/>
      <c r="E278" s="566"/>
      <c r="F278" s="566"/>
      <c r="G278" s="567" t="s">
        <v>1483</v>
      </c>
      <c r="H278" s="567" t="s">
        <v>335</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335</v>
      </c>
      <c r="N278" s="577"/>
      <c r="O278" s="606"/>
      <c r="P278" s="577"/>
    </row>
    <row r="279" spans="1:16" s="386" customFormat="1" ht="12.75" customHeight="1" x14ac:dyDescent="0.3">
      <c r="A279" s="566"/>
      <c r="B279" s="566" t="s">
        <v>1484</v>
      </c>
      <c r="C279" s="566"/>
      <c r="D279" s="566"/>
      <c r="E279" s="566"/>
      <c r="F279" s="566"/>
      <c r="G279" s="566" t="s">
        <v>1485</v>
      </c>
      <c r="H279" s="566" t="s">
        <v>708</v>
      </c>
      <c r="I279" s="572"/>
      <c r="J279" s="294" t="str">
        <f>IF(ISBLANK(HLOOKUP(CaseName,CaseData,MATCH($G279,cases!$G$4:$G$2494,0),FALSE)),"",HLOOKUP(CaseName,CaseData,MATCH($G279,cases!$G$4:$G$2494,0),FALSE))</f>
        <v/>
      </c>
      <c r="K279" s="620">
        <f>2*L246</f>
        <v>70735530263064.578</v>
      </c>
      <c r="L279" s="551">
        <f t="shared" si="15"/>
        <v>70735530263064.578</v>
      </c>
      <c r="M279" s="566" t="s">
        <v>708</v>
      </c>
      <c r="N279" s="566" t="s">
        <v>1486</v>
      </c>
      <c r="O279" s="606"/>
      <c r="P279" s="577"/>
    </row>
    <row r="280" spans="1:16" s="386" customFormat="1" ht="12.75" customHeight="1" x14ac:dyDescent="0.3">
      <c r="A280" s="566" t="s">
        <v>1487</v>
      </c>
      <c r="B280" s="566"/>
      <c r="C280" s="566"/>
      <c r="D280" s="566"/>
      <c r="E280" s="566"/>
      <c r="F280" s="566"/>
      <c r="G280" s="567" t="s">
        <v>1488</v>
      </c>
      <c r="H280" s="567" t="s">
        <v>335</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335</v>
      </c>
      <c r="N280" s="566"/>
      <c r="O280" s="606"/>
      <c r="P280" s="577"/>
    </row>
    <row r="281" spans="1:16" s="386" customFormat="1" ht="12.75" customHeight="1" x14ac:dyDescent="0.3">
      <c r="A281" s="566"/>
      <c r="B281" s="566" t="s">
        <v>1489</v>
      </c>
      <c r="C281" s="566"/>
      <c r="D281" s="566"/>
      <c r="E281" s="566"/>
      <c r="F281" s="566"/>
      <c r="G281" s="567" t="s">
        <v>1490</v>
      </c>
      <c r="H281" s="567" t="s">
        <v>708</v>
      </c>
      <c r="I281" s="572"/>
      <c r="J281" s="294" t="str">
        <f>IF(ISBLANK(HLOOKUP(CaseName,CaseData,MATCH($G281,cases!$G$4:$G$2494,0),FALSE)),"",HLOOKUP(CaseName,CaseData,MATCH($G281,cases!$G$4:$G$2494,0),FALSE))</f>
        <v/>
      </c>
      <c r="K281" s="620">
        <f>2*L251</f>
        <v>70735530263064.578</v>
      </c>
      <c r="L281" s="298">
        <f t="shared" si="15"/>
        <v>70735530263064.578</v>
      </c>
      <c r="M281" s="567" t="s">
        <v>708</v>
      </c>
      <c r="N281" s="566" t="s">
        <v>1486</v>
      </c>
      <c r="O281" s="606"/>
      <c r="P281" s="593"/>
    </row>
    <row r="282" spans="1:16" s="386" customFormat="1" ht="12.75" customHeight="1" x14ac:dyDescent="0.3">
      <c r="A282" s="566" t="s">
        <v>1491</v>
      </c>
      <c r="B282" s="566"/>
      <c r="C282" s="566"/>
      <c r="D282" s="566"/>
      <c r="E282" s="566"/>
      <c r="F282" s="566"/>
      <c r="G282" s="567" t="s">
        <v>1492</v>
      </c>
      <c r="H282" s="567" t="s">
        <v>335</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335</v>
      </c>
      <c r="N282" s="566"/>
      <c r="O282" s="606"/>
      <c r="P282" s="577"/>
    </row>
    <row r="283" spans="1:16" s="386" customFormat="1" ht="12.75" customHeight="1" x14ac:dyDescent="0.3">
      <c r="A283" s="566"/>
      <c r="B283" s="566" t="s">
        <v>1493</v>
      </c>
      <c r="C283" s="566"/>
      <c r="D283" s="566"/>
      <c r="E283" s="566"/>
      <c r="F283" s="566"/>
      <c r="G283" s="567" t="s">
        <v>1494</v>
      </c>
      <c r="H283" s="567" t="s">
        <v>708</v>
      </c>
      <c r="I283" s="572"/>
      <c r="J283" s="294" t="str">
        <f>IF(ISBLANK(HLOOKUP(CaseName,CaseData,MATCH($G283,cases!$G$4:$G$2494,0),FALSE)),"",HLOOKUP(CaseName,CaseData,MATCH($G283,cases!$G$4:$G$2494,0),FALSE))</f>
        <v/>
      </c>
      <c r="K283" s="620">
        <f>2*L256</f>
        <v>70735530263064.578</v>
      </c>
      <c r="L283" s="298">
        <f t="shared" si="15"/>
        <v>70735530263064.578</v>
      </c>
      <c r="M283" s="567" t="s">
        <v>708</v>
      </c>
      <c r="N283" s="566" t="s">
        <v>1486</v>
      </c>
      <c r="O283" s="606"/>
      <c r="P283" s="593"/>
    </row>
    <row r="284" spans="1:16" s="386" customFormat="1" ht="12.75" customHeight="1" x14ac:dyDescent="0.3">
      <c r="A284" s="566"/>
      <c r="B284" s="566"/>
      <c r="C284" s="566" t="s">
        <v>1447</v>
      </c>
      <c r="D284" s="566"/>
      <c r="E284" s="566"/>
      <c r="F284" s="566"/>
      <c r="G284" s="566" t="s">
        <v>1495</v>
      </c>
      <c r="H284" s="566" t="s">
        <v>335</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335</v>
      </c>
      <c r="N284" s="577"/>
      <c r="O284" s="606"/>
      <c r="P284" s="577"/>
    </row>
    <row r="285" spans="1:16" s="386" customFormat="1" ht="12.75" customHeight="1" x14ac:dyDescent="0.3">
      <c r="A285" s="566"/>
      <c r="B285" s="566"/>
      <c r="C285" s="566" t="s">
        <v>1449</v>
      </c>
      <c r="D285" s="566"/>
      <c r="E285" s="566"/>
      <c r="F285" s="566"/>
      <c r="G285" s="567" t="s">
        <v>1496</v>
      </c>
      <c r="H285" s="567" t="s">
        <v>335</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335</v>
      </c>
      <c r="N285" s="577"/>
      <c r="O285" s="606"/>
      <c r="P285" s="577"/>
    </row>
    <row r="286" spans="1:16" ht="12.75" customHeight="1" x14ac:dyDescent="0.3">
      <c r="A286" s="410" t="s">
        <v>1497</v>
      </c>
      <c r="I286" s="611"/>
      <c r="J286" s="640"/>
      <c r="M286" s="172"/>
      <c r="O286" s="19"/>
      <c r="P286" s="11"/>
    </row>
    <row r="287" spans="1:16" ht="12.75" customHeight="1" x14ac:dyDescent="0.3">
      <c r="A287" s="566" t="s">
        <v>1498</v>
      </c>
      <c r="B287" s="566"/>
      <c r="C287" s="566"/>
      <c r="D287" s="566"/>
      <c r="E287" s="566"/>
      <c r="F287" s="566"/>
      <c r="G287" s="567" t="s">
        <v>1499</v>
      </c>
      <c r="H287" s="567" t="s">
        <v>335</v>
      </c>
      <c r="I287" s="572"/>
      <c r="J287" s="294" t="str">
        <f>IF(ISBLANK(HLOOKUP(CaseName,CaseData,MATCH($G287,cases!$G$4:$G$2494,0),FALSE)),"",HLOOKUP(CaseName,CaseData,MATCH($G287,cases!$G$4:$G$2494,0),FALSE))</f>
        <v/>
      </c>
      <c r="K287" s="620">
        <f>L290*L291*L292*AtefSP.sd0</f>
        <v>3.7235136436629484E-3</v>
      </c>
      <c r="L287" s="298">
        <f t="shared" ref="L287:L302" si="16">IF(ISBLANK(I287),IF(ISNUMBER(J287)=FALSE,K287,J287),I287)</f>
        <v>3.7235136436629484E-3</v>
      </c>
      <c r="M287" s="567" t="s">
        <v>335</v>
      </c>
      <c r="N287" s="566"/>
      <c r="O287" s="605"/>
      <c r="P287" s="584"/>
    </row>
    <row r="288" spans="1:16" ht="12.75" customHeight="1" x14ac:dyDescent="0.3">
      <c r="A288" s="566" t="s">
        <v>1500</v>
      </c>
      <c r="B288" s="566"/>
      <c r="C288" s="566"/>
      <c r="D288" s="566"/>
      <c r="E288" s="566"/>
      <c r="F288" s="566"/>
      <c r="G288" s="567" t="s">
        <v>1501</v>
      </c>
      <c r="H288" s="567" t="s">
        <v>335</v>
      </c>
      <c r="I288" s="572"/>
      <c r="J288" s="294" t="str">
        <f>IF(ISBLANK(HLOOKUP(CaseName,CaseData,MATCH($G288,cases!$G$4:$G$2494,0),FALSE)),"",HLOOKUP(CaseName,CaseData,MATCH($G288,cases!$G$4:$G$2494,0),FALSE))</f>
        <v/>
      </c>
      <c r="K288" s="620">
        <f>L290*L291*L292*AtefSP.sd1</f>
        <v>3.7235136436629484E-3</v>
      </c>
      <c r="L288" s="298">
        <f t="shared" si="16"/>
        <v>3.7235136436629484E-3</v>
      </c>
      <c r="M288" s="567" t="s">
        <v>335</v>
      </c>
      <c r="N288" s="566"/>
      <c r="O288" s="604"/>
      <c r="P288" s="584"/>
    </row>
    <row r="289" spans="1:16" ht="12.75" customHeight="1" x14ac:dyDescent="0.3">
      <c r="A289" s="566" t="s">
        <v>1502</v>
      </c>
      <c r="B289" s="566"/>
      <c r="C289" s="566"/>
      <c r="D289" s="566"/>
      <c r="E289" s="566"/>
      <c r="F289" s="566"/>
      <c r="G289" s="567" t="s">
        <v>1503</v>
      </c>
      <c r="H289" s="567" t="s">
        <v>335</v>
      </c>
      <c r="I289" s="572"/>
      <c r="J289" s="294" t="str">
        <f>IF(ISBLANK(HLOOKUP(CaseName,CaseData,MATCH($G289,cases!$G$4:$G$2494,0),FALSE)),"",HLOOKUP(CaseName,CaseData,MATCH($G289,cases!$G$4:$G$2494,0),FALSE))</f>
        <v/>
      </c>
      <c r="K289" s="620">
        <f>L290*L292*L291*AtefSP.sd2</f>
        <v>4.1372373818477203E-3</v>
      </c>
      <c r="L289" s="298">
        <f t="shared" si="16"/>
        <v>4.1372373818477203E-3</v>
      </c>
      <c r="M289" s="567" t="s">
        <v>335</v>
      </c>
      <c r="N289" s="566"/>
      <c r="O289" s="566"/>
      <c r="P289" s="604"/>
    </row>
    <row r="290" spans="1:16" ht="12.75" customHeight="1" x14ac:dyDescent="0.3">
      <c r="A290" s="566"/>
      <c r="B290" s="566" t="s">
        <v>1504</v>
      </c>
      <c r="C290" s="566"/>
      <c r="D290" s="566"/>
      <c r="E290" s="566"/>
      <c r="F290" s="566"/>
      <c r="G290" s="567" t="s">
        <v>1505</v>
      </c>
      <c r="H290" s="567" t="s">
        <v>1506</v>
      </c>
      <c r="I290" s="572"/>
      <c r="J290" s="294" t="str">
        <f>IF(ISBLANK(HLOOKUP(CaseName,CaseData,MATCH($G290,cases!$G$4:$G$2494,0),FALSE)),"",HLOOKUP(CaseName,CaseData,MATCH($G290,cases!$G$4:$G$2494,0),FALSE))</f>
        <v/>
      </c>
      <c r="K290" s="620">
        <f>(3/2)*((1-L296)/(2*RadFP.sd*L296))</f>
        <v>1464.8437499999995</v>
      </c>
      <c r="L290" s="298">
        <f t="shared" si="16"/>
        <v>1464.8437499999995</v>
      </c>
      <c r="M290" s="567" t="s">
        <v>1506</v>
      </c>
      <c r="N290" s="566"/>
      <c r="O290" s="604"/>
      <c r="P290" s="584"/>
    </row>
    <row r="291" spans="1:16" ht="12.75" customHeight="1" x14ac:dyDescent="0.3">
      <c r="A291" s="566"/>
      <c r="B291" s="566" t="s">
        <v>1507</v>
      </c>
      <c r="C291" s="566"/>
      <c r="D291" s="566"/>
      <c r="E291" s="566"/>
      <c r="F291" s="566"/>
      <c r="G291" s="566" t="s">
        <v>1508</v>
      </c>
      <c r="H291" s="567" t="s">
        <v>866</v>
      </c>
      <c r="I291" s="572"/>
      <c r="J291" s="294" t="str">
        <f>IF(ISBLANK(HLOOKUP(CaseName,CaseData,MATCH($G291,cases!$G$4:$G$2494,0),FALSE)),"",HLOOKUP(CaseName,CaseData,MATCH($G291,cases!$G$4:$G$2494,0),FALSE))</f>
        <v/>
      </c>
      <c r="K291" s="662">
        <f>9*10^-6</f>
        <v>9.0000000000000002E-6</v>
      </c>
      <c r="L291" s="298">
        <f t="shared" si="16"/>
        <v>9.0000000000000002E-6</v>
      </c>
      <c r="M291" s="567" t="s">
        <v>866</v>
      </c>
      <c r="N291" s="566"/>
      <c r="O291" s="604"/>
      <c r="P291" s="566" t="s">
        <v>1509</v>
      </c>
    </row>
    <row r="292" spans="1:16" ht="12.75" customHeight="1" x14ac:dyDescent="0.3">
      <c r="A292" s="566"/>
      <c r="B292" s="566" t="s">
        <v>1510</v>
      </c>
      <c r="C292" s="566"/>
      <c r="D292" s="566"/>
      <c r="E292" s="566"/>
      <c r="F292" s="566"/>
      <c r="G292" s="567" t="s">
        <v>1511</v>
      </c>
      <c r="H292" s="567" t="s">
        <v>291</v>
      </c>
      <c r="I292" s="572"/>
      <c r="J292" s="294" t="str">
        <f>IF(ISBLANK(HLOOKUP(CaseName,CaseData,MATCH($G292,cases!$G$4:$G$2494,0),FALSE)),"",HLOOKUP(CaseName,CaseData,MATCH($G292,cases!$G$4:$G$2494,0),FALSE))</f>
        <v/>
      </c>
      <c r="K292" s="620">
        <f>L293+L297+L298</f>
        <v>0.31381711696385678</v>
      </c>
      <c r="L292" s="298">
        <f t="shared" si="16"/>
        <v>0.31381711696385678</v>
      </c>
      <c r="M292" s="567" t="s">
        <v>291</v>
      </c>
      <c r="N292" s="566"/>
      <c r="O292" s="605"/>
      <c r="P292" s="566" t="s">
        <v>1509</v>
      </c>
    </row>
    <row r="293" spans="1:16" ht="12.75" customHeight="1" x14ac:dyDescent="0.3">
      <c r="A293" s="566"/>
      <c r="B293" s="566"/>
      <c r="C293" s="566" t="s">
        <v>1512</v>
      </c>
      <c r="D293" s="566"/>
      <c r="E293" s="566"/>
      <c r="F293" s="566"/>
      <c r="G293" s="567" t="s">
        <v>1513</v>
      </c>
      <c r="H293" s="567" t="s">
        <v>291</v>
      </c>
      <c r="I293" s="572"/>
      <c r="J293" s="294" t="str">
        <f>IF(ISBLANK(HLOOKUP(CaseName,CaseData,MATCH($G293,cases!$G$4:$G$2494,0),FALSE)),"",HLOOKUP(CaseName,CaseData,MATCH($G293,cases!$G$4:$G$2494,0),FALSE))</f>
        <v/>
      </c>
      <c r="K293" s="620">
        <f>2.4*L296^(1/3)*L300^(-0.081)*L301^(-0.715)*L299^(0.053)</f>
        <v>0.31376327265405751</v>
      </c>
      <c r="L293" s="298">
        <f t="shared" si="16"/>
        <v>0.31376327265405751</v>
      </c>
      <c r="M293" s="567" t="s">
        <v>291</v>
      </c>
      <c r="N293" s="566"/>
      <c r="O293" s="605"/>
      <c r="P293" s="566" t="s">
        <v>1509</v>
      </c>
    </row>
    <row r="294" spans="1:16" ht="12.75" customHeight="1" x14ac:dyDescent="0.3">
      <c r="A294" s="566"/>
      <c r="B294" s="566"/>
      <c r="C294" s="566"/>
      <c r="D294" s="566" t="s">
        <v>1514</v>
      </c>
      <c r="E294" s="566"/>
      <c r="F294" s="566"/>
      <c r="G294" s="566" t="s">
        <v>1515</v>
      </c>
      <c r="H294" s="567" t="s">
        <v>291</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291</v>
      </c>
      <c r="N294" s="566"/>
      <c r="O294" s="604"/>
      <c r="P294" s="566" t="s">
        <v>1509</v>
      </c>
    </row>
    <row r="295" spans="1:16" ht="12.75" customHeight="1" x14ac:dyDescent="0.3">
      <c r="A295" s="566"/>
      <c r="B295" s="566"/>
      <c r="C295" s="566"/>
      <c r="D295" s="566"/>
      <c r="E295" s="566" t="s">
        <v>1516</v>
      </c>
      <c r="F295" s="566"/>
      <c r="G295" s="566" t="s">
        <v>1517</v>
      </c>
      <c r="H295" s="567" t="s">
        <v>291</v>
      </c>
      <c r="I295" s="572"/>
      <c r="J295" s="294" t="str">
        <f>IF(ISBLANK(HLOOKUP(CaseName,CaseData,MATCH($G295,cases!$G$4:$G$2494,0),FALSE)),"",HLOOKUP(CaseName,CaseData,MATCH($G295,cases!$G$4:$G$2494,0),FALSE))</f>
        <v/>
      </c>
      <c r="K295" s="662">
        <f>(1-L296)^(1/3)</f>
        <v>0.58480354764257325</v>
      </c>
      <c r="L295" s="298">
        <f t="shared" si="16"/>
        <v>0.58480354764257325</v>
      </c>
      <c r="M295" s="567" t="s">
        <v>291</v>
      </c>
      <c r="N295" s="566"/>
      <c r="O295" s="604"/>
      <c r="P295" s="566" t="s">
        <v>1509</v>
      </c>
    </row>
    <row r="296" spans="1:16" ht="12.75" customHeight="1" x14ac:dyDescent="0.3">
      <c r="A296" s="566"/>
      <c r="B296" s="566"/>
      <c r="C296" s="566"/>
      <c r="D296" s="566"/>
      <c r="E296" s="566"/>
      <c r="F296" s="566" t="s">
        <v>1518</v>
      </c>
      <c r="G296" s="566" t="s">
        <v>1519</v>
      </c>
      <c r="H296" s="567" t="s">
        <v>1520</v>
      </c>
      <c r="I296" s="572"/>
      <c r="J296" s="294" t="str">
        <f>IF(ISBLANK(HLOOKUP(CaseName,CaseData,MATCH($G296,cases!$G$4:$G$2494,0),FALSE)),"",HLOOKUP(CaseName,CaseData,MATCH($G296,cases!$G$4:$G$2494,0),FALSE))</f>
        <v/>
      </c>
      <c r="K296" s="620">
        <f>L45</f>
        <v>0.8</v>
      </c>
      <c r="L296" s="298">
        <f t="shared" si="16"/>
        <v>0.8</v>
      </c>
      <c r="M296" s="567" t="s">
        <v>1520</v>
      </c>
      <c r="N296" s="566" t="s">
        <v>1521</v>
      </c>
      <c r="O296" s="604"/>
      <c r="P296" s="584"/>
    </row>
    <row r="297" spans="1:16" ht="12.75" customHeight="1" x14ac:dyDescent="0.3">
      <c r="A297" s="566"/>
      <c r="B297" s="566"/>
      <c r="C297" s="566" t="s">
        <v>1522</v>
      </c>
      <c r="D297" s="566"/>
      <c r="E297" s="566"/>
      <c r="F297" s="566"/>
      <c r="G297" s="567" t="s">
        <v>1523</v>
      </c>
      <c r="H297" s="567" t="s">
        <v>291</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291</v>
      </c>
      <c r="N297" s="577"/>
      <c r="O297" s="605"/>
      <c r="P297" s="566" t="s">
        <v>1509</v>
      </c>
    </row>
    <row r="298" spans="1:16" ht="12.75" customHeight="1" x14ac:dyDescent="0.3">
      <c r="A298" s="566"/>
      <c r="B298" s="566"/>
      <c r="C298" s="566" t="s">
        <v>1524</v>
      </c>
      <c r="D298" s="566"/>
      <c r="E298" s="566"/>
      <c r="F298" s="566"/>
      <c r="G298" s="567" t="s">
        <v>1525</v>
      </c>
      <c r="H298" s="567" t="s">
        <v>291</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291</v>
      </c>
      <c r="N298" s="566"/>
      <c r="O298" s="605"/>
      <c r="P298" s="566" t="s">
        <v>1509</v>
      </c>
    </row>
    <row r="299" spans="1:16" ht="12.75" customHeight="1" x14ac:dyDescent="0.3">
      <c r="A299" s="566"/>
      <c r="B299" s="566"/>
      <c r="C299" s="566"/>
      <c r="D299" s="566" t="s">
        <v>1526</v>
      </c>
      <c r="E299" s="566"/>
      <c r="F299" s="566"/>
      <c r="G299" s="566" t="s">
        <v>1527</v>
      </c>
      <c r="H299" s="567" t="s">
        <v>291</v>
      </c>
      <c r="I299" s="572"/>
      <c r="J299" s="294" t="str">
        <f>IF(ISBLANK(HLOOKUP(CaseName,CaseData,MATCH($G299,cases!$G$4:$G$2494,0),FALSE)),"",HLOOKUP(CaseName,CaseData,MATCH($G299,cases!$G$4:$G$2494,0),FALSE))</f>
        <v/>
      </c>
      <c r="K299" s="662">
        <f>AHamakerSP.w/(kboltz*TEMP.R)</f>
        <v>5.1336149339684463</v>
      </c>
      <c r="L299" s="298">
        <f t="shared" si="16"/>
        <v>5.1336149339684463</v>
      </c>
      <c r="M299" s="567" t="s">
        <v>291</v>
      </c>
      <c r="N299" s="566"/>
      <c r="O299" s="605"/>
      <c r="P299" s="566" t="s">
        <v>1509</v>
      </c>
    </row>
    <row r="300" spans="1:16" ht="12.75" customHeight="1" x14ac:dyDescent="0.3">
      <c r="A300" s="566"/>
      <c r="B300" s="566"/>
      <c r="C300" s="566"/>
      <c r="D300" s="566" t="s">
        <v>1528</v>
      </c>
      <c r="E300" s="566"/>
      <c r="F300" s="566"/>
      <c r="G300" s="566" t="s">
        <v>1529</v>
      </c>
      <c r="H300" s="567" t="s">
        <v>1530</v>
      </c>
      <c r="I300" s="572"/>
      <c r="J300" s="294" t="str">
        <f>IF(ISBLANK(HLOOKUP(CaseName,CaseData,MATCH($G300,cases!$G$4:$G$2494,0),FALSE)),"",HLOOKUP(CaseName,CaseData,MATCH($G300,cases!$G$4:$G$2494,0),FALSE))</f>
        <v/>
      </c>
      <c r="K300" s="662">
        <f>RadS/RadFP.sd</f>
        <v>3.9062500000000001E-5</v>
      </c>
      <c r="L300" s="298">
        <f t="shared" si="16"/>
        <v>3.9062500000000001E-5</v>
      </c>
      <c r="M300" s="567" t="s">
        <v>1530</v>
      </c>
      <c r="N300" s="566"/>
      <c r="O300" s="604"/>
      <c r="P300" s="566" t="s">
        <v>1509</v>
      </c>
    </row>
    <row r="301" spans="1:16" ht="12.75" customHeight="1" x14ac:dyDescent="0.3">
      <c r="A301" s="566"/>
      <c r="B301" s="566"/>
      <c r="C301" s="566"/>
      <c r="D301" s="566" t="s">
        <v>1531</v>
      </c>
      <c r="E301" s="566"/>
      <c r="F301" s="566"/>
      <c r="G301" s="566" t="s">
        <v>1532</v>
      </c>
      <c r="H301" s="567" t="s">
        <v>291</v>
      </c>
      <c r="I301" s="572"/>
      <c r="J301" s="294" t="str">
        <f>IF(ISBLANK(HLOOKUP(CaseName,CaseData,MATCH($G301,cases!$G$4:$G$2494,0),FALSE)),"",HLOOKUP(CaseName,CaseData,MATCH($G301,cases!$G$4:$G$2494,0),FALSE))</f>
        <v/>
      </c>
      <c r="K301" s="662">
        <f>(L291*2*RadFP.sd)/DiffS.wR</f>
        <v>55.295939834256309</v>
      </c>
      <c r="L301" s="298">
        <f t="shared" si="16"/>
        <v>55.295939834256309</v>
      </c>
      <c r="M301" s="567" t="s">
        <v>291</v>
      </c>
      <c r="N301" s="566"/>
      <c r="O301" s="605"/>
      <c r="P301" s="566" t="s">
        <v>1509</v>
      </c>
    </row>
    <row r="302" spans="1:16" ht="12.75" customHeight="1" x14ac:dyDescent="0.3">
      <c r="A302" s="566"/>
      <c r="B302" s="566"/>
      <c r="C302" s="566"/>
      <c r="D302" s="566" t="s">
        <v>1533</v>
      </c>
      <c r="E302" s="566"/>
      <c r="F302" s="566"/>
      <c r="G302" s="567" t="s">
        <v>1534</v>
      </c>
      <c r="H302" s="567" t="s">
        <v>291</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291</v>
      </c>
      <c r="N302" s="566"/>
      <c r="O302" s="605"/>
      <c r="P302" s="566" t="s">
        <v>1509</v>
      </c>
    </row>
    <row r="303" spans="1:16" ht="12.75" customHeight="1" x14ac:dyDescent="0.3">
      <c r="A303" s="410" t="s">
        <v>1535</v>
      </c>
      <c r="I303" s="611"/>
      <c r="J303" s="640"/>
      <c r="M303" s="172"/>
      <c r="O303" s="19"/>
      <c r="P303"/>
    </row>
    <row r="304" spans="1:16" s="386" customFormat="1" ht="12.75" customHeight="1" x14ac:dyDescent="0.3">
      <c r="A304" s="566" t="s">
        <v>1536</v>
      </c>
      <c r="B304" s="566"/>
      <c r="C304" s="566"/>
      <c r="D304" s="566"/>
      <c r="E304" s="566"/>
      <c r="F304" s="566"/>
      <c r="G304" s="567" t="s">
        <v>1537</v>
      </c>
      <c r="H304" s="567" t="s">
        <v>335</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335</v>
      </c>
      <c r="N304" s="577"/>
      <c r="O304" s="606"/>
      <c r="P304" s="577"/>
    </row>
    <row r="305" spans="1:16" s="386" customFormat="1" ht="12.75" customHeight="1" x14ac:dyDescent="0.3">
      <c r="A305" s="566" t="s">
        <v>1538</v>
      </c>
      <c r="B305" s="566"/>
      <c r="C305" s="566"/>
      <c r="D305" s="566"/>
      <c r="E305" s="566"/>
      <c r="F305" s="566"/>
      <c r="G305" s="567" t="s">
        <v>1539</v>
      </c>
      <c r="H305" s="567" t="s">
        <v>335</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335</v>
      </c>
      <c r="N305" s="577"/>
      <c r="O305" s="606"/>
      <c r="P305" s="577"/>
    </row>
    <row r="306" spans="1:16" s="386" customFormat="1" ht="12.75" customHeight="1" x14ac:dyDescent="0.3">
      <c r="A306" s="566" t="s">
        <v>1540</v>
      </c>
      <c r="B306" s="566"/>
      <c r="C306" s="566"/>
      <c r="D306" s="566"/>
      <c r="E306" s="566"/>
      <c r="F306" s="566"/>
      <c r="G306" s="567" t="s">
        <v>1541</v>
      </c>
      <c r="H306" s="567" t="s">
        <v>335</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335</v>
      </c>
      <c r="N306" s="577"/>
      <c r="O306" s="606"/>
      <c r="P306" s="577"/>
    </row>
    <row r="307" spans="1:16" s="386" customFormat="1" ht="12.75" customHeight="1" x14ac:dyDescent="0.3">
      <c r="A307" s="566"/>
      <c r="B307" s="566" t="s">
        <v>1542</v>
      </c>
      <c r="C307" s="566"/>
      <c r="D307" s="566"/>
      <c r="E307" s="566"/>
      <c r="F307" s="566"/>
      <c r="G307" s="567" t="s">
        <v>1543</v>
      </c>
      <c r="H307" s="567" t="s">
        <v>708</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708</v>
      </c>
      <c r="N307" s="577"/>
      <c r="O307" s="606"/>
      <c r="P307" s="577"/>
    </row>
    <row r="308" spans="1:16" s="386" customFormat="1" ht="12.75" customHeight="1" x14ac:dyDescent="0.3">
      <c r="A308" s="566"/>
      <c r="B308" s="566" t="s">
        <v>1447</v>
      </c>
      <c r="C308" s="566"/>
      <c r="D308" s="566"/>
      <c r="E308" s="566"/>
      <c r="F308" s="566"/>
      <c r="G308" s="567" t="s">
        <v>1544</v>
      </c>
      <c r="H308" s="567" t="s">
        <v>335</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335</v>
      </c>
      <c r="N308" s="577"/>
      <c r="O308" s="606"/>
      <c r="P308" s="577"/>
    </row>
    <row r="309" spans="1:16" s="386" customFormat="1" ht="12.75" customHeight="1" x14ac:dyDescent="0.3">
      <c r="A309" s="566"/>
      <c r="B309" s="566" t="s">
        <v>1449</v>
      </c>
      <c r="C309" s="566"/>
      <c r="D309" s="566"/>
      <c r="E309" s="566"/>
      <c r="F309" s="566"/>
      <c r="G309" s="567" t="s">
        <v>1545</v>
      </c>
      <c r="H309" s="567" t="s">
        <v>335</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335</v>
      </c>
      <c r="N309" s="577"/>
      <c r="O309" s="606"/>
      <c r="P309" s="577"/>
    </row>
    <row r="310" spans="1:16" ht="12.75" customHeight="1" x14ac:dyDescent="0.3">
      <c r="A310" s="410" t="s">
        <v>1546</v>
      </c>
      <c r="I310" s="611"/>
      <c r="J310" s="640"/>
      <c r="M310" s="172"/>
      <c r="O310" s="19"/>
      <c r="P310"/>
    </row>
    <row r="311" spans="1:16" ht="12.75" customHeight="1" x14ac:dyDescent="0.3">
      <c r="A311" s="566" t="s">
        <v>1547</v>
      </c>
      <c r="B311" s="566"/>
      <c r="C311" s="566"/>
      <c r="D311" s="566"/>
      <c r="E311" s="566"/>
      <c r="F311" s="566"/>
      <c r="G311" s="567" t="s">
        <v>1548</v>
      </c>
      <c r="H311" s="567" t="s">
        <v>335</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335</v>
      </c>
      <c r="N311" s="566"/>
      <c r="O311" s="605"/>
      <c r="P311" s="566" t="s">
        <v>1509</v>
      </c>
    </row>
    <row r="312" spans="1:16" ht="12.75" customHeight="1" x14ac:dyDescent="0.3">
      <c r="A312" s="566"/>
      <c r="B312" s="566" t="s">
        <v>1549</v>
      </c>
      <c r="C312" s="566"/>
      <c r="D312" s="566"/>
      <c r="E312" s="566"/>
      <c r="F312" s="566"/>
      <c r="G312" s="567" t="s">
        <v>1550</v>
      </c>
      <c r="H312" s="567" t="s">
        <v>1506</v>
      </c>
      <c r="I312" s="572"/>
      <c r="J312" s="294" t="str">
        <f>IF(ISBLANK(HLOOKUP(CaseName,CaseData,MATCH($G312,cases!$G$4:$G$2494,0),FALSE)),"",HLOOKUP(CaseName,CaseData,MATCH($G312,cases!$G$4:$G$2494,0),FALSE))</f>
        <v/>
      </c>
      <c r="K312" s="620">
        <f>(3/2)*(1-L318)/(2*RadFP.s*L318)</f>
        <v>8789.0625000000036</v>
      </c>
      <c r="L312" s="298">
        <f t="shared" si="18"/>
        <v>8789.0625000000036</v>
      </c>
      <c r="M312" s="567" t="s">
        <v>1506</v>
      </c>
      <c r="N312" s="566"/>
      <c r="O312" s="605"/>
      <c r="P312" s="566" t="s">
        <v>1509</v>
      </c>
    </row>
    <row r="313" spans="1:16" ht="12.75" customHeight="1" x14ac:dyDescent="0.3">
      <c r="A313" s="566"/>
      <c r="B313" s="566" t="s">
        <v>1551</v>
      </c>
      <c r="C313" s="566"/>
      <c r="D313" s="566"/>
      <c r="E313" s="566"/>
      <c r="F313" s="566"/>
      <c r="G313" s="566" t="s">
        <v>1552</v>
      </c>
      <c r="H313" s="567" t="s">
        <v>866</v>
      </c>
      <c r="I313" s="572"/>
      <c r="J313" s="294" t="str">
        <f>IF(ISBLANK(HLOOKUP(CaseName,CaseData,MATCH($G313,cases!$G$4:$G$2494,0),FALSE)),"",HLOOKUP(CaseName,CaseData,MATCH($G313,cases!$G$4:$G$2494,0),FALSE))</f>
        <v/>
      </c>
      <c r="K313" s="662">
        <f>9*10^-6</f>
        <v>9.0000000000000002E-6</v>
      </c>
      <c r="L313" s="298">
        <f t="shared" si="18"/>
        <v>9.0000000000000002E-6</v>
      </c>
      <c r="M313" s="567" t="s">
        <v>866</v>
      </c>
      <c r="N313" s="584"/>
      <c r="O313" s="605"/>
      <c r="P313" s="566" t="s">
        <v>1509</v>
      </c>
    </row>
    <row r="314" spans="1:16" ht="12.75" customHeight="1" x14ac:dyDescent="0.3">
      <c r="A314" s="566"/>
      <c r="B314" s="566" t="s">
        <v>1510</v>
      </c>
      <c r="C314" s="566"/>
      <c r="D314" s="566"/>
      <c r="E314" s="566"/>
      <c r="F314" s="566"/>
      <c r="G314" s="567" t="s">
        <v>1553</v>
      </c>
      <c r="H314" s="567" t="s">
        <v>291</v>
      </c>
      <c r="I314" s="572"/>
      <c r="J314" s="294" t="str">
        <f>IF(ISBLANK(HLOOKUP(CaseName,CaseData,MATCH($G314,cases!$G$4:$G$2494,0),FALSE)),"",HLOOKUP(CaseName,CaseData,MATCH($G314,cases!$G$4:$G$2494,0),FALSE))</f>
        <v/>
      </c>
      <c r="K314" s="620">
        <f>L315+L319+L320</f>
        <v>1.1361636774655715</v>
      </c>
      <c r="L314" s="298">
        <f t="shared" si="18"/>
        <v>1.1361636774655715</v>
      </c>
      <c r="M314" s="567" t="s">
        <v>291</v>
      </c>
      <c r="N314" s="584"/>
      <c r="O314" s="605"/>
      <c r="P314" s="566" t="s">
        <v>1509</v>
      </c>
    </row>
    <row r="315" spans="1:16" ht="12.75" customHeight="1" x14ac:dyDescent="0.3">
      <c r="A315" s="566"/>
      <c r="B315" s="566"/>
      <c r="C315" s="566" t="s">
        <v>1512</v>
      </c>
      <c r="D315" s="566"/>
      <c r="E315" s="566"/>
      <c r="F315" s="566"/>
      <c r="G315" s="567" t="s">
        <v>1554</v>
      </c>
      <c r="H315" s="567" t="s">
        <v>291</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291</v>
      </c>
      <c r="N315" s="584"/>
      <c r="O315" s="605"/>
      <c r="P315" s="566" t="s">
        <v>1509</v>
      </c>
    </row>
    <row r="316" spans="1:16" ht="12.75" customHeight="1" x14ac:dyDescent="0.3">
      <c r="A316" s="566"/>
      <c r="B316" s="566"/>
      <c r="C316" s="566"/>
      <c r="D316" s="566" t="s">
        <v>1514</v>
      </c>
      <c r="E316" s="566"/>
      <c r="F316" s="566"/>
      <c r="G316" s="566" t="s">
        <v>1555</v>
      </c>
      <c r="H316" s="567" t="s">
        <v>291</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291</v>
      </c>
      <c r="N316" s="584"/>
      <c r="O316" s="605"/>
      <c r="P316" s="566" t="s">
        <v>1509</v>
      </c>
    </row>
    <row r="317" spans="1:16" ht="12.75" customHeight="1" x14ac:dyDescent="0.3">
      <c r="A317" s="566"/>
      <c r="B317" s="566"/>
      <c r="C317" s="566"/>
      <c r="D317" s="566"/>
      <c r="E317" s="566" t="s">
        <v>1556</v>
      </c>
      <c r="F317" s="566"/>
      <c r="G317" s="566" t="s">
        <v>1557</v>
      </c>
      <c r="H317" s="567" t="s">
        <v>291</v>
      </c>
      <c r="I317" s="572"/>
      <c r="J317" s="294" t="str">
        <f>IF(ISBLANK(HLOOKUP(CaseName,CaseData,MATCH($G317,cases!$G$4:$G$2494,0),FALSE)),"",HLOOKUP(CaseName,CaseData,MATCH($G317,cases!$G$4:$G$2494,0),FALSE))</f>
        <v/>
      </c>
      <c r="K317" s="662">
        <f>(1-L318)^(1/3)</f>
        <v>0.84343266530174932</v>
      </c>
      <c r="L317" s="298">
        <f t="shared" si="18"/>
        <v>0.84343266530174932</v>
      </c>
      <c r="M317" s="567" t="s">
        <v>291</v>
      </c>
      <c r="N317" s="584"/>
      <c r="O317" s="605"/>
      <c r="P317" s="566" t="s">
        <v>1509</v>
      </c>
    </row>
    <row r="318" spans="1:16" ht="12.75" customHeight="1" x14ac:dyDescent="0.3">
      <c r="A318" s="566"/>
      <c r="B318" s="566"/>
      <c r="C318" s="566"/>
      <c r="D318" s="566"/>
      <c r="E318" s="566"/>
      <c r="F318" s="566" t="s">
        <v>1558</v>
      </c>
      <c r="G318" s="566" t="s">
        <v>1559</v>
      </c>
      <c r="H318" s="567" t="s">
        <v>1520</v>
      </c>
      <c r="I318" s="572"/>
      <c r="J318" s="294" t="str">
        <f>IF(ISBLANK(HLOOKUP(CaseName,CaseData,MATCH($G318,cases!$G$4:$G$2494,0),FALSE)),"",HLOOKUP(CaseName,CaseData,MATCH($G318,cases!$G$4:$G$2494,0),FALSE))</f>
        <v/>
      </c>
      <c r="K318" s="620">
        <f>1-L38</f>
        <v>0.39999999999999991</v>
      </c>
      <c r="L318" s="298">
        <f t="shared" si="18"/>
        <v>0.39999999999999991</v>
      </c>
      <c r="M318" s="567" t="s">
        <v>1520</v>
      </c>
      <c r="N318" s="566" t="s">
        <v>1560</v>
      </c>
      <c r="O318" s="606"/>
      <c r="P318" s="584"/>
    </row>
    <row r="319" spans="1:16" ht="12.75" customHeight="1" x14ac:dyDescent="0.3">
      <c r="A319" s="566"/>
      <c r="B319" s="566"/>
      <c r="C319" s="566" t="s">
        <v>1522</v>
      </c>
      <c r="D319" s="566"/>
      <c r="E319" s="566"/>
      <c r="F319" s="566"/>
      <c r="G319" s="567" t="s">
        <v>1561</v>
      </c>
      <c r="H319" s="567" t="s">
        <v>291</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291</v>
      </c>
      <c r="N319" s="584"/>
      <c r="O319" s="605"/>
      <c r="P319" s="566" t="s">
        <v>1509</v>
      </c>
    </row>
    <row r="320" spans="1:16" ht="12.75" customHeight="1" x14ac:dyDescent="0.3">
      <c r="A320" s="566"/>
      <c r="B320" s="566"/>
      <c r="C320" s="566" t="s">
        <v>1524</v>
      </c>
      <c r="D320" s="566"/>
      <c r="E320" s="566"/>
      <c r="F320" s="566"/>
      <c r="G320" s="567" t="s">
        <v>1562</v>
      </c>
      <c r="H320" s="567" t="s">
        <v>291</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291</v>
      </c>
      <c r="N320" s="584"/>
      <c r="O320" s="605"/>
      <c r="P320" s="566" t="s">
        <v>1509</v>
      </c>
    </row>
    <row r="321" spans="1:16" ht="12.75" customHeight="1" x14ac:dyDescent="0.3">
      <c r="A321" s="566"/>
      <c r="B321" s="566"/>
      <c r="C321" s="566"/>
      <c r="D321" s="566" t="s">
        <v>1526</v>
      </c>
      <c r="E321" s="566"/>
      <c r="F321" s="566"/>
      <c r="G321" s="566" t="s">
        <v>1563</v>
      </c>
      <c r="H321" s="567" t="s">
        <v>291</v>
      </c>
      <c r="I321" s="572"/>
      <c r="J321" s="294" t="str">
        <f>IF(ISBLANK(HLOOKUP(CaseName,CaseData,MATCH($G321,cases!$G$4:$G$2494,0),FALSE)),"",HLOOKUP(CaseName,CaseData,MATCH($G321,cases!$G$4:$G$2494,0),FALSE))</f>
        <v/>
      </c>
      <c r="K321" s="662">
        <f>AHamakerSP.w/(kboltz*TEMP.R)</f>
        <v>5.1336149339684463</v>
      </c>
      <c r="L321" s="298">
        <f t="shared" si="18"/>
        <v>5.1336149339684463</v>
      </c>
      <c r="M321" s="567" t="s">
        <v>291</v>
      </c>
      <c r="N321" s="584"/>
      <c r="O321" s="605"/>
      <c r="P321" s="566" t="s">
        <v>1509</v>
      </c>
    </row>
    <row r="322" spans="1:16" ht="12.75" customHeight="1" x14ac:dyDescent="0.3">
      <c r="A322" s="566"/>
      <c r="B322" s="566"/>
      <c r="C322" s="566"/>
      <c r="D322" s="566" t="s">
        <v>1528</v>
      </c>
      <c r="E322" s="566"/>
      <c r="F322" s="566"/>
      <c r="G322" s="566" t="s">
        <v>1564</v>
      </c>
      <c r="H322" s="567" t="s">
        <v>1530</v>
      </c>
      <c r="I322" s="572"/>
      <c r="J322" s="294" t="str">
        <f>IF(ISBLANK(HLOOKUP(CaseName,CaseData,MATCH($G322,cases!$G$4:$G$2494,0),FALSE)),"",HLOOKUP(CaseName,CaseData,MATCH($G322,cases!$G$4:$G$2494,0),FALSE))</f>
        <v/>
      </c>
      <c r="K322" s="662">
        <f>RadS/RadFP.s</f>
        <v>3.9062500000000001E-5</v>
      </c>
      <c r="L322" s="298">
        <f t="shared" si="18"/>
        <v>3.9062500000000001E-5</v>
      </c>
      <c r="M322" s="567" t="s">
        <v>1530</v>
      </c>
      <c r="N322" s="584"/>
      <c r="O322" s="605"/>
      <c r="P322" s="566" t="s">
        <v>1509</v>
      </c>
    </row>
    <row r="323" spans="1:16" ht="12.75" customHeight="1" x14ac:dyDescent="0.3">
      <c r="A323" s="566"/>
      <c r="B323" s="566"/>
      <c r="C323" s="566"/>
      <c r="D323" s="566" t="s">
        <v>1531</v>
      </c>
      <c r="E323" s="566"/>
      <c r="F323" s="566"/>
      <c r="G323" s="566" t="s">
        <v>1565</v>
      </c>
      <c r="H323" s="567" t="s">
        <v>291</v>
      </c>
      <c r="I323" s="572"/>
      <c r="J323" s="294" t="str">
        <f>IF(ISBLANK(HLOOKUP(CaseName,CaseData,MATCH($G323,cases!$G$4:$G$2494,0),FALSE)),"",HLOOKUP(CaseName,CaseData,MATCH($G323,cases!$G$4:$G$2494,0),FALSE))</f>
        <v/>
      </c>
      <c r="K323" s="662">
        <f>(L313*2*RadFP.s)/(DiffS.wR)</f>
        <v>55.295939834256309</v>
      </c>
      <c r="L323" s="298">
        <f t="shared" si="18"/>
        <v>55.295939834256309</v>
      </c>
      <c r="M323" s="567" t="s">
        <v>291</v>
      </c>
      <c r="N323" s="577"/>
      <c r="O323" s="605"/>
      <c r="P323" s="566" t="s">
        <v>1509</v>
      </c>
    </row>
    <row r="324" spans="1:16" ht="12.75" customHeight="1" x14ac:dyDescent="0.3">
      <c r="A324" s="566"/>
      <c r="B324" s="566"/>
      <c r="C324" s="566"/>
      <c r="D324" s="566" t="s">
        <v>1533</v>
      </c>
      <c r="E324" s="566"/>
      <c r="F324" s="566"/>
      <c r="G324" s="567" t="s">
        <v>1566</v>
      </c>
      <c r="H324" s="567" t="s">
        <v>291</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291</v>
      </c>
      <c r="N324" s="584"/>
      <c r="O324" s="605"/>
      <c r="P324" s="566" t="s">
        <v>1509</v>
      </c>
    </row>
    <row r="325" spans="1:16" ht="12.75" customHeight="1" x14ac:dyDescent="0.3">
      <c r="A325" s="566" t="s">
        <v>1567</v>
      </c>
      <c r="B325" s="566"/>
      <c r="C325" s="566"/>
      <c r="D325" s="566"/>
      <c r="E325" s="566"/>
      <c r="F325" s="566"/>
      <c r="G325" s="567" t="s">
        <v>1568</v>
      </c>
      <c r="H325" s="567" t="s">
        <v>335</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335</v>
      </c>
      <c r="N325" s="566"/>
      <c r="O325" s="605"/>
      <c r="P325" s="584"/>
    </row>
    <row r="326" spans="1:16" ht="12.75" customHeight="1" x14ac:dyDescent="0.3">
      <c r="A326" s="566"/>
      <c r="B326" s="566" t="s">
        <v>1549</v>
      </c>
      <c r="C326" s="566"/>
      <c r="D326" s="566"/>
      <c r="E326" s="566"/>
      <c r="F326" s="566"/>
      <c r="G326" s="567" t="s">
        <v>1569</v>
      </c>
      <c r="H326" s="567" t="s">
        <v>1506</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1506</v>
      </c>
      <c r="N326" s="566"/>
      <c r="O326" s="605"/>
      <c r="P326" s="584"/>
    </row>
    <row r="327" spans="1:16" ht="12.75" customHeight="1" x14ac:dyDescent="0.3">
      <c r="A327" s="566"/>
      <c r="B327" s="566" t="s">
        <v>1551</v>
      </c>
      <c r="C327" s="566"/>
      <c r="D327" s="566"/>
      <c r="E327" s="566"/>
      <c r="F327" s="566"/>
      <c r="G327" s="566" t="s">
        <v>1570</v>
      </c>
      <c r="H327" s="567" t="s">
        <v>866</v>
      </c>
      <c r="I327" s="572"/>
      <c r="J327" s="294" t="str">
        <f>IF(ISBLANK(HLOOKUP(CaseName,CaseData,MATCH($G327,cases!$G$4:$G$2494,0),FALSE)),"",HLOOKUP(CaseName,CaseData,MATCH($G327,cases!$G$4:$G$2494,0),FALSE))</f>
        <v/>
      </c>
      <c r="K327" s="662">
        <f>9*10^-6</f>
        <v>9.0000000000000002E-6</v>
      </c>
      <c r="L327" s="298">
        <f t="shared" si="19"/>
        <v>9.0000000000000002E-6</v>
      </c>
      <c r="M327" s="567" t="s">
        <v>866</v>
      </c>
      <c r="N327" s="584"/>
      <c r="O327" s="605"/>
      <c r="P327" s="566" t="s">
        <v>1509</v>
      </c>
    </row>
    <row r="328" spans="1:16" ht="12.75" customHeight="1" x14ac:dyDescent="0.3">
      <c r="A328" s="566"/>
      <c r="B328" s="566" t="s">
        <v>1510</v>
      </c>
      <c r="C328" s="566"/>
      <c r="D328" s="566"/>
      <c r="E328" s="566"/>
      <c r="F328" s="566"/>
      <c r="G328" s="567" t="s">
        <v>1571</v>
      </c>
      <c r="H328" s="567" t="s">
        <v>291</v>
      </c>
      <c r="I328" s="572"/>
      <c r="J328" s="294" t="str">
        <f>IF(ISBLANK(HLOOKUP(CaseName,CaseData,MATCH($G328,cases!$G$4:$G$2494,0),FALSE)),"",HLOOKUP(CaseName,CaseData,MATCH($G328,cases!$G$4:$G$2494,0),FALSE))</f>
        <v/>
      </c>
      <c r="K328" s="620">
        <f>L329+L333+L334</f>
        <v>1.1361636774655715</v>
      </c>
      <c r="L328" s="298">
        <f t="shared" si="19"/>
        <v>1.1361636774655715</v>
      </c>
      <c r="M328" s="567" t="s">
        <v>291</v>
      </c>
      <c r="N328" s="584"/>
      <c r="O328" s="605"/>
      <c r="P328" s="566" t="s">
        <v>1509</v>
      </c>
    </row>
    <row r="329" spans="1:16" ht="12.75" customHeight="1" x14ac:dyDescent="0.3">
      <c r="A329" s="566"/>
      <c r="B329" s="566"/>
      <c r="C329" s="566" t="s">
        <v>1512</v>
      </c>
      <c r="D329" s="566"/>
      <c r="E329" s="566"/>
      <c r="F329" s="566"/>
      <c r="G329" s="567" t="s">
        <v>1572</v>
      </c>
      <c r="H329" s="567" t="s">
        <v>291</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291</v>
      </c>
      <c r="N329" s="584"/>
      <c r="O329" s="605"/>
      <c r="P329" s="566" t="s">
        <v>1509</v>
      </c>
    </row>
    <row r="330" spans="1:16" ht="12.75" customHeight="1" x14ac:dyDescent="0.3">
      <c r="A330" s="566"/>
      <c r="B330" s="566"/>
      <c r="C330" s="566"/>
      <c r="D330" s="566" t="s">
        <v>1514</v>
      </c>
      <c r="E330" s="566"/>
      <c r="F330" s="566"/>
      <c r="G330" s="566" t="s">
        <v>1573</v>
      </c>
      <c r="H330" s="567" t="s">
        <v>291</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291</v>
      </c>
      <c r="N330" s="584"/>
      <c r="O330" s="605"/>
      <c r="P330" s="566" t="s">
        <v>1509</v>
      </c>
    </row>
    <row r="331" spans="1:16" ht="12.75" customHeight="1" x14ac:dyDescent="0.3">
      <c r="A331" s="566"/>
      <c r="B331" s="566"/>
      <c r="C331" s="566"/>
      <c r="D331" s="566"/>
      <c r="E331" s="566" t="s">
        <v>1556</v>
      </c>
      <c r="F331" s="566"/>
      <c r="G331" s="566" t="s">
        <v>1574</v>
      </c>
      <c r="H331" s="567" t="s">
        <v>291</v>
      </c>
      <c r="I331" s="572"/>
      <c r="J331" s="294" t="str">
        <f>IF(ISBLANK(HLOOKUP(CaseName,CaseData,MATCH($G331,cases!$G$4:$G$2494,0),FALSE)),"",HLOOKUP(CaseName,CaseData,MATCH($G331,cases!$G$4:$G$2494,0),FALSE))</f>
        <v/>
      </c>
      <c r="K331" s="662">
        <f>(1-L332)^(1/3)</f>
        <v>0.84343266530174932</v>
      </c>
      <c r="L331" s="298">
        <f t="shared" si="19"/>
        <v>0.84343266530174932</v>
      </c>
      <c r="M331" s="567" t="s">
        <v>291</v>
      </c>
      <c r="N331" s="584"/>
      <c r="O331" s="605"/>
      <c r="P331" s="566" t="s">
        <v>1509</v>
      </c>
    </row>
    <row r="332" spans="1:16" ht="12.75" customHeight="1" x14ac:dyDescent="0.3">
      <c r="A332" s="566"/>
      <c r="B332" s="566"/>
      <c r="C332" s="566"/>
      <c r="D332" s="566"/>
      <c r="E332" s="566"/>
      <c r="F332" s="566" t="s">
        <v>1558</v>
      </c>
      <c r="G332" s="566" t="s">
        <v>1575</v>
      </c>
      <c r="H332" s="567" t="s">
        <v>1520</v>
      </c>
      <c r="I332" s="572"/>
      <c r="J332" s="294" t="str">
        <f>IF(ISBLANK(HLOOKUP(CaseName,CaseData,MATCH($G332,cases!$G$4:$G$2494,0),FALSE)),"",HLOOKUP(CaseName,CaseData,MATCH($G332,cases!$G$4:$G$2494,0),FALSE))</f>
        <v/>
      </c>
      <c r="K332" s="620">
        <f>1-L41</f>
        <v>0.39999999999999991</v>
      </c>
      <c r="L332" s="298">
        <f t="shared" si="19"/>
        <v>0.39999999999999991</v>
      </c>
      <c r="M332" s="567" t="s">
        <v>1520</v>
      </c>
      <c r="N332" s="566" t="s">
        <v>1576</v>
      </c>
      <c r="O332" s="605"/>
      <c r="P332" s="584"/>
    </row>
    <row r="333" spans="1:16" ht="12.75" customHeight="1" x14ac:dyDescent="0.3">
      <c r="A333" s="566"/>
      <c r="B333" s="566"/>
      <c r="C333" s="566" t="s">
        <v>1522</v>
      </c>
      <c r="D333" s="566"/>
      <c r="E333" s="566"/>
      <c r="F333" s="566"/>
      <c r="G333" s="567" t="s">
        <v>1577</v>
      </c>
      <c r="H333" s="567" t="s">
        <v>291</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291</v>
      </c>
      <c r="N333" s="584"/>
      <c r="O333" s="605"/>
      <c r="P333" s="566" t="s">
        <v>1509</v>
      </c>
    </row>
    <row r="334" spans="1:16" ht="12.75" customHeight="1" x14ac:dyDescent="0.3">
      <c r="A334" s="566"/>
      <c r="B334" s="566"/>
      <c r="C334" s="566" t="s">
        <v>1524</v>
      </c>
      <c r="D334" s="566"/>
      <c r="E334" s="566"/>
      <c r="F334" s="566"/>
      <c r="G334" s="567" t="s">
        <v>1578</v>
      </c>
      <c r="H334" s="567" t="s">
        <v>291</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291</v>
      </c>
      <c r="N334" s="584"/>
      <c r="O334" s="605"/>
      <c r="P334" s="566" t="s">
        <v>1509</v>
      </c>
    </row>
    <row r="335" spans="1:16" ht="12.75" customHeight="1" x14ac:dyDescent="0.3">
      <c r="A335" s="566"/>
      <c r="B335" s="566"/>
      <c r="C335" s="566"/>
      <c r="D335" s="566" t="s">
        <v>1528</v>
      </c>
      <c r="E335" s="566"/>
      <c r="F335" s="566"/>
      <c r="G335" s="566" t="s">
        <v>1579</v>
      </c>
      <c r="H335" s="567" t="s">
        <v>1530</v>
      </c>
      <c r="I335" s="572"/>
      <c r="J335" s="294" t="str">
        <f>IF(ISBLANK(HLOOKUP(CaseName,CaseData,MATCH($G335,cases!$G$4:$G$2494,0),FALSE)),"",HLOOKUP(CaseName,CaseData,MATCH($G335,cases!$G$4:$G$2494,0),FALSE))</f>
        <v/>
      </c>
      <c r="K335" s="662">
        <f>RadS/RadFP.s</f>
        <v>3.9062500000000001E-5</v>
      </c>
      <c r="L335" s="298">
        <f t="shared" si="19"/>
        <v>3.9062500000000001E-5</v>
      </c>
      <c r="M335" s="567" t="s">
        <v>1530</v>
      </c>
      <c r="N335" s="584"/>
      <c r="O335" s="605"/>
      <c r="P335" s="566" t="s">
        <v>1509</v>
      </c>
    </row>
    <row r="336" spans="1:16" ht="12.75" customHeight="1" x14ac:dyDescent="0.3">
      <c r="A336" s="566"/>
      <c r="B336" s="566"/>
      <c r="C336" s="566"/>
      <c r="D336" s="566" t="s">
        <v>1531</v>
      </c>
      <c r="E336" s="566"/>
      <c r="F336" s="566"/>
      <c r="G336" s="566" t="s">
        <v>1580</v>
      </c>
      <c r="H336" s="567" t="s">
        <v>291</v>
      </c>
      <c r="I336" s="572"/>
      <c r="J336" s="294" t="str">
        <f>IF(ISBLANK(HLOOKUP(CaseName,CaseData,MATCH($G336,cases!$G$4:$G$2494,0),FALSE)),"",HLOOKUP(CaseName,CaseData,MATCH($G336,cases!$G$4:$G$2494,0),FALSE))</f>
        <v/>
      </c>
      <c r="K336" s="662">
        <f>(L327*2*RadFP.s)/(DiffS.wR)</f>
        <v>55.295939834256309</v>
      </c>
      <c r="L336" s="298">
        <f t="shared" si="19"/>
        <v>55.295939834256309</v>
      </c>
      <c r="M336" s="567" t="s">
        <v>291</v>
      </c>
      <c r="N336" s="584"/>
      <c r="O336" s="605"/>
      <c r="P336" s="566" t="s">
        <v>1509</v>
      </c>
    </row>
    <row r="337" spans="1:16" ht="12.75" customHeight="1" x14ac:dyDescent="0.3">
      <c r="A337" s="566"/>
      <c r="B337" s="566"/>
      <c r="C337" s="566"/>
      <c r="D337" s="566" t="s">
        <v>1526</v>
      </c>
      <c r="E337" s="566"/>
      <c r="F337" s="566"/>
      <c r="G337" s="566" t="s">
        <v>1581</v>
      </c>
      <c r="H337" s="567" t="s">
        <v>291</v>
      </c>
      <c r="I337" s="572"/>
      <c r="J337" s="294" t="str">
        <f>IF(ISBLANK(HLOOKUP(CaseName,CaseData,MATCH($G337,cases!$G$4:$G$2494,0),FALSE)),"",HLOOKUP(CaseName,CaseData,MATCH($G337,cases!$G$4:$G$2494,0),FALSE))</f>
        <v/>
      </c>
      <c r="K337" s="662">
        <f>AHamakerSP.w/(kboltz*TEMP.R)</f>
        <v>5.1336149339684463</v>
      </c>
      <c r="L337" s="298">
        <f t="shared" si="19"/>
        <v>5.1336149339684463</v>
      </c>
      <c r="M337" s="567" t="s">
        <v>291</v>
      </c>
      <c r="N337" s="584"/>
      <c r="O337" s="605"/>
      <c r="P337" s="566" t="s">
        <v>1509</v>
      </c>
    </row>
    <row r="338" spans="1:16" ht="12.75" customHeight="1" x14ac:dyDescent="0.3">
      <c r="A338" s="566"/>
      <c r="B338" s="566"/>
      <c r="C338" s="566"/>
      <c r="D338" s="566" t="s">
        <v>1533</v>
      </c>
      <c r="E338" s="566"/>
      <c r="F338" s="566"/>
      <c r="G338" s="567" t="s">
        <v>1582</v>
      </c>
      <c r="H338" s="567" t="s">
        <v>291</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291</v>
      </c>
      <c r="N338" s="584"/>
      <c r="O338" s="605"/>
      <c r="P338" s="566" t="s">
        <v>1509</v>
      </c>
    </row>
    <row r="339" spans="1:16" ht="12.75" customHeight="1" x14ac:dyDescent="0.3">
      <c r="A339" s="566" t="s">
        <v>1583</v>
      </c>
      <c r="B339" s="566"/>
      <c r="C339" s="566"/>
      <c r="D339" s="566"/>
      <c r="E339" s="566"/>
      <c r="F339" s="566"/>
      <c r="G339" s="567" t="s">
        <v>1584</v>
      </c>
      <c r="H339" s="567" t="s">
        <v>335</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335</v>
      </c>
      <c r="N339" s="566"/>
      <c r="O339" s="605"/>
      <c r="P339" s="584"/>
    </row>
    <row r="340" spans="1:16" ht="12.75" customHeight="1" x14ac:dyDescent="0.3">
      <c r="A340" s="566"/>
      <c r="B340" s="566" t="s">
        <v>1549</v>
      </c>
      <c r="C340" s="566"/>
      <c r="D340" s="566"/>
      <c r="E340" s="566"/>
      <c r="F340" s="566"/>
      <c r="G340" s="567" t="s">
        <v>1585</v>
      </c>
      <c r="H340" s="567" t="s">
        <v>1506</v>
      </c>
      <c r="I340" s="572"/>
      <c r="J340" s="294" t="str">
        <f>IF(ISBLANK(HLOOKUP(CaseName,CaseData,MATCH($G340,cases!$G$4:$G$2494,0),FALSE)),"",HLOOKUP(CaseName,CaseData,MATCH($G340,cases!$G$4:$G$2494,0),FALSE))</f>
        <v/>
      </c>
      <c r="K340" s="620">
        <f>(3/2)*(1-L346)/(2*RadFP.s*L346)</f>
        <v>8789.0625000000036</v>
      </c>
      <c r="L340" s="298">
        <f t="shared" si="19"/>
        <v>8789.0625000000036</v>
      </c>
      <c r="M340" s="567" t="s">
        <v>1506</v>
      </c>
      <c r="N340" s="566"/>
      <c r="O340" s="605"/>
      <c r="P340" s="584"/>
    </row>
    <row r="341" spans="1:16" ht="12.75" customHeight="1" x14ac:dyDescent="0.3">
      <c r="A341" s="566"/>
      <c r="B341" s="566" t="s">
        <v>1551</v>
      </c>
      <c r="C341" s="566"/>
      <c r="D341" s="566"/>
      <c r="E341" s="566"/>
      <c r="F341" s="566"/>
      <c r="G341" s="566" t="s">
        <v>1586</v>
      </c>
      <c r="H341" s="567" t="s">
        <v>866</v>
      </c>
      <c r="I341" s="572"/>
      <c r="J341" s="294" t="str">
        <f>IF(ISBLANK(HLOOKUP(CaseName,CaseData,MATCH($G341,cases!$G$4:$G$2494,0),FALSE)),"",HLOOKUP(CaseName,CaseData,MATCH($G341,cases!$G$4:$G$2494,0),FALSE))</f>
        <v/>
      </c>
      <c r="K341" s="662">
        <f>9*10^-6</f>
        <v>9.0000000000000002E-6</v>
      </c>
      <c r="L341" s="298">
        <f t="shared" si="19"/>
        <v>9.0000000000000002E-6</v>
      </c>
      <c r="M341" s="567" t="s">
        <v>866</v>
      </c>
      <c r="N341" s="584"/>
      <c r="O341" s="605"/>
      <c r="P341" s="566" t="s">
        <v>1509</v>
      </c>
    </row>
    <row r="342" spans="1:16" ht="12.75" customHeight="1" x14ac:dyDescent="0.3">
      <c r="A342" s="566"/>
      <c r="B342" s="566" t="s">
        <v>1510</v>
      </c>
      <c r="C342" s="566"/>
      <c r="D342" s="566"/>
      <c r="E342" s="566"/>
      <c r="F342" s="566"/>
      <c r="G342" s="567" t="s">
        <v>1587</v>
      </c>
      <c r="H342" s="567" t="s">
        <v>291</v>
      </c>
      <c r="I342" s="572"/>
      <c r="J342" s="294" t="str">
        <f>IF(ISBLANK(HLOOKUP(CaseName,CaseData,MATCH($G342,cases!$G$4:$G$2494,0),FALSE)),"",HLOOKUP(CaseName,CaseData,MATCH($G342,cases!$G$4:$G$2494,0),FALSE))</f>
        <v/>
      </c>
      <c r="K342" s="620">
        <f>L343+L347+L348</f>
        <v>1.1361636774655715</v>
      </c>
      <c r="L342" s="298">
        <f t="shared" si="19"/>
        <v>1.1361636774655715</v>
      </c>
      <c r="M342" s="567" t="s">
        <v>291</v>
      </c>
      <c r="N342" s="584"/>
      <c r="O342" s="605"/>
      <c r="P342" s="566" t="s">
        <v>1509</v>
      </c>
    </row>
    <row r="343" spans="1:16" ht="12.75" customHeight="1" x14ac:dyDescent="0.3">
      <c r="A343" s="566"/>
      <c r="B343" s="566"/>
      <c r="C343" s="566" t="s">
        <v>1512</v>
      </c>
      <c r="D343" s="566"/>
      <c r="E343" s="566"/>
      <c r="F343" s="566"/>
      <c r="G343" s="567" t="s">
        <v>1588</v>
      </c>
      <c r="H343" s="567" t="s">
        <v>291</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291</v>
      </c>
      <c r="N343" s="584"/>
      <c r="O343" s="605"/>
      <c r="P343" s="566" t="s">
        <v>1509</v>
      </c>
    </row>
    <row r="344" spans="1:16" ht="12.75" customHeight="1" x14ac:dyDescent="0.3">
      <c r="A344" s="566"/>
      <c r="B344" s="566"/>
      <c r="C344" s="566"/>
      <c r="D344" s="566" t="s">
        <v>1514</v>
      </c>
      <c r="E344" s="566"/>
      <c r="F344" s="566"/>
      <c r="G344" s="566" t="s">
        <v>1589</v>
      </c>
      <c r="H344" s="567" t="s">
        <v>291</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291</v>
      </c>
      <c r="N344" s="584"/>
      <c r="O344" s="605"/>
      <c r="P344" s="566" t="s">
        <v>1509</v>
      </c>
    </row>
    <row r="345" spans="1:16" ht="12.75" customHeight="1" x14ac:dyDescent="0.3">
      <c r="A345" s="566"/>
      <c r="B345" s="566"/>
      <c r="C345" s="566"/>
      <c r="D345" s="566"/>
      <c r="E345" s="566" t="s">
        <v>1556</v>
      </c>
      <c r="F345" s="566"/>
      <c r="G345" s="566" t="s">
        <v>1590</v>
      </c>
      <c r="H345" s="567" t="s">
        <v>291</v>
      </c>
      <c r="I345" s="572"/>
      <c r="J345" s="294" t="str">
        <f>IF(ISBLANK(HLOOKUP(CaseName,CaseData,MATCH($G345,cases!$G$4:$G$2494,0),FALSE)),"",HLOOKUP(CaseName,CaseData,MATCH($G345,cases!$G$4:$G$2494,0),FALSE))</f>
        <v/>
      </c>
      <c r="K345" s="662">
        <f>(1-L346)^(1/3)</f>
        <v>0.84343266530174932</v>
      </c>
      <c r="L345" s="298">
        <f t="shared" si="19"/>
        <v>0.84343266530174932</v>
      </c>
      <c r="M345" s="567" t="s">
        <v>291</v>
      </c>
      <c r="N345" s="584"/>
      <c r="O345" s="605"/>
      <c r="P345" s="566" t="s">
        <v>1509</v>
      </c>
    </row>
    <row r="346" spans="1:16" ht="12.75" customHeight="1" x14ac:dyDescent="0.3">
      <c r="A346" s="566"/>
      <c r="B346" s="566"/>
      <c r="C346" s="566"/>
      <c r="D346" s="566"/>
      <c r="E346" s="566"/>
      <c r="F346" s="566" t="s">
        <v>1558</v>
      </c>
      <c r="G346" s="566" t="s">
        <v>1591</v>
      </c>
      <c r="H346" s="567" t="s">
        <v>1520</v>
      </c>
      <c r="I346" s="572"/>
      <c r="J346" s="294" t="str">
        <f>IF(ISBLANK(HLOOKUP(CaseName,CaseData,MATCH($G346,cases!$G$4:$G$2494,0),FALSE)),"",HLOOKUP(CaseName,CaseData,MATCH($G346,cases!$G$4:$G$2494,0),FALSE))</f>
        <v/>
      </c>
      <c r="K346" s="620">
        <f>1-L44</f>
        <v>0.39999999999999991</v>
      </c>
      <c r="L346" s="298">
        <f t="shared" si="19"/>
        <v>0.39999999999999991</v>
      </c>
      <c r="M346" s="567" t="s">
        <v>1520</v>
      </c>
      <c r="N346" s="566" t="s">
        <v>1576</v>
      </c>
      <c r="O346" s="605"/>
      <c r="P346" s="584"/>
    </row>
    <row r="347" spans="1:16" ht="12.75" customHeight="1" x14ac:dyDescent="0.3">
      <c r="A347" s="566"/>
      <c r="B347" s="566"/>
      <c r="C347" s="566" t="s">
        <v>1522</v>
      </c>
      <c r="D347" s="566"/>
      <c r="E347" s="566"/>
      <c r="F347" s="566"/>
      <c r="G347" s="567" t="s">
        <v>1592</v>
      </c>
      <c r="H347" s="567" t="s">
        <v>291</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291</v>
      </c>
      <c r="N347" s="584"/>
      <c r="O347" s="605"/>
      <c r="P347" s="566" t="s">
        <v>1509</v>
      </c>
    </row>
    <row r="348" spans="1:16" ht="12.75" customHeight="1" x14ac:dyDescent="0.3">
      <c r="A348" s="566"/>
      <c r="B348" s="566"/>
      <c r="C348" s="566" t="s">
        <v>1524</v>
      </c>
      <c r="D348" s="566"/>
      <c r="E348" s="566"/>
      <c r="F348" s="566"/>
      <c r="G348" s="567" t="s">
        <v>1593</v>
      </c>
      <c r="H348" s="567" t="s">
        <v>291</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291</v>
      </c>
      <c r="N348" s="584"/>
      <c r="O348" s="605"/>
      <c r="P348" s="566" t="s">
        <v>1509</v>
      </c>
    </row>
    <row r="349" spans="1:16" ht="12.75" customHeight="1" x14ac:dyDescent="0.3">
      <c r="A349" s="566"/>
      <c r="B349" s="566"/>
      <c r="C349" s="566"/>
      <c r="D349" s="566" t="s">
        <v>1528</v>
      </c>
      <c r="E349" s="566"/>
      <c r="F349" s="566"/>
      <c r="G349" s="566" t="s">
        <v>1594</v>
      </c>
      <c r="H349" s="567" t="s">
        <v>1530</v>
      </c>
      <c r="I349" s="572"/>
      <c r="J349" s="294" t="str">
        <f>IF(ISBLANK(HLOOKUP(CaseName,CaseData,MATCH($G349,cases!$G$4:$G$2494,0),FALSE)),"",HLOOKUP(CaseName,CaseData,MATCH($G349,cases!$G$4:$G$2494,0),FALSE))</f>
        <v/>
      </c>
      <c r="K349" s="662">
        <f>RadS/RadFP.s</f>
        <v>3.9062500000000001E-5</v>
      </c>
      <c r="L349" s="298">
        <f t="shared" si="19"/>
        <v>3.9062500000000001E-5</v>
      </c>
      <c r="M349" s="567" t="s">
        <v>1530</v>
      </c>
      <c r="N349" s="584"/>
      <c r="O349" s="605"/>
      <c r="P349" s="566" t="s">
        <v>1509</v>
      </c>
    </row>
    <row r="350" spans="1:16" ht="12.75" customHeight="1" x14ac:dyDescent="0.3">
      <c r="A350" s="566"/>
      <c r="B350" s="566"/>
      <c r="C350" s="566"/>
      <c r="D350" s="566" t="s">
        <v>1531</v>
      </c>
      <c r="E350" s="566"/>
      <c r="F350" s="566"/>
      <c r="G350" s="566" t="s">
        <v>1595</v>
      </c>
      <c r="H350" s="567" t="s">
        <v>291</v>
      </c>
      <c r="I350" s="572"/>
      <c r="J350" s="294" t="str">
        <f>IF(ISBLANK(HLOOKUP(CaseName,CaseData,MATCH($G350,cases!$G$4:$G$2494,0),FALSE)),"",HLOOKUP(CaseName,CaseData,MATCH($G350,cases!$G$4:$G$2494,0),FALSE))</f>
        <v/>
      </c>
      <c r="K350" s="662">
        <f>(L341*2*RadFP.s)/(DiffS.wR)</f>
        <v>55.295939834256309</v>
      </c>
      <c r="L350" s="298">
        <f t="shared" si="19"/>
        <v>55.295939834256309</v>
      </c>
      <c r="M350" s="567" t="s">
        <v>291</v>
      </c>
      <c r="N350" s="584"/>
      <c r="O350" s="605"/>
      <c r="P350" s="566" t="s">
        <v>1509</v>
      </c>
    </row>
    <row r="351" spans="1:16" ht="12.75" customHeight="1" x14ac:dyDescent="0.3">
      <c r="A351" s="566"/>
      <c r="B351" s="566"/>
      <c r="C351" s="566"/>
      <c r="D351" s="566" t="s">
        <v>1526</v>
      </c>
      <c r="E351" s="566"/>
      <c r="F351" s="566"/>
      <c r="G351" s="566" t="s">
        <v>1596</v>
      </c>
      <c r="H351" s="567" t="s">
        <v>291</v>
      </c>
      <c r="I351" s="572"/>
      <c r="J351" s="294" t="str">
        <f>IF(ISBLANK(HLOOKUP(CaseName,CaseData,MATCH($G351,cases!$G$4:$G$2494,0),FALSE)),"",HLOOKUP(CaseName,CaseData,MATCH($G351,cases!$G$4:$G$2494,0),FALSE))</f>
        <v/>
      </c>
      <c r="K351" s="662">
        <f>AHamakerSP.w/(kboltz*TEMP.R)</f>
        <v>5.1336149339684463</v>
      </c>
      <c r="L351" s="298">
        <f t="shared" si="19"/>
        <v>5.1336149339684463</v>
      </c>
      <c r="M351" s="567" t="s">
        <v>291</v>
      </c>
      <c r="N351" s="584"/>
      <c r="O351" s="605"/>
      <c r="P351" s="566" t="s">
        <v>1509</v>
      </c>
    </row>
    <row r="352" spans="1:16" ht="12.75" customHeight="1" x14ac:dyDescent="0.3">
      <c r="A352" s="566"/>
      <c r="B352" s="566"/>
      <c r="C352" s="566"/>
      <c r="D352" s="566" t="s">
        <v>1533</v>
      </c>
      <c r="E352" s="566"/>
      <c r="F352" s="566"/>
      <c r="G352" s="567" t="s">
        <v>1597</v>
      </c>
      <c r="H352" s="567" t="s">
        <v>291</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291</v>
      </c>
      <c r="N352" s="584"/>
      <c r="O352" s="605"/>
      <c r="P352" s="566" t="s">
        <v>1509</v>
      </c>
    </row>
    <row r="353" spans="1:16" ht="12.75" customHeight="1" x14ac:dyDescent="0.3">
      <c r="I353" s="611"/>
      <c r="J353" s="715"/>
      <c r="O353" s="19"/>
      <c r="P353" s="11"/>
    </row>
    <row r="354" spans="1:16" s="633" customFormat="1" ht="12.75" customHeight="1" x14ac:dyDescent="0.3">
      <c r="A354" s="632" t="s">
        <v>1598</v>
      </c>
      <c r="G354" s="632" t="s">
        <v>258</v>
      </c>
      <c r="H354" s="632" t="s">
        <v>274</v>
      </c>
      <c r="I354" s="659" t="s">
        <v>259</v>
      </c>
      <c r="J354" s="640"/>
      <c r="K354" s="660" t="s">
        <v>260</v>
      </c>
      <c r="L354" s="180" t="s">
        <v>261</v>
      </c>
      <c r="N354" s="632" t="s">
        <v>262</v>
      </c>
      <c r="O354" s="395" t="s">
        <v>1383</v>
      </c>
      <c r="P354" s="633" t="s">
        <v>1384</v>
      </c>
    </row>
    <row r="355" spans="1:16" ht="12.75" customHeight="1" x14ac:dyDescent="0.3">
      <c r="A355" t="s">
        <v>1599</v>
      </c>
      <c r="I355" s="611"/>
      <c r="J355" s="640"/>
      <c r="O355" s="19"/>
      <c r="P355" s="11"/>
    </row>
    <row r="356" spans="1:16" ht="12.75" customHeight="1" x14ac:dyDescent="0.3">
      <c r="A356" s="566"/>
      <c r="B356" s="566" t="s">
        <v>1600</v>
      </c>
      <c r="C356" s="566"/>
      <c r="D356" s="566"/>
      <c r="E356" s="566"/>
      <c r="F356" s="566"/>
      <c r="G356" s="567" t="s">
        <v>1601</v>
      </c>
      <c r="H356" s="567" t="s">
        <v>813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813</v>
      </c>
      <c r="N356" s="566"/>
      <c r="O356" s="605"/>
      <c r="P356" s="566" t="s">
        <v>1602</v>
      </c>
    </row>
    <row r="357" spans="1:16" s="386" customFormat="1" ht="12.75" customHeight="1" x14ac:dyDescent="0.3">
      <c r="A357" s="566"/>
      <c r="B357" s="566" t="s">
        <v>1603</v>
      </c>
      <c r="C357" s="566"/>
      <c r="D357" s="566"/>
      <c r="E357" s="566"/>
      <c r="F357" s="566"/>
      <c r="G357" s="567" t="s">
        <v>1604</v>
      </c>
      <c r="H357" s="567" t="s">
        <v>291</v>
      </c>
      <c r="I357" s="572"/>
      <c r="J357" s="294" t="str">
        <f>IF(ISBLANK(HLOOKUP(CaseName,CaseData,MATCH($G357,cases!$G$4:$G$2494,0),FALSE)),"",HLOOKUP(CaseName,CaseData,MATCH($G357,cases!$G$4:$G$2494,0),FALSE))</f>
        <v/>
      </c>
      <c r="K357" s="620">
        <v>1</v>
      </c>
      <c r="L357" s="298">
        <f t="shared" si="20"/>
        <v>1</v>
      </c>
      <c r="M357" s="567" t="s">
        <v>291</v>
      </c>
      <c r="N357" s="582" t="s">
        <v>1605</v>
      </c>
      <c r="O357" s="606"/>
      <c r="P357" s="577"/>
    </row>
    <row r="358" spans="1:16" ht="12.75" customHeight="1" x14ac:dyDescent="0.3">
      <c r="A358" s="566"/>
      <c r="B358" s="566" t="s">
        <v>1606</v>
      </c>
      <c r="C358" s="566"/>
      <c r="D358" s="566"/>
      <c r="E358" s="566"/>
      <c r="F358" s="566"/>
      <c r="G358" s="567" t="s">
        <v>1607</v>
      </c>
      <c r="H358" s="567" t="s">
        <v>866</v>
      </c>
      <c r="I358" s="572"/>
      <c r="J358" s="294" t="str">
        <f>IF(ISBLANK(HLOOKUP(CaseName,CaseData,MATCH($G358,cases!$G$4:$G$2494,0),FALSE)),"",HLOOKUP(CaseName,CaseData,MATCH($G358,cases!$G$4:$G$2494,0),FALSE))</f>
        <v/>
      </c>
      <c r="K358" s="620">
        <f>RAINrate.R/L357</f>
        <v>2.219685438863521E-8</v>
      </c>
      <c r="L358" s="298">
        <f t="shared" si="20"/>
        <v>2.219685438863521E-8</v>
      </c>
      <c r="M358" s="567" t="s">
        <v>866</v>
      </c>
      <c r="N358" s="566" t="s">
        <v>1608</v>
      </c>
      <c r="O358" s="605"/>
      <c r="P358" s="566" t="s">
        <v>1609</v>
      </c>
    </row>
    <row r="359" spans="1:16" ht="12.75" customHeight="1" x14ac:dyDescent="0.3">
      <c r="A359" s="566"/>
      <c r="B359" s="566" t="s">
        <v>1610</v>
      </c>
      <c r="C359" s="566"/>
      <c r="D359" s="566"/>
      <c r="E359" s="566"/>
      <c r="F359" s="566"/>
      <c r="G359" s="567" t="s">
        <v>1611</v>
      </c>
      <c r="H359" s="567" t="s">
        <v>866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866</v>
      </c>
      <c r="N359" s="566"/>
      <c r="O359" s="605"/>
      <c r="P359" s="584"/>
    </row>
    <row r="360" spans="1:16" ht="12.75" customHeight="1" x14ac:dyDescent="0.3">
      <c r="A360" s="566"/>
      <c r="B360" s="566" t="s">
        <v>1612</v>
      </c>
      <c r="C360" s="566"/>
      <c r="D360" s="566"/>
      <c r="E360" s="566"/>
      <c r="F360" s="566"/>
      <c r="G360" s="567" t="s">
        <v>1613</v>
      </c>
      <c r="H360" s="567" t="s">
        <v>291</v>
      </c>
      <c r="I360" s="572"/>
      <c r="J360" s="294" t="str">
        <f>IF(ISBLANK(HLOOKUP(CaseName,CaseData,MATCH($G360,cases!$G$4:$G$2494,0),FALSE)),"",HLOOKUP(CaseName,CaseData,MATCH($G360,cases!$G$4:$G$2494,0),FALSE))</f>
        <v/>
      </c>
      <c r="K360" s="620">
        <v>1</v>
      </c>
      <c r="L360" s="298">
        <f t="shared" si="20"/>
        <v>1</v>
      </c>
      <c r="M360" s="567" t="s">
        <v>291</v>
      </c>
      <c r="N360" s="566"/>
      <c r="O360" s="605"/>
      <c r="P360" s="584"/>
    </row>
    <row r="361" spans="1:16" ht="12.75" customHeight="1" x14ac:dyDescent="0.3">
      <c r="A361" s="566"/>
      <c r="B361" s="566" t="s">
        <v>1614</v>
      </c>
      <c r="C361" s="566"/>
      <c r="D361" s="566"/>
      <c r="E361" s="566"/>
      <c r="F361" s="566"/>
      <c r="G361" s="567" t="s">
        <v>1615</v>
      </c>
      <c r="H361" s="567" t="s">
        <v>291</v>
      </c>
      <c r="I361" s="572"/>
      <c r="J361" s="294" t="str">
        <f>IF(ISBLANK(HLOOKUP(CaseName,CaseData,MATCH($G361,cases!$G$4:$G$2494,0),FALSE)),"",HLOOKUP(CaseName,CaseData,MATCH($G361,cases!$G$4:$G$2494,0),FALSE))</f>
        <v/>
      </c>
      <c r="K361" s="620">
        <f>((1.2+(1/12)*LN(1+L362))/(1+LN(1+L362)))</f>
        <v>0.30769776051183378</v>
      </c>
      <c r="L361" s="298">
        <f t="shared" si="20"/>
        <v>0.30769776051183378</v>
      </c>
      <c r="M361" s="567" t="s">
        <v>291</v>
      </c>
      <c r="N361" s="566"/>
      <c r="O361" s="605"/>
      <c r="P361" s="584"/>
    </row>
    <row r="362" spans="1:16" ht="12.75" customHeight="1" x14ac:dyDescent="0.3">
      <c r="A362" s="566"/>
      <c r="B362" s="566" t="s">
        <v>1616</v>
      </c>
      <c r="C362" s="566"/>
      <c r="D362" s="566"/>
      <c r="E362" s="566"/>
      <c r="F362" s="566"/>
      <c r="G362" s="567" t="s">
        <v>1617</v>
      </c>
      <c r="H362" s="567" t="s">
        <v>291</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291</v>
      </c>
      <c r="N362" s="566"/>
      <c r="O362" s="605"/>
      <c r="P362" s="584"/>
    </row>
    <row r="363" spans="1:16" s="634" customFormat="1" ht="12.75" customHeight="1" x14ac:dyDescent="0.3">
      <c r="A363" s="633" t="s">
        <v>1618</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1619</v>
      </c>
      <c r="C364" s="566"/>
      <c r="D364" s="566"/>
      <c r="E364" s="566"/>
      <c r="F364" s="566"/>
      <c r="G364" s="566" t="s">
        <v>1620</v>
      </c>
      <c r="H364" s="566" t="s">
        <v>813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813</v>
      </c>
      <c r="N364" s="566"/>
      <c r="O364" s="605"/>
      <c r="P364" s="584"/>
    </row>
    <row r="365" spans="1:16" ht="12.75" customHeight="1" x14ac:dyDescent="0.3">
      <c r="A365" s="566"/>
      <c r="B365" s="566" t="s">
        <v>1621</v>
      </c>
      <c r="C365" s="566"/>
      <c r="D365" s="566"/>
      <c r="E365" s="566"/>
      <c r="F365" s="566"/>
      <c r="G365" s="566" t="s">
        <v>1622</v>
      </c>
      <c r="H365" s="566" t="s">
        <v>282</v>
      </c>
      <c r="I365" s="572"/>
      <c r="J365" s="294" t="str">
        <f>IF(ISBLANK(HLOOKUP(CaseName,CaseData,MATCH($G365,cases!$G$4:$G$2494,0),FALSE)),"",HLOOKUP(CaseName,CaseData,MATCH($G365,cases!$G$4:$G$2494,0),FALSE))</f>
        <v/>
      </c>
      <c r="K365" s="620">
        <f>(L367)/L366</f>
        <v>2007.4435670995119</v>
      </c>
      <c r="L365" s="298">
        <f t="shared" si="21"/>
        <v>2007.4435670995119</v>
      </c>
      <c r="M365" s="566" t="s">
        <v>282</v>
      </c>
      <c r="N365" s="566"/>
      <c r="O365" s="605"/>
      <c r="P365" s="584"/>
    </row>
    <row r="366" spans="1:16" ht="12.75" customHeight="1" x14ac:dyDescent="0.3">
      <c r="A366" s="566"/>
      <c r="B366" s="566"/>
      <c r="C366" s="566" t="s">
        <v>1623</v>
      </c>
      <c r="D366" s="566"/>
      <c r="E366" s="566"/>
      <c r="F366" s="566"/>
      <c r="G366" s="566" t="s">
        <v>1624</v>
      </c>
      <c r="H366" s="566" t="s">
        <v>857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857</v>
      </c>
      <c r="N366" s="566"/>
      <c r="O366" s="605"/>
      <c r="P366" s="584"/>
    </row>
    <row r="367" spans="1:16" ht="12.75" customHeight="1" x14ac:dyDescent="0.3">
      <c r="A367" s="566"/>
      <c r="B367" s="566"/>
      <c r="C367" s="566" t="s">
        <v>1625</v>
      </c>
      <c r="D367" s="566"/>
      <c r="E367" s="566"/>
      <c r="F367" s="566"/>
      <c r="G367" s="566" t="s">
        <v>1626</v>
      </c>
      <c r="H367" s="566" t="s">
        <v>888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888</v>
      </c>
      <c r="N367" s="566" t="s">
        <v>1627</v>
      </c>
      <c r="O367" s="605"/>
      <c r="P367" s="584"/>
    </row>
    <row r="368" spans="1:16" s="634" customFormat="1" ht="12.75" customHeight="1" x14ac:dyDescent="0.3">
      <c r="A368" s="582" t="s">
        <v>1628</v>
      </c>
      <c r="B368" s="582"/>
      <c r="C368" s="582"/>
      <c r="D368" s="582"/>
      <c r="E368" s="582"/>
      <c r="F368" s="582"/>
      <c r="G368" s="581" t="s">
        <v>1629</v>
      </c>
      <c r="H368" s="581" t="s">
        <v>335</v>
      </c>
      <c r="I368" s="572"/>
      <c r="J368" s="294" t="str">
        <f>IF(ISBLANK(HLOOKUP(CaseName,CaseData,MATCH($G368,cases!$G$4:$G$2494,0),FALSE)),"",HLOOKUP(CaseName,CaseData,MATCH($G368,cases!$G$4:$G$2494,0),FALSE))</f>
        <v/>
      </c>
      <c r="K368" s="622">
        <f>(3/2)*(L376*L358)/(2*L356)</f>
        <v>9.699132067302024E-7</v>
      </c>
      <c r="L368" s="712">
        <f t="shared" si="21"/>
        <v>9.699132067302024E-7</v>
      </c>
      <c r="M368" s="581" t="s">
        <v>335</v>
      </c>
      <c r="N368" s="603"/>
      <c r="O368" s="663"/>
      <c r="P368" s="582"/>
    </row>
    <row r="369" spans="1:16" ht="12.75" customHeight="1" x14ac:dyDescent="0.3">
      <c r="A369" s="566"/>
      <c r="B369" s="566" t="s">
        <v>1631</v>
      </c>
      <c r="C369" s="566"/>
      <c r="D369" s="566"/>
      <c r="E369" s="566"/>
      <c r="F369" s="566"/>
      <c r="G369" s="567" t="s">
        <v>1632</v>
      </c>
      <c r="H369" s="567" t="s">
        <v>1633</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1633</v>
      </c>
      <c r="N369" s="566"/>
      <c r="O369" s="604"/>
      <c r="P369" s="584"/>
    </row>
    <row r="370" spans="1:16" ht="12.75" customHeight="1" x14ac:dyDescent="0.3">
      <c r="A370" s="566"/>
      <c r="B370" s="566" t="s">
        <v>1634</v>
      </c>
      <c r="C370" s="566"/>
      <c r="D370" s="566"/>
      <c r="E370" s="566"/>
      <c r="F370" s="566"/>
      <c r="G370" s="567" t="s">
        <v>1635</v>
      </c>
      <c r="H370" s="567" t="s">
        <v>291</v>
      </c>
      <c r="I370" s="572"/>
      <c r="J370" s="294" t="str">
        <f>IF(ISBLANK(HLOOKUP(CaseName,CaseData,MATCH($G370,cases!$G$4:$G$2494,0),FALSE)),"",HLOOKUP(CaseName,CaseData,MATCH($G370,cases!$G$4:$G$2494,0),FALSE))</f>
        <v/>
      </c>
      <c r="K370" s="620">
        <f>(2*L369*(L359-L371))/(2*L356)</f>
        <v>1.6488224508495772E-3</v>
      </c>
      <c r="L370" s="298">
        <f t="shared" si="21"/>
        <v>1.6488224508495772E-3</v>
      </c>
      <c r="M370" s="567" t="s">
        <v>291</v>
      </c>
      <c r="N370" s="584"/>
      <c r="O370" s="604" t="s">
        <v>1636</v>
      </c>
      <c r="P370" s="584"/>
    </row>
    <row r="371" spans="1:16" ht="12.75" customHeight="1" x14ac:dyDescent="0.3">
      <c r="A371" s="566"/>
      <c r="B371" s="566" t="s">
        <v>1637</v>
      </c>
      <c r="C371" s="566"/>
      <c r="D371" s="566"/>
      <c r="E371" s="566"/>
      <c r="F371" s="566"/>
      <c r="G371" s="567" t="s">
        <v>1638</v>
      </c>
      <c r="H371" s="567" t="s">
        <v>866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866</v>
      </c>
      <c r="N371" s="566"/>
      <c r="O371" s="605"/>
      <c r="P371" s="584"/>
    </row>
    <row r="372" spans="1:16" ht="12.75" customHeight="1" x14ac:dyDescent="0.3">
      <c r="A372" s="566"/>
      <c r="B372" s="566" t="s">
        <v>1639</v>
      </c>
      <c r="C372" s="566"/>
      <c r="D372" s="566"/>
      <c r="E372" s="566"/>
      <c r="F372" s="566"/>
      <c r="G372" s="567" t="s">
        <v>1640</v>
      </c>
      <c r="H372" s="567" t="s">
        <v>291</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291</v>
      </c>
      <c r="N372" s="566"/>
      <c r="O372" s="984"/>
      <c r="P372" s="584"/>
    </row>
    <row r="373" spans="1:16" ht="12.75" customHeight="1" x14ac:dyDescent="0.3">
      <c r="A373" s="566"/>
      <c r="B373" s="566"/>
      <c r="C373" s="566" t="s">
        <v>1641</v>
      </c>
      <c r="D373" s="566"/>
      <c r="E373" s="566"/>
      <c r="F373" s="566"/>
      <c r="G373" s="567" t="s">
        <v>1642</v>
      </c>
      <c r="H373" s="567" t="s">
        <v>291</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291</v>
      </c>
      <c r="N373" s="566"/>
      <c r="O373" s="605"/>
      <c r="P373" s="584"/>
    </row>
    <row r="374" spans="1:16" ht="12.75" customHeight="1" x14ac:dyDescent="0.3">
      <c r="A374" s="566"/>
      <c r="B374" s="566"/>
      <c r="C374" s="566" t="s">
        <v>1643</v>
      </c>
      <c r="D374" s="566"/>
      <c r="E374" s="566"/>
      <c r="F374" s="566"/>
      <c r="G374" s="567" t="s">
        <v>1644</v>
      </c>
      <c r="H374" s="567" t="s">
        <v>291</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291</v>
      </c>
      <c r="N374" s="566"/>
      <c r="O374" s="605"/>
      <c r="P374" s="584"/>
    </row>
    <row r="375" spans="1:16" ht="12.75" customHeight="1" x14ac:dyDescent="0.3">
      <c r="A375" s="566"/>
      <c r="B375" s="566"/>
      <c r="C375" s="566" t="s">
        <v>1645</v>
      </c>
      <c r="D375" s="566"/>
      <c r="E375" s="566"/>
      <c r="F375" s="566"/>
      <c r="G375" s="567" t="s">
        <v>1646</v>
      </c>
      <c r="H375" s="567" t="s">
        <v>291</v>
      </c>
      <c r="I375" s="572"/>
      <c r="J375" s="294" t="str">
        <f>IF(ISBLANK(HLOOKUP(CaseName,CaseData,MATCH($G375,cases!$G$4:$G$2494,0),FALSE)),"",HLOOKUP(CaseName,CaseData,MATCH($G375,cases!$G$4:$G$2494,0),FALSE))</f>
        <v/>
      </c>
      <c r="K375" s="620">
        <f>IF(L370&gt;L361,((L370-L361)/(L370-L361+2/3))^(3/2),0)</f>
        <v>0</v>
      </c>
      <c r="L375" s="298">
        <f t="shared" si="21"/>
        <v>0</v>
      </c>
      <c r="M375" s="567" t="s">
        <v>291</v>
      </c>
      <c r="N375" s="566"/>
      <c r="O375" s="605"/>
      <c r="P375" s="584"/>
    </row>
    <row r="376" spans="1:16" ht="12.75" customHeight="1" x14ac:dyDescent="0.3">
      <c r="A376" s="566"/>
      <c r="B376" s="566"/>
      <c r="C376" s="566" t="s">
        <v>1647</v>
      </c>
      <c r="D376" s="566"/>
      <c r="E376" s="566"/>
      <c r="F376" s="566"/>
      <c r="G376" s="567" t="s">
        <v>1648</v>
      </c>
      <c r="H376" s="567" t="s">
        <v>291</v>
      </c>
      <c r="I376" s="572"/>
      <c r="J376" s="294" t="str">
        <f>IF(ISBLANK(HLOOKUP(CaseName,CaseData,MATCH($G376,cases!$G$4:$G$2494,0),FALSE)),"",HLOOKUP(CaseName,CaseData,MATCH($G376,cases!$G$4:$G$2494,0),FALSE))</f>
        <v/>
      </c>
      <c r="K376" s="620">
        <f>L373+L374+L375</f>
        <v>1.0841682986251494E-2</v>
      </c>
      <c r="L376" s="298">
        <f t="shared" si="21"/>
        <v>1.0841682986251494E-2</v>
      </c>
      <c r="M376" s="567" t="s">
        <v>291</v>
      </c>
      <c r="N376" s="566"/>
      <c r="O376" s="605"/>
      <c r="P376" s="584"/>
    </row>
    <row r="377" spans="1:16" ht="12.75" customHeight="1" x14ac:dyDescent="0.3">
      <c r="A377" s="566" t="s">
        <v>1649</v>
      </c>
      <c r="B377" s="566"/>
      <c r="C377" s="566"/>
      <c r="D377" s="566"/>
      <c r="E377" s="566"/>
      <c r="F377" s="566"/>
      <c r="G377" s="567" t="s">
        <v>1650</v>
      </c>
      <c r="H377" s="567" t="s">
        <v>335</v>
      </c>
      <c r="I377" s="572"/>
      <c r="J377" s="294" t="str">
        <f>IF(ISBLANK(HLOOKUP(CaseName,CaseData,MATCH($G377,cases!$G$4:$G$2494,0),FALSE)),"",HLOOKUP(CaseName,CaseData,MATCH($G377,cases!$G$4:$G$2494,0),FALSE))</f>
        <v/>
      </c>
      <c r="K377" s="620">
        <f>((3/2)*(L387*L358)/(2*L356))</f>
        <v>1.7484098176372425E-7</v>
      </c>
      <c r="L377" s="298">
        <f t="shared" si="21"/>
        <v>1.7484098176372425E-7</v>
      </c>
      <c r="M377" s="567" t="s">
        <v>335</v>
      </c>
      <c r="N377" s="566"/>
      <c r="O377" s="605"/>
      <c r="P377" s="584"/>
    </row>
    <row r="378" spans="1:16" ht="12.75" customHeight="1" x14ac:dyDescent="0.3">
      <c r="A378" s="566"/>
      <c r="B378" s="566" t="s">
        <v>1651</v>
      </c>
      <c r="C378" s="566"/>
      <c r="D378" s="566"/>
      <c r="E378" s="566"/>
      <c r="F378" s="566"/>
      <c r="G378" s="567" t="s">
        <v>1652</v>
      </c>
      <c r="H378" s="567" t="s">
        <v>291</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291</v>
      </c>
      <c r="N378" s="566"/>
      <c r="O378" s="605"/>
      <c r="P378" s="584"/>
    </row>
    <row r="379" spans="1:16" ht="12.75" customHeight="1" x14ac:dyDescent="0.3">
      <c r="A379" s="566"/>
      <c r="B379" s="566" t="s">
        <v>1653</v>
      </c>
      <c r="C379" s="566"/>
      <c r="D379" s="566"/>
      <c r="E379" s="566"/>
      <c r="F379" s="566"/>
      <c r="G379" s="567" t="s">
        <v>1654</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1631</v>
      </c>
      <c r="C380" s="566"/>
      <c r="D380" s="566"/>
      <c r="E380" s="566"/>
      <c r="F380" s="566"/>
      <c r="G380" s="567" t="s">
        <v>1655</v>
      </c>
      <c r="H380" s="567" t="s">
        <v>1633</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1633</v>
      </c>
      <c r="N380" s="566"/>
      <c r="O380" s="605"/>
      <c r="P380" s="584"/>
    </row>
    <row r="381" spans="1:16" ht="12.75" customHeight="1" x14ac:dyDescent="0.3">
      <c r="A381" s="566"/>
      <c r="B381" s="566" t="s">
        <v>1656</v>
      </c>
      <c r="C381" s="566"/>
      <c r="D381" s="566"/>
      <c r="E381" s="566"/>
      <c r="F381" s="566"/>
      <c r="G381" s="567" t="s">
        <v>1657</v>
      </c>
      <c r="H381" s="567" t="s">
        <v>291</v>
      </c>
      <c r="I381" s="572"/>
      <c r="J381" s="294" t="str">
        <f>IF(ISBLANK(HLOOKUP(CaseName,CaseData,MATCH($G381,cases!$G$4:$G$2494,0),FALSE)),"",HLOOKUP(CaseName,CaseData,MATCH($G381,cases!$G$4:$G$2494,0),FALSE))</f>
        <v/>
      </c>
      <c r="K381" s="620">
        <f>(2*L380*(L359-L382))/(2*L356)</f>
        <v>3.477365584771385E-3</v>
      </c>
      <c r="L381" s="298">
        <f t="shared" si="21"/>
        <v>3.477365584771385E-3</v>
      </c>
      <c r="M381" s="567" t="s">
        <v>291</v>
      </c>
      <c r="N381" s="566"/>
      <c r="O381" s="605"/>
      <c r="P381" s="584"/>
    </row>
    <row r="382" spans="1:16" ht="12.75" customHeight="1" x14ac:dyDescent="0.3">
      <c r="A382" s="566"/>
      <c r="B382" s="566" t="s">
        <v>1637</v>
      </c>
      <c r="C382" s="566"/>
      <c r="D382" s="566"/>
      <c r="E382" s="566"/>
      <c r="F382" s="566"/>
      <c r="G382" s="567" t="s">
        <v>1658</v>
      </c>
      <c r="H382" s="567" t="s">
        <v>866</v>
      </c>
      <c r="I382" s="572"/>
      <c r="J382" s="294" t="str">
        <f>IF(ISBLANK(HLOOKUP(CaseName,CaseData,MATCH($G382,cases!$G$4:$G$2494,0),FALSE)),"",HLOOKUP(CaseName,CaseData,MATCH($G382,cases!$G$4:$G$2494,0),FALSE))</f>
        <v/>
      </c>
      <c r="K382" s="620">
        <f>((L364)^2*(L365-input!L331)*9.81*L378)/(18*DYNVISC.a)</f>
        <v>3.8174013613872763E-7</v>
      </c>
      <c r="L382" s="298">
        <f t="shared" si="21"/>
        <v>3.8174013613872763E-7</v>
      </c>
      <c r="M382" s="567" t="s">
        <v>866</v>
      </c>
      <c r="N382" s="566"/>
      <c r="O382" s="605"/>
      <c r="P382" s="584"/>
    </row>
    <row r="383" spans="1:16" ht="12.75" customHeight="1" x14ac:dyDescent="0.3">
      <c r="A383" s="566"/>
      <c r="B383" s="566" t="s">
        <v>1639</v>
      </c>
      <c r="C383" s="566"/>
      <c r="D383" s="566"/>
      <c r="E383" s="566"/>
      <c r="F383" s="566"/>
      <c r="G383" s="567" t="s">
        <v>1659</v>
      </c>
      <c r="H383" s="567" t="s">
        <v>291</v>
      </c>
      <c r="I383" s="572"/>
      <c r="J383" s="294" t="str">
        <f>IF(ISBLANK(HLOOKUP(CaseName,CaseData,MATCH($G383,cases!$G$4:$G$2494,0),FALSE)),"",HLOOKUP(CaseName,CaseData,MATCH($G383,cases!$G$4:$G$2494,0),FALSE))</f>
        <v/>
      </c>
      <c r="K383" s="620">
        <f>DYNVISC.a/(input!L331*L379)</f>
        <v>18936.747269026804</v>
      </c>
      <c r="L383" s="298">
        <f t="shared" si="21"/>
        <v>18936.747269026804</v>
      </c>
      <c r="M383" s="567" t="s">
        <v>291</v>
      </c>
      <c r="N383" s="566"/>
      <c r="O383" s="605"/>
      <c r="P383" s="584"/>
    </row>
    <row r="384" spans="1:16" ht="12.75" customHeight="1" x14ac:dyDescent="0.3">
      <c r="A384" s="566"/>
      <c r="B384" s="566"/>
      <c r="C384" s="566" t="s">
        <v>1641</v>
      </c>
      <c r="D384" s="566"/>
      <c r="E384" s="566"/>
      <c r="F384" s="566"/>
      <c r="G384" s="567" t="s">
        <v>1660</v>
      </c>
      <c r="H384" s="567" t="s">
        <v>291</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291</v>
      </c>
      <c r="N384" s="566"/>
      <c r="O384" s="605"/>
      <c r="P384" s="584"/>
    </row>
    <row r="385" spans="1:16" ht="12.75" customHeight="1" x14ac:dyDescent="0.3">
      <c r="A385" s="566"/>
      <c r="B385" s="566"/>
      <c r="C385" s="566" t="s">
        <v>1643</v>
      </c>
      <c r="D385" s="566"/>
      <c r="E385" s="566"/>
      <c r="F385" s="566"/>
      <c r="G385" s="567" t="s">
        <v>1661</v>
      </c>
      <c r="H385" s="567" t="s">
        <v>291</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291</v>
      </c>
      <c r="N385" s="566"/>
      <c r="O385" s="605"/>
      <c r="P385" s="584"/>
    </row>
    <row r="386" spans="1:16" ht="12.75" customHeight="1" x14ac:dyDescent="0.3">
      <c r="A386" s="566"/>
      <c r="B386" s="566"/>
      <c r="C386" s="566" t="s">
        <v>1645</v>
      </c>
      <c r="D386" s="566"/>
      <c r="E386" s="566"/>
      <c r="F386" s="566"/>
      <c r="G386" s="567" t="s">
        <v>1662</v>
      </c>
      <c r="H386" s="567" t="s">
        <v>291</v>
      </c>
      <c r="I386" s="572"/>
      <c r="J386" s="294" t="str">
        <f>IF(ISBLANK(HLOOKUP(CaseName,CaseData,MATCH($G386,cases!$G$4:$G$2494,0),FALSE)),"",HLOOKUP(CaseName,CaseData,MATCH($G386,cases!$G$4:$G$2494,0),FALSE))</f>
        <v/>
      </c>
      <c r="K386" s="620">
        <f>IF(L381&gt;L361,((L381-L361)/(L381-L361+2/3))^(3/2),0)</f>
        <v>0</v>
      </c>
      <c r="L386" s="298">
        <f t="shared" si="21"/>
        <v>0</v>
      </c>
      <c r="M386" s="567" t="s">
        <v>291</v>
      </c>
      <c r="N386" s="566"/>
      <c r="O386" s="605"/>
      <c r="P386" s="584"/>
    </row>
    <row r="387" spans="1:16" ht="12.75" customHeight="1" x14ac:dyDescent="0.3">
      <c r="A387" s="566"/>
      <c r="B387" s="566"/>
      <c r="C387" s="566" t="s">
        <v>1647</v>
      </c>
      <c r="D387" s="566"/>
      <c r="E387" s="566"/>
      <c r="F387" s="566"/>
      <c r="G387" s="567" t="s">
        <v>1663</v>
      </c>
      <c r="H387" s="567" t="s">
        <v>291</v>
      </c>
      <c r="I387" s="572"/>
      <c r="J387" s="294" t="str">
        <f>IF(ISBLANK(HLOOKUP(CaseName,CaseData,MATCH($G387,cases!$G$4:$G$2494,0),FALSE)),"",HLOOKUP(CaseName,CaseData,MATCH($G387,cases!$G$4:$G$2494,0),FALSE))</f>
        <v/>
      </c>
      <c r="K387" s="620">
        <f>L384+L385+L386</f>
        <v>1.9543712614014967E-3</v>
      </c>
      <c r="L387" s="298">
        <f t="shared" si="21"/>
        <v>1.9543712614014967E-3</v>
      </c>
      <c r="M387" s="567" t="s">
        <v>291</v>
      </c>
      <c r="N387" s="566"/>
      <c r="O387" s="605"/>
      <c r="P387" s="584"/>
    </row>
    <row r="388" spans="1:16" ht="12.75" customHeight="1" x14ac:dyDescent="0.3">
      <c r="A388" s="566" t="s">
        <v>1664</v>
      </c>
      <c r="B388" s="566"/>
      <c r="C388" s="566"/>
      <c r="D388" s="566"/>
      <c r="E388" s="566"/>
      <c r="F388" s="566"/>
      <c r="G388" s="567" t="s">
        <v>1665</v>
      </c>
      <c r="H388" s="567" t="s">
        <v>335</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335</v>
      </c>
      <c r="N388" s="566" t="s">
        <v>1666</v>
      </c>
      <c r="O388" s="605"/>
      <c r="P388" s="584"/>
    </row>
    <row r="389" spans="1:16" s="634" customFormat="1" ht="12.75" customHeight="1" x14ac:dyDescent="0.3">
      <c r="A389" s="582" t="s">
        <v>1667</v>
      </c>
      <c r="B389" s="582"/>
      <c r="C389" s="582"/>
      <c r="D389" s="582"/>
      <c r="E389" s="582"/>
      <c r="F389" s="582"/>
      <c r="G389" s="581" t="s">
        <v>1668</v>
      </c>
      <c r="H389" s="581" t="s">
        <v>335</v>
      </c>
      <c r="I389" s="572"/>
      <c r="J389" s="294" t="str">
        <f>IF(ISBLANK(HLOOKUP(CaseName,CaseData,MATCH($G389,cases!$G$4:$G$2494,0),FALSE)),"",HLOOKUP(CaseName,CaseData,MATCH($G389,cases!$G$4:$G$2494,0),FALSE))</f>
        <v/>
      </c>
      <c r="K389" s="620">
        <f>(L390*L19*L16)/(L5)</f>
        <v>8.9924781113653336E-7</v>
      </c>
      <c r="L389" s="298">
        <f t="shared" si="21"/>
        <v>8.9924781113653336E-7</v>
      </c>
      <c r="M389" s="581" t="s">
        <v>335</v>
      </c>
      <c r="N389" s="582"/>
      <c r="O389" s="951"/>
      <c r="P389" s="952"/>
    </row>
    <row r="390" spans="1:16" ht="12.75" customHeight="1" x14ac:dyDescent="0.3">
      <c r="A390" s="566"/>
      <c r="B390" s="566" t="s">
        <v>1669</v>
      </c>
      <c r="C390" s="566"/>
      <c r="D390" s="566"/>
      <c r="E390" s="566"/>
      <c r="F390" s="566"/>
      <c r="G390" s="567" t="s">
        <v>1670</v>
      </c>
      <c r="H390" s="567" t="s">
        <v>866</v>
      </c>
      <c r="I390" s="572"/>
      <c r="J390" s="294" t="str">
        <f>IF(ISBLANK(HLOOKUP(CaseName,CaseData,MATCH($G390,cases!$G$4:$G$2494,0),FALSE)),"",HLOOKUP(CaseName,CaseData,MATCH($G390,cases!$G$4:$G$2494,0),FALSE))</f>
        <v/>
      </c>
      <c r="K390" s="620">
        <f>1/(L391+L392)+L371</f>
        <v>3.3451176812763074E-3</v>
      </c>
      <c r="L390" s="298">
        <f t="shared" si="21"/>
        <v>3.3451176812763074E-3</v>
      </c>
      <c r="M390" s="567" t="s">
        <v>866</v>
      </c>
      <c r="N390" s="566"/>
      <c r="O390" s="605"/>
      <c r="P390" s="584"/>
    </row>
    <row r="391" spans="1:16" ht="12.75" customHeight="1" x14ac:dyDescent="0.3">
      <c r="A391" s="566"/>
      <c r="B391" s="566" t="s">
        <v>1671</v>
      </c>
      <c r="C391" s="566"/>
      <c r="D391" s="566"/>
      <c r="E391" s="566"/>
      <c r="F391" s="566"/>
      <c r="G391" s="567" t="s">
        <v>1672</v>
      </c>
      <c r="H391" s="567" t="s">
        <v>1673</v>
      </c>
      <c r="I391" s="572"/>
      <c r="J391" s="294" t="str">
        <f>IF(ISBLANK(HLOOKUP(CaseName,CaseData,MATCH($G391,cases!$G$4:$G$2494,0),FALSE)),"",HLOOKUP(CaseName,CaseData,MATCH($G391,cases!$G$4:$G$2494,0),FALSE))</f>
        <v/>
      </c>
      <c r="K391" s="620">
        <v>74</v>
      </c>
      <c r="L391" s="298">
        <f t="shared" si="21"/>
        <v>74</v>
      </c>
      <c r="M391" s="567" t="s">
        <v>1673</v>
      </c>
      <c r="N391" s="566"/>
      <c r="O391" s="604" t="s">
        <v>1674</v>
      </c>
      <c r="P391" s="566" t="s">
        <v>1675</v>
      </c>
    </row>
    <row r="392" spans="1:16" ht="12.75" customHeight="1" x14ac:dyDescent="0.3">
      <c r="A392" s="566"/>
      <c r="B392" s="566" t="s">
        <v>1676</v>
      </c>
      <c r="C392" s="566"/>
      <c r="D392" s="566"/>
      <c r="E392" s="566"/>
      <c r="F392" s="566"/>
      <c r="G392" s="567" t="s">
        <v>1677</v>
      </c>
      <c r="H392" s="567" t="s">
        <v>1673</v>
      </c>
      <c r="I392" s="572"/>
      <c r="J392" s="294" t="str">
        <f>IF(ISBLANK(HLOOKUP(CaseName,CaseData,MATCH($G392,cases!$G$4:$G$2494,0),FALSE)),"",HLOOKUP(CaseName,CaseData,MATCH($G392,cases!$G$4:$G$2494,0),FALSE))</f>
        <v/>
      </c>
      <c r="K392" s="620">
        <f>1/(L393*(L394+L395+L399))</f>
        <v>225.00786261849854</v>
      </c>
      <c r="L392" s="298">
        <f t="shared" si="21"/>
        <v>225.00786261849854</v>
      </c>
      <c r="M392" s="567" t="s">
        <v>1673</v>
      </c>
      <c r="N392" s="566"/>
      <c r="O392" s="604" t="s">
        <v>1678</v>
      </c>
      <c r="P392" s="584"/>
    </row>
    <row r="393" spans="1:16" ht="12.75" customHeight="1" x14ac:dyDescent="0.3">
      <c r="A393" s="566"/>
      <c r="B393" s="566"/>
      <c r="C393" s="566" t="s">
        <v>1679</v>
      </c>
      <c r="D393" s="566"/>
      <c r="E393" s="566"/>
      <c r="F393" s="566"/>
      <c r="G393" s="567" t="s">
        <v>1680</v>
      </c>
      <c r="H393" s="567" t="s">
        <v>866</v>
      </c>
      <c r="I393" s="572"/>
      <c r="J393" s="294" t="str">
        <f>IF(ISBLANK(HLOOKUP(CaseName,CaseData,MATCH($G393,cases!$G$4:$G$2494,0),FALSE)),"",HLOOKUP(CaseName,CaseData,MATCH($G393,cases!$G$4:$G$2494,0),FALSE))</f>
        <v/>
      </c>
      <c r="K393" s="620">
        <v>0.19</v>
      </c>
      <c r="L393" s="298">
        <f t="shared" si="21"/>
        <v>0.19</v>
      </c>
      <c r="M393" s="567" t="s">
        <v>866</v>
      </c>
      <c r="N393" s="566"/>
      <c r="O393" s="604" t="s">
        <v>1681</v>
      </c>
      <c r="P393" s="566" t="s">
        <v>1682</v>
      </c>
    </row>
    <row r="394" spans="1:16" ht="12.75" customHeight="1" x14ac:dyDescent="0.3">
      <c r="A394" s="566"/>
      <c r="B394" s="566"/>
      <c r="C394" s="566" t="s">
        <v>1641</v>
      </c>
      <c r="D394" s="566"/>
      <c r="E394" s="566"/>
      <c r="F394" s="566"/>
      <c r="G394" s="567" t="s">
        <v>1683</v>
      </c>
      <c r="H394" s="567" t="s">
        <v>291</v>
      </c>
      <c r="I394" s="572"/>
      <c r="J394" s="294" t="str">
        <f>IF(ISBLANK(HLOOKUP(CaseName,CaseData,MATCH($G394,cases!$G$4:$G$2494,0),FALSE)),"",HLOOKUP(CaseName,CaseData,MATCH($G394,cases!$G$4:$G$2494,0),FALSE))</f>
        <v/>
      </c>
      <c r="K394" s="620">
        <f>L372^(-2/3)</f>
        <v>2.338229586631968E-2</v>
      </c>
      <c r="L394" s="298">
        <f t="shared" si="21"/>
        <v>2.338229586631968E-2</v>
      </c>
      <c r="M394" s="567" t="s">
        <v>291</v>
      </c>
      <c r="N394" s="566"/>
      <c r="O394" s="604" t="s">
        <v>1678</v>
      </c>
      <c r="P394" s="566" t="s">
        <v>1684</v>
      </c>
    </row>
    <row r="395" spans="1:16" ht="12.75" customHeight="1" x14ac:dyDescent="0.3">
      <c r="A395" s="566"/>
      <c r="B395" s="566"/>
      <c r="C395" s="566" t="s">
        <v>1643</v>
      </c>
      <c r="D395" s="566"/>
      <c r="E395" s="566"/>
      <c r="F395" s="566"/>
      <c r="G395" s="567" t="s">
        <v>1685</v>
      </c>
      <c r="H395" s="567" t="s">
        <v>291</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291</v>
      </c>
      <c r="N395" s="566"/>
      <c r="O395" s="604" t="s">
        <v>1678</v>
      </c>
      <c r="P395" s="566" t="s">
        <v>1684</v>
      </c>
    </row>
    <row r="396" spans="1:16" ht="12.75" customHeight="1" x14ac:dyDescent="0.3">
      <c r="A396" s="566"/>
      <c r="B396" s="566"/>
      <c r="C396" s="566"/>
      <c r="D396" s="566" t="s">
        <v>1686</v>
      </c>
      <c r="E396" s="566"/>
      <c r="F396" s="566"/>
      <c r="G396" s="567" t="s">
        <v>1687</v>
      </c>
      <c r="H396" s="567" t="s">
        <v>813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813</v>
      </c>
      <c r="N396" s="566"/>
      <c r="O396" s="604" t="s">
        <v>1674</v>
      </c>
      <c r="P396" s="566" t="s">
        <v>1684</v>
      </c>
    </row>
    <row r="397" spans="1:16" ht="12.75" customHeight="1" x14ac:dyDescent="0.3">
      <c r="A397" s="566"/>
      <c r="B397" s="566"/>
      <c r="C397" s="566"/>
      <c r="D397" s="566" t="s">
        <v>1688</v>
      </c>
      <c r="E397" s="566"/>
      <c r="F397" s="566"/>
      <c r="G397" s="567" t="s">
        <v>1689</v>
      </c>
      <c r="H397" s="567" t="s">
        <v>813</v>
      </c>
      <c r="I397" s="572"/>
      <c r="J397" s="294" t="str">
        <f>IF(ISBLANK(HLOOKUP(CaseName,CaseData,MATCH($G397,cases!$G$4:$G$2494,0),FALSE)),"",HLOOKUP(CaseName,CaseData,MATCH($G397,cases!$G$4:$G$2494,0),FALSE))</f>
        <v/>
      </c>
      <c r="K397" s="620">
        <f>0.0005</f>
        <v>5.0000000000000001E-4</v>
      </c>
      <c r="L397" s="298">
        <f t="shared" si="22"/>
        <v>5.0000000000000001E-4</v>
      </c>
      <c r="M397" s="567" t="s">
        <v>813</v>
      </c>
      <c r="N397" s="566"/>
      <c r="O397" s="604" t="s">
        <v>1674</v>
      </c>
      <c r="P397" s="566" t="s">
        <v>1684</v>
      </c>
    </row>
    <row r="398" spans="1:16" ht="12.75" customHeight="1" x14ac:dyDescent="0.3">
      <c r="A398" s="566"/>
      <c r="B398" s="566"/>
      <c r="C398" s="566"/>
      <c r="D398" s="566" t="s">
        <v>1690</v>
      </c>
      <c r="E398" s="566"/>
      <c r="F398" s="566"/>
      <c r="G398" s="567" t="s">
        <v>1691</v>
      </c>
      <c r="H398" s="567" t="s">
        <v>291</v>
      </c>
      <c r="I398" s="572"/>
      <c r="J398" s="294" t="str">
        <f>IF(ISBLANK(HLOOKUP(CaseName,CaseData,MATCH($G398,cases!$G$4:$G$2494,0),FALSE)),"",HLOOKUP(CaseName,CaseData,MATCH($G398,cases!$G$4:$G$2494,0),FALSE))</f>
        <v/>
      </c>
      <c r="K398" s="620">
        <v>0.01</v>
      </c>
      <c r="L398" s="298">
        <f t="shared" si="22"/>
        <v>0.01</v>
      </c>
      <c r="M398" s="567" t="s">
        <v>291</v>
      </c>
      <c r="N398" s="566"/>
      <c r="O398" s="604" t="s">
        <v>1674</v>
      </c>
      <c r="P398" s="566" t="s">
        <v>1692</v>
      </c>
    </row>
    <row r="399" spans="1:16" ht="12.75" customHeight="1" x14ac:dyDescent="0.3">
      <c r="A399" s="566"/>
      <c r="B399" s="566"/>
      <c r="C399" s="566" t="s">
        <v>1645</v>
      </c>
      <c r="D399" s="566"/>
      <c r="E399" s="566"/>
      <c r="F399" s="566"/>
      <c r="G399" s="567" t="s">
        <v>1693</v>
      </c>
      <c r="H399" s="567" t="s">
        <v>291</v>
      </c>
      <c r="I399" s="572"/>
      <c r="J399" s="294" t="str">
        <f>IF(ISBLANK(HLOOKUP(CaseName,CaseData,MATCH($G399,cases!$G$4:$G$2494,0),FALSE)),"",HLOOKUP(CaseName,CaseData,MATCH($G399,cases!$G$4:$G$2494,0),FALSE))</f>
        <v/>
      </c>
      <c r="K399" s="620">
        <f>(L370/(L370+0.8))^2</f>
        <v>4.2303808415551052E-6</v>
      </c>
      <c r="L399" s="298">
        <f t="shared" si="22"/>
        <v>4.2303808415551052E-6</v>
      </c>
      <c r="M399" s="567" t="s">
        <v>291</v>
      </c>
      <c r="N399" s="566"/>
      <c r="O399" s="604" t="s">
        <v>1678</v>
      </c>
      <c r="P399" s="566" t="s">
        <v>1684</v>
      </c>
    </row>
    <row r="400" spans="1:16" ht="12.75" customHeight="1" x14ac:dyDescent="0.3">
      <c r="A400" s="566" t="s">
        <v>1694</v>
      </c>
      <c r="B400" s="566"/>
      <c r="C400" s="566"/>
      <c r="D400" s="566"/>
      <c r="E400" s="566"/>
      <c r="F400" s="566"/>
      <c r="G400" s="567" t="s">
        <v>1695</v>
      </c>
      <c r="H400" s="567" t="s">
        <v>335</v>
      </c>
      <c r="I400" s="572"/>
      <c r="J400" s="294" t="str">
        <f>IF(ISBLANK(HLOOKUP(CaseName,CaseData,MATCH($G400,cases!$G$4:$G$2494,0),FALSE)),"",HLOOKUP(CaseName,CaseData,MATCH($G400,cases!$G$4:$G$2494,0),FALSE))</f>
        <v/>
      </c>
      <c r="K400" s="620">
        <f>(L401*L20*L16)/(L5)</f>
        <v>1.9983284691922954E-6</v>
      </c>
      <c r="L400" s="298">
        <f t="shared" si="22"/>
        <v>1.9983284691922954E-6</v>
      </c>
      <c r="M400" s="567" t="s">
        <v>335</v>
      </c>
      <c r="N400" s="566"/>
      <c r="O400" s="605"/>
      <c r="P400" s="566"/>
    </row>
    <row r="401" spans="1:16" ht="12.75" customHeight="1" x14ac:dyDescent="0.3">
      <c r="A401" s="566"/>
      <c r="B401" s="566" t="s">
        <v>1669</v>
      </c>
      <c r="C401" s="566"/>
      <c r="D401" s="566"/>
      <c r="E401" s="566"/>
      <c r="F401" s="566"/>
      <c r="G401" s="567" t="s">
        <v>1696</v>
      </c>
      <c r="H401" s="567" t="s">
        <v>866</v>
      </c>
      <c r="I401" s="572"/>
      <c r="J401" s="294" t="str">
        <f>IF(ISBLANK(HLOOKUP(CaseName,CaseData,MATCH($G401,cases!$G$4:$G$2494,0),FALSE)),"",HLOOKUP(CaseName,CaseData,MATCH($G401,cases!$G$4:$G$2494,0),FALSE))</f>
        <v/>
      </c>
      <c r="K401" s="620">
        <f>1/(L402+L403)+L371</f>
        <v>3.3451176812763074E-3</v>
      </c>
      <c r="L401" s="298">
        <f t="shared" si="22"/>
        <v>3.3451176812763074E-3</v>
      </c>
      <c r="M401" s="567" t="s">
        <v>866</v>
      </c>
      <c r="N401" s="566"/>
      <c r="O401" s="605"/>
      <c r="P401" s="566"/>
    </row>
    <row r="402" spans="1:16" ht="12.75" customHeight="1" x14ac:dyDescent="0.3">
      <c r="A402" s="566"/>
      <c r="B402" s="566" t="s">
        <v>1671</v>
      </c>
      <c r="C402" s="566"/>
      <c r="D402" s="566"/>
      <c r="E402" s="566"/>
      <c r="F402" s="566"/>
      <c r="G402" s="567" t="s">
        <v>1697</v>
      </c>
      <c r="H402" s="567" t="s">
        <v>1673</v>
      </c>
      <c r="I402" s="572"/>
      <c r="J402" s="294" t="str">
        <f>IF(ISBLANK(HLOOKUP(CaseName,CaseData,MATCH($G402,cases!$G$4:$G$2494,0),FALSE)),"",HLOOKUP(CaseName,CaseData,MATCH($G402,cases!$G$4:$G$2494,0),FALSE))</f>
        <v/>
      </c>
      <c r="K402" s="620">
        <v>74</v>
      </c>
      <c r="L402" s="298">
        <f t="shared" si="22"/>
        <v>74</v>
      </c>
      <c r="M402" s="567" t="s">
        <v>1673</v>
      </c>
      <c r="N402" s="566"/>
      <c r="O402" s="605"/>
      <c r="P402" s="566" t="s">
        <v>1675</v>
      </c>
    </row>
    <row r="403" spans="1:16" ht="12.75" customHeight="1" x14ac:dyDescent="0.3">
      <c r="A403" s="566"/>
      <c r="B403" s="566" t="s">
        <v>1676</v>
      </c>
      <c r="C403" s="566"/>
      <c r="D403" s="566"/>
      <c r="E403" s="566"/>
      <c r="F403" s="566"/>
      <c r="G403" s="567" t="s">
        <v>1698</v>
      </c>
      <c r="H403" s="567" t="s">
        <v>1673</v>
      </c>
      <c r="I403" s="572"/>
      <c r="J403" s="294" t="str">
        <f>IF(ISBLANK(HLOOKUP(CaseName,CaseData,MATCH($G403,cases!$G$4:$G$2494,0),FALSE)),"",HLOOKUP(CaseName,CaseData,MATCH($G403,cases!$G$4:$G$2494,0),FALSE))</f>
        <v/>
      </c>
      <c r="K403" s="620">
        <f>1/(L404*(L405+L406+L410))</f>
        <v>225.00786261849854</v>
      </c>
      <c r="L403" s="298">
        <f t="shared" si="22"/>
        <v>225.00786261849854</v>
      </c>
      <c r="M403" s="567" t="s">
        <v>1673</v>
      </c>
      <c r="N403" s="566"/>
      <c r="O403" s="605"/>
      <c r="P403" s="566"/>
    </row>
    <row r="404" spans="1:16" ht="12.75" customHeight="1" x14ac:dyDescent="0.3">
      <c r="A404" s="566"/>
      <c r="B404" s="566"/>
      <c r="C404" s="566" t="s">
        <v>1679</v>
      </c>
      <c r="D404" s="566"/>
      <c r="E404" s="566"/>
      <c r="F404" s="566"/>
      <c r="G404" s="567" t="s">
        <v>1699</v>
      </c>
      <c r="H404" s="567" t="s">
        <v>866</v>
      </c>
      <c r="I404" s="572"/>
      <c r="J404" s="294" t="str">
        <f>IF(ISBLANK(HLOOKUP(CaseName,CaseData,MATCH($G404,cases!$G$4:$G$2494,0),FALSE)),"",HLOOKUP(CaseName,CaseData,MATCH($G404,cases!$G$4:$G$2494,0),FALSE))</f>
        <v/>
      </c>
      <c r="K404" s="620">
        <v>0.19</v>
      </c>
      <c r="L404" s="298">
        <f t="shared" si="22"/>
        <v>0.19</v>
      </c>
      <c r="M404" s="567" t="s">
        <v>866</v>
      </c>
      <c r="N404" s="566"/>
      <c r="O404" s="605"/>
      <c r="P404" s="566" t="s">
        <v>1682</v>
      </c>
    </row>
    <row r="405" spans="1:16" ht="12.75" customHeight="1" x14ac:dyDescent="0.3">
      <c r="A405" s="566"/>
      <c r="B405" s="566"/>
      <c r="C405" s="566" t="s">
        <v>1641</v>
      </c>
      <c r="D405" s="566"/>
      <c r="E405" s="566"/>
      <c r="F405" s="566"/>
      <c r="G405" s="567" t="s">
        <v>1700</v>
      </c>
      <c r="H405" s="567" t="s">
        <v>291</v>
      </c>
      <c r="I405" s="572"/>
      <c r="J405" s="294" t="str">
        <f>IF(ISBLANK(HLOOKUP(CaseName,CaseData,MATCH($G405,cases!$G$4:$G$2494,0),FALSE)),"",HLOOKUP(CaseName,CaseData,MATCH($G405,cases!$G$4:$G$2494,0),FALSE))</f>
        <v/>
      </c>
      <c r="K405" s="620">
        <f>L372^(-2/3)</f>
        <v>2.338229586631968E-2</v>
      </c>
      <c r="L405" s="298">
        <f t="shared" si="22"/>
        <v>2.338229586631968E-2</v>
      </c>
      <c r="M405" s="567" t="s">
        <v>291</v>
      </c>
      <c r="N405" s="566"/>
      <c r="O405" s="605"/>
      <c r="P405" s="566" t="s">
        <v>1684</v>
      </c>
    </row>
    <row r="406" spans="1:16" ht="12.75" customHeight="1" x14ac:dyDescent="0.3">
      <c r="A406" s="566"/>
      <c r="B406" s="566"/>
      <c r="C406" s="566" t="s">
        <v>1643</v>
      </c>
      <c r="D406" s="566"/>
      <c r="E406" s="566"/>
      <c r="F406" s="566"/>
      <c r="G406" s="567" t="s">
        <v>1701</v>
      </c>
      <c r="H406" s="567" t="s">
        <v>291</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291</v>
      </c>
      <c r="N406" s="566"/>
      <c r="O406" s="605"/>
      <c r="P406" s="566" t="s">
        <v>1684</v>
      </c>
    </row>
    <row r="407" spans="1:16" ht="12.75" customHeight="1" x14ac:dyDescent="0.3">
      <c r="A407" s="566"/>
      <c r="B407" s="566"/>
      <c r="C407" s="566"/>
      <c r="D407" s="566" t="s">
        <v>1686</v>
      </c>
      <c r="E407" s="566"/>
      <c r="F407" s="566"/>
      <c r="G407" s="567" t="s">
        <v>1702</v>
      </c>
      <c r="H407" s="567" t="s">
        <v>813</v>
      </c>
      <c r="I407" s="572"/>
      <c r="J407" s="294" t="str">
        <f>IF(ISBLANK(HLOOKUP(CaseName,CaseData,MATCH($G407,cases!$G$4:$G$2494,0),FALSE)),"",HLOOKUP(CaseName,CaseData,MATCH($G407,cases!$G$4:$G$2494,0),FALSE))</f>
        <v/>
      </c>
      <c r="K407" s="620">
        <f>1*10^-5</f>
        <v>1.0000000000000001E-5</v>
      </c>
      <c r="L407" s="298">
        <f t="shared" si="22"/>
        <v>1.0000000000000001E-5</v>
      </c>
      <c r="M407" s="567" t="s">
        <v>813</v>
      </c>
      <c r="N407" s="566"/>
      <c r="O407" s="605"/>
      <c r="P407" s="566" t="s">
        <v>1684</v>
      </c>
    </row>
    <row r="408" spans="1:16" ht="12.75" customHeight="1" x14ac:dyDescent="0.3">
      <c r="A408" s="566"/>
      <c r="B408" s="566"/>
      <c r="C408" s="566"/>
      <c r="D408" s="566" t="s">
        <v>1688</v>
      </c>
      <c r="E408" s="566"/>
      <c r="F408" s="566"/>
      <c r="G408" s="567" t="s">
        <v>1703</v>
      </c>
      <c r="H408" s="567" t="s">
        <v>813</v>
      </c>
      <c r="I408" s="572"/>
      <c r="J408" s="294" t="str">
        <f>IF(ISBLANK(HLOOKUP(CaseName,CaseData,MATCH($G408,cases!$G$4:$G$2494,0),FALSE)),"",HLOOKUP(CaseName,CaseData,MATCH($G408,cases!$G$4:$G$2494,0),FALSE))</f>
        <v/>
      </c>
      <c r="K408" s="620">
        <f>0.0005</f>
        <v>5.0000000000000001E-4</v>
      </c>
      <c r="L408" s="298">
        <f t="shared" si="22"/>
        <v>5.0000000000000001E-4</v>
      </c>
      <c r="M408" s="567" t="s">
        <v>813</v>
      </c>
      <c r="N408" s="566"/>
      <c r="O408" s="605"/>
      <c r="P408" s="566" t="s">
        <v>1684</v>
      </c>
    </row>
    <row r="409" spans="1:16" ht="12.75" customHeight="1" x14ac:dyDescent="0.3">
      <c r="A409" s="566"/>
      <c r="B409" s="566"/>
      <c r="C409" s="566"/>
      <c r="D409" s="566" t="s">
        <v>1690</v>
      </c>
      <c r="E409" s="566"/>
      <c r="F409" s="566"/>
      <c r="G409" s="567" t="s">
        <v>1704</v>
      </c>
      <c r="H409" s="567" t="s">
        <v>291</v>
      </c>
      <c r="I409" s="572"/>
      <c r="J409" s="294" t="str">
        <f>IF(ISBLANK(HLOOKUP(CaseName,CaseData,MATCH($G409,cases!$G$4:$G$2494,0),FALSE)),"",HLOOKUP(CaseName,CaseData,MATCH($G409,cases!$G$4:$G$2494,0),FALSE))</f>
        <v/>
      </c>
      <c r="K409" s="620">
        <v>0.01</v>
      </c>
      <c r="L409" s="298">
        <f t="shared" si="22"/>
        <v>0.01</v>
      </c>
      <c r="M409" s="567" t="s">
        <v>291</v>
      </c>
      <c r="N409" s="566"/>
      <c r="O409" s="605"/>
      <c r="P409" s="566" t="s">
        <v>1684</v>
      </c>
    </row>
    <row r="410" spans="1:16" ht="12.75" customHeight="1" x14ac:dyDescent="0.3">
      <c r="A410" s="566"/>
      <c r="B410" s="566"/>
      <c r="C410" s="566" t="s">
        <v>1645</v>
      </c>
      <c r="D410" s="566"/>
      <c r="E410" s="566"/>
      <c r="F410" s="566"/>
      <c r="G410" s="567" t="s">
        <v>1705</v>
      </c>
      <c r="H410" s="567" t="s">
        <v>291</v>
      </c>
      <c r="I410" s="572"/>
      <c r="J410" s="294" t="str">
        <f>IF(ISBLANK(HLOOKUP(CaseName,CaseData,MATCH($G410,cases!$G$4:$G$2494,0),FALSE)),"",HLOOKUP(CaseName,CaseData,MATCH($G410,cases!$G$4:$G$2494,0),FALSE))</f>
        <v/>
      </c>
      <c r="K410" s="620">
        <f>(L370/(L370+0.8))^2</f>
        <v>4.2303808415551052E-6</v>
      </c>
      <c r="L410" s="298">
        <f t="shared" si="22"/>
        <v>4.2303808415551052E-6</v>
      </c>
      <c r="M410" s="567" t="s">
        <v>291</v>
      </c>
      <c r="N410" s="566"/>
      <c r="O410" s="605"/>
      <c r="P410" s="566" t="s">
        <v>1684</v>
      </c>
    </row>
    <row r="411" spans="1:16" ht="12.75" customHeight="1" x14ac:dyDescent="0.3">
      <c r="A411" s="566" t="s">
        <v>1706</v>
      </c>
      <c r="B411" s="566"/>
      <c r="C411" s="566"/>
      <c r="D411" s="566"/>
      <c r="E411" s="566"/>
      <c r="F411" s="566"/>
      <c r="G411" s="567" t="s">
        <v>1707</v>
      </c>
      <c r="H411" s="567" t="s">
        <v>335</v>
      </c>
      <c r="I411" s="572"/>
      <c r="J411" s="294" t="str">
        <f>IF(ISBLANK(HLOOKUP(CaseName,CaseData,MATCH($G411,cases!$G$4:$G$2494,0),FALSE)),"",HLOOKUP(CaseName,CaseData,MATCH($G411,cases!$G$4:$G$2494,0),FALSE))</f>
        <v/>
      </c>
      <c r="K411" s="620">
        <f>(L412*L21*L16)/(L5)</f>
        <v>3.3305474486538268E-7</v>
      </c>
      <c r="L411" s="298">
        <f t="shared" si="22"/>
        <v>3.3305474486538268E-7</v>
      </c>
      <c r="M411" s="567" t="s">
        <v>335</v>
      </c>
      <c r="N411" s="566"/>
      <c r="O411" s="605"/>
      <c r="P411" s="566"/>
    </row>
    <row r="412" spans="1:16" ht="12.75" customHeight="1" x14ac:dyDescent="0.3">
      <c r="A412" s="566"/>
      <c r="B412" s="566" t="s">
        <v>1669</v>
      </c>
      <c r="C412" s="566"/>
      <c r="D412" s="566"/>
      <c r="E412" s="566"/>
      <c r="F412" s="566"/>
      <c r="G412" s="567" t="s">
        <v>1708</v>
      </c>
      <c r="H412" s="567" t="s">
        <v>866</v>
      </c>
      <c r="I412" s="572"/>
      <c r="J412" s="294" t="str">
        <f>IF(ISBLANK(HLOOKUP(CaseName,CaseData,MATCH($G412,cases!$G$4:$G$2494,0),FALSE)),"",HLOOKUP(CaseName,CaseData,MATCH($G412,cases!$G$4:$G$2494,0),FALSE))</f>
        <v/>
      </c>
      <c r="K412" s="620">
        <f>1/(L413+L414)+L371</f>
        <v>3.3451176812763074E-3</v>
      </c>
      <c r="L412" s="298">
        <f t="shared" si="22"/>
        <v>3.3451176812763074E-3</v>
      </c>
      <c r="M412" s="567" t="s">
        <v>866</v>
      </c>
      <c r="N412" s="566"/>
      <c r="O412" s="605"/>
      <c r="P412" s="566"/>
    </row>
    <row r="413" spans="1:16" ht="12.75" customHeight="1" x14ac:dyDescent="0.3">
      <c r="A413" s="566"/>
      <c r="B413" s="566" t="s">
        <v>1671</v>
      </c>
      <c r="C413" s="566"/>
      <c r="D413" s="566"/>
      <c r="E413" s="566"/>
      <c r="F413" s="566"/>
      <c r="G413" s="567" t="s">
        <v>1709</v>
      </c>
      <c r="H413" s="567" t="s">
        <v>1673</v>
      </c>
      <c r="I413" s="572"/>
      <c r="J413" s="294" t="str">
        <f>IF(ISBLANK(HLOOKUP(CaseName,CaseData,MATCH($G413,cases!$G$4:$G$2494,0),FALSE)),"",HLOOKUP(CaseName,CaseData,MATCH($G413,cases!$G$4:$G$2494,0),FALSE))</f>
        <v/>
      </c>
      <c r="K413" s="620">
        <v>74</v>
      </c>
      <c r="L413" s="298">
        <f t="shared" si="22"/>
        <v>74</v>
      </c>
      <c r="M413" s="567" t="s">
        <v>1673</v>
      </c>
      <c r="N413" s="566"/>
      <c r="O413" s="605"/>
      <c r="P413" s="566" t="s">
        <v>1682</v>
      </c>
    </row>
    <row r="414" spans="1:16" ht="12.75" customHeight="1" x14ac:dyDescent="0.3">
      <c r="A414" s="566"/>
      <c r="B414" s="566" t="s">
        <v>1676</v>
      </c>
      <c r="C414" s="566"/>
      <c r="D414" s="566"/>
      <c r="E414" s="566"/>
      <c r="F414" s="566"/>
      <c r="G414" s="567" t="s">
        <v>1710</v>
      </c>
      <c r="H414" s="567" t="s">
        <v>1673</v>
      </c>
      <c r="I414" s="572"/>
      <c r="J414" s="294" t="str">
        <f>IF(ISBLANK(HLOOKUP(CaseName,CaseData,MATCH($G414,cases!$G$4:$G$2494,0),FALSE)),"",HLOOKUP(CaseName,CaseData,MATCH($G414,cases!$G$4:$G$2494,0),FALSE))</f>
        <v/>
      </c>
      <c r="K414" s="620">
        <f>1/(L415*(L416+L417+L421))</f>
        <v>225.00786261849854</v>
      </c>
      <c r="L414" s="298">
        <f t="shared" si="22"/>
        <v>225.00786261849854</v>
      </c>
      <c r="M414" s="567" t="s">
        <v>1673</v>
      </c>
      <c r="N414" s="566"/>
      <c r="O414" s="605"/>
      <c r="P414" s="566"/>
    </row>
    <row r="415" spans="1:16" ht="12.75" customHeight="1" x14ac:dyDescent="0.3">
      <c r="A415" s="566"/>
      <c r="B415" s="566"/>
      <c r="C415" s="566" t="s">
        <v>1679</v>
      </c>
      <c r="D415" s="566"/>
      <c r="E415" s="566"/>
      <c r="F415" s="566"/>
      <c r="G415" s="567" t="s">
        <v>1711</v>
      </c>
      <c r="H415" s="567" t="s">
        <v>866</v>
      </c>
      <c r="I415" s="572"/>
      <c r="J415" s="294" t="str">
        <f>IF(ISBLANK(HLOOKUP(CaseName,CaseData,MATCH($G415,cases!$G$4:$G$2494,0),FALSE)),"",HLOOKUP(CaseName,CaseData,MATCH($G415,cases!$G$4:$G$2494,0),FALSE))</f>
        <v/>
      </c>
      <c r="K415" s="620">
        <v>0.19</v>
      </c>
      <c r="L415" s="298">
        <f t="shared" si="22"/>
        <v>0.19</v>
      </c>
      <c r="M415" s="567" t="s">
        <v>866</v>
      </c>
      <c r="N415" s="566"/>
      <c r="O415" s="605"/>
      <c r="P415" s="566" t="s">
        <v>1682</v>
      </c>
    </row>
    <row r="416" spans="1:16" ht="12.75" customHeight="1" x14ac:dyDescent="0.3">
      <c r="A416" s="566"/>
      <c r="B416" s="566"/>
      <c r="C416" s="566" t="s">
        <v>1641</v>
      </c>
      <c r="D416" s="566"/>
      <c r="E416" s="566"/>
      <c r="F416" s="566"/>
      <c r="G416" s="567" t="s">
        <v>1712</v>
      </c>
      <c r="H416" s="567" t="s">
        <v>291</v>
      </c>
      <c r="I416" s="572"/>
      <c r="J416" s="294" t="str">
        <f>IF(ISBLANK(HLOOKUP(CaseName,CaseData,MATCH($G416,cases!$G$4:$G$2494,0),FALSE)),"",HLOOKUP(CaseName,CaseData,MATCH($G416,cases!$G$4:$G$2494,0),FALSE))</f>
        <v/>
      </c>
      <c r="K416" s="620">
        <f>L372^(-2/3)</f>
        <v>2.338229586631968E-2</v>
      </c>
      <c r="L416" s="298">
        <f t="shared" si="22"/>
        <v>2.338229586631968E-2</v>
      </c>
      <c r="M416" s="567" t="s">
        <v>291</v>
      </c>
      <c r="N416" s="566"/>
      <c r="O416" s="605"/>
      <c r="P416" s="566" t="s">
        <v>1684</v>
      </c>
    </row>
    <row r="417" spans="1:16" ht="12.75" customHeight="1" x14ac:dyDescent="0.3">
      <c r="A417" s="566"/>
      <c r="B417" s="566"/>
      <c r="C417" s="566" t="s">
        <v>1643</v>
      </c>
      <c r="D417" s="566"/>
      <c r="E417" s="566"/>
      <c r="F417" s="566"/>
      <c r="G417" s="567" t="s">
        <v>1713</v>
      </c>
      <c r="H417" s="567" t="s">
        <v>291</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291</v>
      </c>
      <c r="N417" s="566"/>
      <c r="O417" s="605"/>
      <c r="P417" s="566" t="s">
        <v>1684</v>
      </c>
    </row>
    <row r="418" spans="1:16" ht="12.75" customHeight="1" x14ac:dyDescent="0.3">
      <c r="A418" s="566"/>
      <c r="B418" s="566"/>
      <c r="C418" s="566"/>
      <c r="D418" s="566" t="s">
        <v>1686</v>
      </c>
      <c r="E418" s="566"/>
      <c r="F418" s="566"/>
      <c r="G418" s="567" t="s">
        <v>1714</v>
      </c>
      <c r="H418" s="567" t="s">
        <v>813</v>
      </c>
      <c r="I418" s="572"/>
      <c r="J418" s="294" t="str">
        <f>IF(ISBLANK(HLOOKUP(CaseName,CaseData,MATCH($G418,cases!$G$4:$G$2494,0),FALSE)),"",HLOOKUP(CaseName,CaseData,MATCH($G418,cases!$G$4:$G$2494,0),FALSE))</f>
        <v/>
      </c>
      <c r="K418" s="620">
        <f>1*10^-5</f>
        <v>1.0000000000000001E-5</v>
      </c>
      <c r="L418" s="298">
        <f t="shared" si="22"/>
        <v>1.0000000000000001E-5</v>
      </c>
      <c r="M418" s="567" t="s">
        <v>813</v>
      </c>
      <c r="N418" s="566"/>
      <c r="O418" s="605"/>
      <c r="P418" s="566" t="s">
        <v>1684</v>
      </c>
    </row>
    <row r="419" spans="1:16" ht="12.75" customHeight="1" x14ac:dyDescent="0.3">
      <c r="A419" s="566"/>
      <c r="B419" s="566"/>
      <c r="C419" s="566"/>
      <c r="D419" s="566" t="s">
        <v>1688</v>
      </c>
      <c r="E419" s="566"/>
      <c r="F419" s="566"/>
      <c r="G419" s="567" t="s">
        <v>1715</v>
      </c>
      <c r="H419" s="567" t="s">
        <v>813</v>
      </c>
      <c r="I419" s="572"/>
      <c r="J419" s="294" t="str">
        <f>IF(ISBLANK(HLOOKUP(CaseName,CaseData,MATCH($G419,cases!$G$4:$G$2494,0),FALSE)),"",HLOOKUP(CaseName,CaseData,MATCH($G419,cases!$G$4:$G$2494,0),FALSE))</f>
        <v/>
      </c>
      <c r="K419" s="620">
        <f>0.0005</f>
        <v>5.0000000000000001E-4</v>
      </c>
      <c r="L419" s="298">
        <f t="shared" si="22"/>
        <v>5.0000000000000001E-4</v>
      </c>
      <c r="M419" s="567" t="s">
        <v>813</v>
      </c>
      <c r="N419" s="566"/>
      <c r="O419" s="605"/>
      <c r="P419" s="566" t="s">
        <v>1684</v>
      </c>
    </row>
    <row r="420" spans="1:16" ht="12.75" customHeight="1" x14ac:dyDescent="0.3">
      <c r="A420" s="566"/>
      <c r="B420" s="566"/>
      <c r="C420" s="566"/>
      <c r="D420" s="566" t="s">
        <v>1690</v>
      </c>
      <c r="E420" s="566"/>
      <c r="F420" s="566"/>
      <c r="G420" s="567" t="s">
        <v>1716</v>
      </c>
      <c r="H420" s="567" t="s">
        <v>291</v>
      </c>
      <c r="I420" s="572"/>
      <c r="J420" s="294" t="str">
        <f>IF(ISBLANK(HLOOKUP(CaseName,CaseData,MATCH($G420,cases!$G$4:$G$2494,0),FALSE)),"",HLOOKUP(CaseName,CaseData,MATCH($G420,cases!$G$4:$G$2494,0),FALSE))</f>
        <v/>
      </c>
      <c r="K420" s="620">
        <v>0.01</v>
      </c>
      <c r="L420" s="298">
        <f t="shared" si="22"/>
        <v>0.01</v>
      </c>
      <c r="M420" s="567" t="s">
        <v>291</v>
      </c>
      <c r="N420" s="566"/>
      <c r="O420" s="605"/>
      <c r="P420" s="566" t="s">
        <v>1684</v>
      </c>
    </row>
    <row r="421" spans="1:16" ht="12.75" customHeight="1" x14ac:dyDescent="0.3">
      <c r="A421" s="566"/>
      <c r="B421" s="566"/>
      <c r="C421" s="566" t="s">
        <v>1645</v>
      </c>
      <c r="D421" s="566"/>
      <c r="E421" s="566"/>
      <c r="F421" s="566"/>
      <c r="G421" s="567" t="s">
        <v>1717</v>
      </c>
      <c r="H421" s="567" t="s">
        <v>291</v>
      </c>
      <c r="I421" s="572"/>
      <c r="J421" s="294" t="str">
        <f>IF(ISBLANK(HLOOKUP(CaseName,CaseData,MATCH($G421,cases!$G$4:$G$2494,0),FALSE)),"",HLOOKUP(CaseName,CaseData,MATCH($G421,cases!$G$4:$G$2494,0),FALSE))</f>
        <v/>
      </c>
      <c r="K421" s="620">
        <f>(L370/(L370+0.8))^2</f>
        <v>4.2303808415551052E-6</v>
      </c>
      <c r="L421" s="298">
        <f t="shared" si="22"/>
        <v>4.2303808415551052E-6</v>
      </c>
      <c r="M421" s="567" t="s">
        <v>291</v>
      </c>
      <c r="N421" s="566"/>
      <c r="O421" s="605"/>
      <c r="P421" s="566" t="s">
        <v>1684</v>
      </c>
    </row>
    <row r="422" spans="1:16" ht="12.75" customHeight="1" x14ac:dyDescent="0.3">
      <c r="A422" s="566" t="s">
        <v>1718</v>
      </c>
      <c r="B422" s="566"/>
      <c r="C422" s="566"/>
      <c r="D422" s="566"/>
      <c r="E422" s="566"/>
      <c r="F422" s="566"/>
      <c r="G422" s="567" t="s">
        <v>1719</v>
      </c>
      <c r="H422" s="567" t="s">
        <v>335</v>
      </c>
      <c r="I422" s="572"/>
      <c r="J422" s="294" t="str">
        <f>IF(ISBLANK(HLOOKUP(CaseName,CaseData,MATCH($G422,cases!$G$4:$G$2494,0),FALSE)),"",HLOOKUP(CaseName,CaseData,MATCH($G422,cases!$G$4:$G$2494,0),FALSE))</f>
        <v/>
      </c>
      <c r="K422" s="620">
        <f>(L423*L19*L16)/(L5)</f>
        <v>7.3506754231704942E-8</v>
      </c>
      <c r="L422" s="298">
        <f t="shared" si="22"/>
        <v>7.3506754231704942E-8</v>
      </c>
      <c r="M422" s="567" t="s">
        <v>335</v>
      </c>
      <c r="N422" s="584"/>
      <c r="O422" s="605"/>
      <c r="P422" s="566"/>
    </row>
    <row r="423" spans="1:16" ht="12.75" customHeight="1" x14ac:dyDescent="0.3">
      <c r="A423" s="566"/>
      <c r="B423" s="566" t="s">
        <v>1669</v>
      </c>
      <c r="C423" s="566"/>
      <c r="D423" s="566"/>
      <c r="E423" s="566"/>
      <c r="F423" s="566"/>
      <c r="G423" s="567" t="s">
        <v>1720</v>
      </c>
      <c r="H423" s="567" t="s">
        <v>866</v>
      </c>
      <c r="I423" s="718"/>
      <c r="J423" s="294" t="str">
        <f>IF(ISBLANK(HLOOKUP(CaseName,CaseData,MATCH($G423,cases!$G$4:$G$2494,0),FALSE)),"",HLOOKUP(CaseName,CaseData,MATCH($G423,cases!$G$4:$G$2494,0),FALSE))</f>
        <v/>
      </c>
      <c r="K423" s="620">
        <f>1/(L391+L424)+L382</f>
        <v>2.7343824497380381E-4</v>
      </c>
      <c r="L423" s="298">
        <f t="shared" si="22"/>
        <v>2.7343824497380381E-4</v>
      </c>
      <c r="M423" s="567" t="s">
        <v>866</v>
      </c>
      <c r="N423" s="584"/>
      <c r="O423" s="605"/>
      <c r="P423" s="566"/>
    </row>
    <row r="424" spans="1:16" ht="12.75" customHeight="1" x14ac:dyDescent="0.3">
      <c r="A424" s="566"/>
      <c r="B424" s="566" t="s">
        <v>1676</v>
      </c>
      <c r="C424" s="566"/>
      <c r="D424" s="566"/>
      <c r="E424" s="566"/>
      <c r="F424" s="566"/>
      <c r="G424" s="567" t="s">
        <v>1721</v>
      </c>
      <c r="H424" s="567" t="s">
        <v>1673</v>
      </c>
      <c r="I424" s="572"/>
      <c r="J424" s="294" t="str">
        <f>IF(ISBLANK(HLOOKUP(CaseName,CaseData,MATCH($G424,cases!$G$4:$G$2494,0),FALSE)),"",HLOOKUP(CaseName,CaseData,MATCH($G424,cases!$G$4:$G$2494,0),FALSE))</f>
        <v/>
      </c>
      <c r="K424" s="620">
        <f>1/(L393*(L425+L426+L427))</f>
        <v>3588.245660818483</v>
      </c>
      <c r="L424" s="298">
        <f t="shared" si="22"/>
        <v>3588.245660818483</v>
      </c>
      <c r="M424" s="567" t="s">
        <v>1673</v>
      </c>
      <c r="N424" s="584"/>
      <c r="O424" s="605"/>
      <c r="P424" s="566"/>
    </row>
    <row r="425" spans="1:16" ht="12.75" customHeight="1" x14ac:dyDescent="0.3">
      <c r="A425" s="566"/>
      <c r="B425" s="566"/>
      <c r="C425" s="566" t="s">
        <v>1641</v>
      </c>
      <c r="D425" s="566"/>
      <c r="E425" s="566"/>
      <c r="F425" s="566"/>
      <c r="G425" s="567" t="s">
        <v>1722</v>
      </c>
      <c r="H425" s="567" t="s">
        <v>291</v>
      </c>
      <c r="I425" s="572"/>
      <c r="J425" s="294" t="str">
        <f>IF(ISBLANK(HLOOKUP(CaseName,CaseData,MATCH($G425,cases!$G$4:$G$2494,0),FALSE)),"",HLOOKUP(CaseName,CaseData,MATCH($G425,cases!$G$4:$G$2494,0),FALSE))</f>
        <v/>
      </c>
      <c r="K425" s="620">
        <f>L383^(-2/3)</f>
        <v>1.4075475589468128E-3</v>
      </c>
      <c r="L425" s="298">
        <f t="shared" si="22"/>
        <v>1.4075475589468128E-3</v>
      </c>
      <c r="M425" s="567" t="s">
        <v>291</v>
      </c>
      <c r="N425" s="584"/>
      <c r="O425" s="605"/>
      <c r="P425" s="566" t="s">
        <v>1684</v>
      </c>
    </row>
    <row r="426" spans="1:16" ht="12.75" customHeight="1" x14ac:dyDescent="0.3">
      <c r="A426" s="566"/>
      <c r="B426" s="566"/>
      <c r="C426" s="566" t="s">
        <v>1643</v>
      </c>
      <c r="D426" s="566"/>
      <c r="E426" s="566"/>
      <c r="F426" s="566"/>
      <c r="G426" s="567" t="s">
        <v>1723</v>
      </c>
      <c r="H426" s="567" t="s">
        <v>291</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291</v>
      </c>
      <c r="N426" s="584"/>
      <c r="O426" s="605"/>
      <c r="P426" s="566" t="s">
        <v>1684</v>
      </c>
    </row>
    <row r="427" spans="1:16" ht="12.75" customHeight="1" x14ac:dyDescent="0.3">
      <c r="A427" s="566"/>
      <c r="B427" s="566"/>
      <c r="C427" s="566" t="s">
        <v>1645</v>
      </c>
      <c r="D427" s="566"/>
      <c r="E427" s="566"/>
      <c r="F427" s="566"/>
      <c r="G427" s="567" t="s">
        <v>1724</v>
      </c>
      <c r="H427" s="567" t="s">
        <v>291</v>
      </c>
      <c r="I427" s="572"/>
      <c r="J427" s="294" t="str">
        <f>IF(ISBLANK(HLOOKUP(CaseName,CaseData,MATCH($G427,cases!$G$4:$G$2494,0),FALSE)),"",HLOOKUP(CaseName,CaseData,MATCH($G427,cases!$G$4:$G$2494,0),FALSE))</f>
        <v/>
      </c>
      <c r="K427" s="620">
        <f>(L381/(L381+0.8))^2</f>
        <v>1.8730674179172417E-5</v>
      </c>
      <c r="L427" s="298">
        <f t="shared" si="22"/>
        <v>1.8730674179172417E-5</v>
      </c>
      <c r="M427" s="567" t="s">
        <v>291</v>
      </c>
      <c r="N427" s="584"/>
      <c r="O427" s="605"/>
      <c r="P427" s="566" t="s">
        <v>1684</v>
      </c>
    </row>
    <row r="428" spans="1:16" ht="12.75" customHeight="1" x14ac:dyDescent="0.3">
      <c r="A428" s="566" t="s">
        <v>1725</v>
      </c>
      <c r="B428" s="566"/>
      <c r="C428" s="566"/>
      <c r="D428" s="566"/>
      <c r="E428" s="566"/>
      <c r="F428" s="566"/>
      <c r="G428" s="567" t="s">
        <v>1726</v>
      </c>
      <c r="H428" s="567" t="s">
        <v>335</v>
      </c>
      <c r="I428" s="572"/>
      <c r="J428" s="294" t="str">
        <f>IF(ISBLANK(HLOOKUP(CaseName,CaseData,MATCH($G428,cases!$G$4:$G$2494,0),FALSE)),"",HLOOKUP(CaseName,CaseData,MATCH($G428,cases!$G$4:$G$2494,0),FALSE))</f>
        <v/>
      </c>
      <c r="K428" s="620">
        <f>(L429*L20*L16)/(L5)</f>
        <v>1.6334834273712207E-7</v>
      </c>
      <c r="L428" s="298">
        <f t="shared" ref="L428:L459" si="23">IF(ISBLANK(I428),IF(ISNUMBER(J428)=FALSE,K428,J428),I428)</f>
        <v>1.6334834273712207E-7</v>
      </c>
      <c r="M428" s="567" t="s">
        <v>335</v>
      </c>
      <c r="N428" s="566"/>
      <c r="O428" s="605"/>
      <c r="P428" s="584"/>
    </row>
    <row r="429" spans="1:16" ht="12.75" customHeight="1" x14ac:dyDescent="0.3">
      <c r="A429" s="566"/>
      <c r="B429" s="566" t="s">
        <v>1669</v>
      </c>
      <c r="C429" s="566"/>
      <c r="D429" s="566"/>
      <c r="E429" s="566"/>
      <c r="F429" s="566"/>
      <c r="G429" s="567" t="s">
        <v>1727</v>
      </c>
      <c r="H429" s="567" t="s">
        <v>866</v>
      </c>
      <c r="I429" s="572"/>
      <c r="J429" s="294" t="str">
        <f>IF(ISBLANK(HLOOKUP(CaseName,CaseData,MATCH($G429,cases!$G$4:$G$2494,0),FALSE)),"",HLOOKUP(CaseName,CaseData,MATCH($G429,cases!$G$4:$G$2494,0),FALSE))</f>
        <v/>
      </c>
      <c r="K429" s="620">
        <f>1/(L402+L430)+L382</f>
        <v>2.7343824497380381E-4</v>
      </c>
      <c r="L429" s="298">
        <f t="shared" si="23"/>
        <v>2.7343824497380381E-4</v>
      </c>
      <c r="M429" s="567" t="s">
        <v>866</v>
      </c>
      <c r="N429" s="566"/>
      <c r="O429" s="605"/>
      <c r="P429" s="584"/>
    </row>
    <row r="430" spans="1:16" ht="12.75" customHeight="1" x14ac:dyDescent="0.3">
      <c r="A430" s="566"/>
      <c r="B430" s="566" t="s">
        <v>1676</v>
      </c>
      <c r="C430" s="566"/>
      <c r="D430" s="566"/>
      <c r="E430" s="566"/>
      <c r="F430" s="566"/>
      <c r="G430" s="567" t="s">
        <v>1728</v>
      </c>
      <c r="H430" s="567" t="s">
        <v>1673</v>
      </c>
      <c r="I430" s="572"/>
      <c r="J430" s="294" t="str">
        <f>IF(ISBLANK(HLOOKUP(CaseName,CaseData,MATCH($G430,cases!$G$4:$G$2494,0),FALSE)),"",HLOOKUP(CaseName,CaseData,MATCH($G430,cases!$G$4:$G$2494,0),FALSE))</f>
        <v/>
      </c>
      <c r="K430" s="620">
        <f>1/(L404*(L431+L432+L433))</f>
        <v>3588.245660818483</v>
      </c>
      <c r="L430" s="298">
        <f t="shared" si="23"/>
        <v>3588.245660818483</v>
      </c>
      <c r="M430" s="567" t="s">
        <v>1673</v>
      </c>
      <c r="N430" s="566"/>
      <c r="O430" s="605"/>
      <c r="P430" s="584"/>
    </row>
    <row r="431" spans="1:16" ht="12.75" customHeight="1" x14ac:dyDescent="0.3">
      <c r="A431" s="566"/>
      <c r="B431" s="566"/>
      <c r="C431" s="566" t="s">
        <v>1641</v>
      </c>
      <c r="D431" s="566"/>
      <c r="E431" s="566"/>
      <c r="F431" s="566"/>
      <c r="G431" s="567" t="s">
        <v>1729</v>
      </c>
      <c r="H431" s="567" t="s">
        <v>291</v>
      </c>
      <c r="I431" s="572"/>
      <c r="J431" s="294" t="str">
        <f>IF(ISBLANK(HLOOKUP(CaseName,CaseData,MATCH($G431,cases!$G$4:$G$2494,0),FALSE)),"",HLOOKUP(CaseName,CaseData,MATCH($G431,cases!$G$4:$G$2494,0),FALSE))</f>
        <v/>
      </c>
      <c r="K431" s="620">
        <f>L383^(-2/3)</f>
        <v>1.4075475589468128E-3</v>
      </c>
      <c r="L431" s="298">
        <f t="shared" si="23"/>
        <v>1.4075475589468128E-3</v>
      </c>
      <c r="M431" s="567" t="s">
        <v>291</v>
      </c>
      <c r="N431" s="584"/>
      <c r="O431" s="605"/>
      <c r="P431" s="566" t="s">
        <v>1684</v>
      </c>
    </row>
    <row r="432" spans="1:16" ht="12.75" customHeight="1" x14ac:dyDescent="0.3">
      <c r="A432" s="566"/>
      <c r="B432" s="566"/>
      <c r="C432" s="566" t="s">
        <v>1643</v>
      </c>
      <c r="D432" s="566"/>
      <c r="E432" s="566"/>
      <c r="F432" s="566"/>
      <c r="G432" s="567" t="s">
        <v>1730</v>
      </c>
      <c r="H432" s="567" t="s">
        <v>291</v>
      </c>
      <c r="I432" s="572"/>
      <c r="J432" s="294" t="str">
        <f>IF(ISBLANK(HLOOKUP(CaseName,CaseData,MATCH($G432,cases!$G$4:$G$2494,0),FALSE)),"",HLOOKUP(CaseName,CaseData,MATCH($G432,cases!$G$4:$G$2494,0),FALSE))</f>
        <v/>
      </c>
      <c r="K432" s="620">
        <f>0.3*(L409*(L364/(L364+L407))+(1-L409)*(L364/(L364+L408)))</f>
        <v>4.0499237605021189E-5</v>
      </c>
      <c r="L432" s="298">
        <f t="shared" si="23"/>
        <v>4.0499237605021189E-5</v>
      </c>
      <c r="M432" s="567" t="s">
        <v>291</v>
      </c>
      <c r="N432" s="584"/>
      <c r="O432" s="605"/>
      <c r="P432" s="566" t="s">
        <v>1684</v>
      </c>
    </row>
    <row r="433" spans="1:16" ht="12.75" customHeight="1" x14ac:dyDescent="0.3">
      <c r="A433" s="566"/>
      <c r="B433" s="566"/>
      <c r="C433" s="566" t="s">
        <v>1645</v>
      </c>
      <c r="D433" s="566"/>
      <c r="E433" s="566"/>
      <c r="F433" s="566"/>
      <c r="G433" s="567" t="s">
        <v>1731</v>
      </c>
      <c r="H433" s="567" t="s">
        <v>291</v>
      </c>
      <c r="I433" s="572"/>
      <c r="J433" s="294" t="str">
        <f>IF(ISBLANK(HLOOKUP(CaseName,CaseData,MATCH($G433,cases!$G$4:$G$2494,0),FALSE)),"",HLOOKUP(CaseName,CaseData,MATCH($G433,cases!$G$4:$G$2494,0),FALSE))</f>
        <v/>
      </c>
      <c r="K433" s="620">
        <f>(L381/(L381+0.8))^2</f>
        <v>1.8730674179172417E-5</v>
      </c>
      <c r="L433" s="298">
        <f t="shared" si="23"/>
        <v>1.8730674179172417E-5</v>
      </c>
      <c r="M433" s="567" t="s">
        <v>291</v>
      </c>
      <c r="N433" s="584"/>
      <c r="O433" s="605"/>
      <c r="P433" s="566" t="s">
        <v>1684</v>
      </c>
    </row>
    <row r="434" spans="1:16" ht="12.75" customHeight="1" x14ac:dyDescent="0.3">
      <c r="A434" s="566" t="s">
        <v>1732</v>
      </c>
      <c r="B434" s="566"/>
      <c r="C434" s="566"/>
      <c r="D434" s="566"/>
      <c r="E434" s="566"/>
      <c r="F434" s="566"/>
      <c r="G434" s="567" t="s">
        <v>1733</v>
      </c>
      <c r="H434" s="567" t="s">
        <v>335</v>
      </c>
      <c r="I434" s="572"/>
      <c r="J434" s="294" t="str">
        <f>IF(ISBLANK(HLOOKUP(CaseName,CaseData,MATCH($G434,cases!$G$4:$G$2494,0),FALSE)),"",HLOOKUP(CaseName,CaseData,MATCH($G434,cases!$G$4:$G$2494,0),FALSE))</f>
        <v/>
      </c>
      <c r="K434" s="620">
        <f>(L435*L21*L16)/(L5)</f>
        <v>2.7224723789520348E-8</v>
      </c>
      <c r="L434" s="298">
        <f t="shared" si="23"/>
        <v>2.7224723789520348E-8</v>
      </c>
      <c r="M434" s="567" t="s">
        <v>335</v>
      </c>
      <c r="N434" s="584"/>
      <c r="O434" s="605"/>
      <c r="P434" s="566"/>
    </row>
    <row r="435" spans="1:16" ht="12.75" customHeight="1" x14ac:dyDescent="0.3">
      <c r="A435" s="566"/>
      <c r="B435" s="566" t="s">
        <v>1669</v>
      </c>
      <c r="C435" s="566"/>
      <c r="D435" s="566"/>
      <c r="E435" s="566"/>
      <c r="F435" s="566"/>
      <c r="G435" s="567" t="s">
        <v>1734</v>
      </c>
      <c r="H435" s="567" t="s">
        <v>866</v>
      </c>
      <c r="I435" s="572"/>
      <c r="J435" s="294" t="str">
        <f>IF(ISBLANK(HLOOKUP(CaseName,CaseData,MATCH($G435,cases!$G$4:$G$2494,0),FALSE)),"",HLOOKUP(CaseName,CaseData,MATCH($G435,cases!$G$4:$G$2494,0),FALSE))</f>
        <v/>
      </c>
      <c r="K435" s="620">
        <f>1/(L413+L436)+L382</f>
        <v>2.7343824497380381E-4</v>
      </c>
      <c r="L435" s="298">
        <f t="shared" si="23"/>
        <v>2.7343824497380381E-4</v>
      </c>
      <c r="M435" s="567" t="s">
        <v>866</v>
      </c>
      <c r="N435" s="584"/>
      <c r="O435" s="605"/>
      <c r="P435" s="566"/>
    </row>
    <row r="436" spans="1:16" ht="12.75" customHeight="1" x14ac:dyDescent="0.3">
      <c r="A436" s="566"/>
      <c r="B436" s="566" t="s">
        <v>1676</v>
      </c>
      <c r="C436" s="566"/>
      <c r="D436" s="566"/>
      <c r="E436" s="566"/>
      <c r="F436" s="566"/>
      <c r="G436" s="567" t="s">
        <v>1735</v>
      </c>
      <c r="H436" s="567" t="s">
        <v>1673</v>
      </c>
      <c r="I436" s="572"/>
      <c r="J436" s="294" t="str">
        <f>IF(ISBLANK(HLOOKUP(CaseName,CaseData,MATCH($G436,cases!$G$4:$G$2494,0),FALSE)),"",HLOOKUP(CaseName,CaseData,MATCH($G436,cases!$G$4:$G$2494,0),FALSE))</f>
        <v/>
      </c>
      <c r="K436" s="620">
        <f>1/(L415*(L437+L438+L439))</f>
        <v>3588.245660818483</v>
      </c>
      <c r="L436" s="298">
        <f t="shared" si="23"/>
        <v>3588.245660818483</v>
      </c>
      <c r="M436" s="567" t="s">
        <v>1673</v>
      </c>
      <c r="N436" s="584"/>
      <c r="O436" s="605"/>
      <c r="P436" s="566"/>
    </row>
    <row r="437" spans="1:16" ht="12.75" customHeight="1" x14ac:dyDescent="0.3">
      <c r="A437" s="566"/>
      <c r="B437" s="566"/>
      <c r="C437" s="566" t="s">
        <v>1641</v>
      </c>
      <c r="D437" s="566"/>
      <c r="E437" s="566"/>
      <c r="F437" s="566"/>
      <c r="G437" s="567" t="s">
        <v>1736</v>
      </c>
      <c r="H437" s="567" t="s">
        <v>291</v>
      </c>
      <c r="I437" s="572"/>
      <c r="J437" s="294" t="str">
        <f>IF(ISBLANK(HLOOKUP(CaseName,CaseData,MATCH($G437,cases!$G$4:$G$2494,0),FALSE)),"",HLOOKUP(CaseName,CaseData,MATCH($G437,cases!$G$4:$G$2494,0),FALSE))</f>
        <v/>
      </c>
      <c r="K437" s="620">
        <f>L383^(-2/3)</f>
        <v>1.4075475589468128E-3</v>
      </c>
      <c r="L437" s="298">
        <f t="shared" si="23"/>
        <v>1.4075475589468128E-3</v>
      </c>
      <c r="M437" s="567" t="s">
        <v>291</v>
      </c>
      <c r="N437" s="584"/>
      <c r="O437" s="605"/>
      <c r="P437" s="566" t="s">
        <v>1684</v>
      </c>
    </row>
    <row r="438" spans="1:16" ht="12.75" customHeight="1" x14ac:dyDescent="0.3">
      <c r="A438" s="566"/>
      <c r="B438" s="566"/>
      <c r="C438" s="566" t="s">
        <v>1643</v>
      </c>
      <c r="D438" s="566"/>
      <c r="E438" s="566"/>
      <c r="F438" s="566"/>
      <c r="G438" s="567" t="s">
        <v>1737</v>
      </c>
      <c r="H438" s="567" t="s">
        <v>291</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291</v>
      </c>
      <c r="N438" s="584"/>
      <c r="O438" s="605"/>
      <c r="P438" s="566" t="s">
        <v>1684</v>
      </c>
    </row>
    <row r="439" spans="1:16" ht="12.75" customHeight="1" x14ac:dyDescent="0.3">
      <c r="A439" s="566"/>
      <c r="B439" s="566"/>
      <c r="C439" s="566" t="s">
        <v>1645</v>
      </c>
      <c r="D439" s="566"/>
      <c r="E439" s="566"/>
      <c r="F439" s="566"/>
      <c r="G439" s="567" t="s">
        <v>1738</v>
      </c>
      <c r="H439" s="567" t="s">
        <v>291</v>
      </c>
      <c r="I439" s="572"/>
      <c r="J439" s="294" t="str">
        <f>IF(ISBLANK(HLOOKUP(CaseName,CaseData,MATCH($G439,cases!$G$4:$G$2494,0),FALSE)),"",HLOOKUP(CaseName,CaseData,MATCH($G439,cases!$G$4:$G$2494,0),FALSE))</f>
        <v/>
      </c>
      <c r="K439" s="620">
        <f>(L381/(L381+0.8))^2</f>
        <v>1.8730674179172417E-5</v>
      </c>
      <c r="L439" s="298">
        <f t="shared" si="23"/>
        <v>1.8730674179172417E-5</v>
      </c>
      <c r="M439" s="567" t="s">
        <v>291</v>
      </c>
      <c r="N439" s="584"/>
      <c r="O439" s="605"/>
      <c r="P439" s="566" t="s">
        <v>1684</v>
      </c>
    </row>
    <row r="440" spans="1:16" ht="12.75" customHeight="1" x14ac:dyDescent="0.3">
      <c r="A440" s="566" t="s">
        <v>1739</v>
      </c>
      <c r="B440" s="566"/>
      <c r="C440" s="566"/>
      <c r="D440" s="566"/>
      <c r="E440" s="566"/>
      <c r="F440" s="566"/>
      <c r="G440" s="567" t="s">
        <v>1740</v>
      </c>
      <c r="H440" s="567" t="s">
        <v>335</v>
      </c>
      <c r="I440" s="572"/>
      <c r="J440" s="294" t="str">
        <f>IF(ISBLANK(HLOOKUP(CaseName,CaseData,MATCH($G440,cases!$G$4:$G$2494,0),FALSE)),"",HLOOKUP(CaseName,CaseData,MATCH($G440,cases!$G$4:$G$2494,0),FALSE))</f>
        <v/>
      </c>
      <c r="K440" s="620">
        <f>(L130*L19*L16)/(L5)</f>
        <v>2.6882396878588473E-7</v>
      </c>
      <c r="L440" s="298">
        <f t="shared" si="23"/>
        <v>2.6882396878588473E-7</v>
      </c>
      <c r="M440" s="567" t="s">
        <v>335</v>
      </c>
      <c r="N440" s="566" t="s">
        <v>1741</v>
      </c>
      <c r="O440" s="605"/>
      <c r="P440" s="584"/>
    </row>
    <row r="441" spans="1:16" ht="12.75" customHeight="1" x14ac:dyDescent="0.3">
      <c r="A441" s="566" t="s">
        <v>1742</v>
      </c>
      <c r="B441" s="566"/>
      <c r="C441" s="566"/>
      <c r="D441" s="566"/>
      <c r="E441" s="566"/>
      <c r="F441" s="566"/>
      <c r="G441" s="567" t="s">
        <v>1743</v>
      </c>
      <c r="H441" s="567" t="s">
        <v>335</v>
      </c>
      <c r="I441" s="572"/>
      <c r="J441" s="294" t="str">
        <f>IF(ISBLANK(HLOOKUP(CaseName,CaseData,MATCH($G441,cases!$G$4:$G$2494,0),FALSE)),"",HLOOKUP(CaseName,CaseData,MATCH($G441,cases!$G$4:$G$2494,0),FALSE))</f>
        <v/>
      </c>
      <c r="K441" s="620">
        <f>(L130*L20*L16)/(L5)</f>
        <v>5.9738659730196605E-7</v>
      </c>
      <c r="L441" s="298">
        <f t="shared" si="23"/>
        <v>5.9738659730196605E-7</v>
      </c>
      <c r="M441" s="567" t="s">
        <v>335</v>
      </c>
      <c r="N441" s="566" t="s">
        <v>1741</v>
      </c>
      <c r="O441" s="605"/>
      <c r="P441" s="584"/>
    </row>
    <row r="442" spans="1:16" ht="12.75" customHeight="1" x14ac:dyDescent="0.3">
      <c r="A442" s="566" t="s">
        <v>1744</v>
      </c>
      <c r="B442" s="566"/>
      <c r="C442" s="566"/>
      <c r="D442" s="566"/>
      <c r="E442" s="566"/>
      <c r="F442" s="566"/>
      <c r="G442" s="567" t="s">
        <v>1745</v>
      </c>
      <c r="H442" s="567" t="s">
        <v>335</v>
      </c>
      <c r="I442" s="572"/>
      <c r="J442" s="294" t="str">
        <f>IF(ISBLANK(HLOOKUP(CaseName,CaseData,MATCH($G442,cases!$G$4:$G$2494,0),FALSE)),"",HLOOKUP(CaseName,CaseData,MATCH($G442,cases!$G$4:$G$2494,0),FALSE))</f>
        <v/>
      </c>
      <c r="K442" s="620">
        <f>(L130*L21*L16)/(L5)</f>
        <v>9.9564432883661004E-8</v>
      </c>
      <c r="L442" s="298">
        <f t="shared" si="23"/>
        <v>9.9564432883661004E-8</v>
      </c>
      <c r="M442" s="567" t="s">
        <v>335</v>
      </c>
      <c r="N442" s="566" t="s">
        <v>1741</v>
      </c>
      <c r="O442" s="605"/>
      <c r="P442" s="584"/>
    </row>
    <row r="443" spans="1:16" ht="12.75" customHeight="1" x14ac:dyDescent="0.3">
      <c r="A443" s="566" t="s">
        <v>1746</v>
      </c>
      <c r="B443" s="566"/>
      <c r="C443" s="566"/>
      <c r="D443" s="566"/>
      <c r="E443" s="566"/>
      <c r="F443" s="566"/>
      <c r="G443" s="567" t="s">
        <v>1747</v>
      </c>
      <c r="H443" s="567" t="s">
        <v>335</v>
      </c>
      <c r="I443" s="572"/>
      <c r="J443" s="294" t="str">
        <f>IF(ISBLANK(HLOOKUP(CaseName,CaseData,MATCH($G443,cases!$G$4:$G$2494,0),FALSE)),"",HLOOKUP(CaseName,CaseData,MATCH($G443,cases!$G$4:$G$2494,0),FALSE))</f>
        <v/>
      </c>
      <c r="K443" s="620">
        <f>(L444*L17*L16)/(L5)</f>
        <v>1.5364793441799507E-8</v>
      </c>
      <c r="L443" s="298">
        <f t="shared" si="23"/>
        <v>1.5364793441799507E-8</v>
      </c>
      <c r="M443" s="567" t="s">
        <v>335</v>
      </c>
      <c r="N443" s="566"/>
      <c r="O443" s="605"/>
      <c r="P443" s="584"/>
    </row>
    <row r="444" spans="1:16" ht="12.75" customHeight="1" x14ac:dyDescent="0.3">
      <c r="A444" s="566"/>
      <c r="B444" s="566" t="s">
        <v>1669</v>
      </c>
      <c r="C444" s="566"/>
      <c r="D444" s="566"/>
      <c r="E444" s="566"/>
      <c r="F444" s="566"/>
      <c r="G444" s="567" t="s">
        <v>1748</v>
      </c>
      <c r="H444" s="567" t="s">
        <v>866</v>
      </c>
      <c r="I444" s="572"/>
      <c r="J444" s="294" t="str">
        <f>IF(ISBLANK(HLOOKUP(CaseName,CaseData,MATCH($G444,cases!$G$4:$G$2494,0),FALSE)),"",HLOOKUP(CaseName,CaseData,MATCH($G444,cases!$G$4:$G$2494,0),FALSE))</f>
        <v/>
      </c>
      <c r="K444" s="620">
        <f>1/(L445+L446)+L371</f>
        <v>6.1728040814546508E-3</v>
      </c>
      <c r="L444" s="298">
        <f t="shared" si="23"/>
        <v>6.1728040814546508E-3</v>
      </c>
      <c r="M444" s="567" t="s">
        <v>866</v>
      </c>
      <c r="N444" s="566"/>
      <c r="O444" s="605"/>
      <c r="P444" s="584"/>
    </row>
    <row r="445" spans="1:16" ht="12.75" customHeight="1" x14ac:dyDescent="0.3">
      <c r="A445" s="566"/>
      <c r="B445" s="566"/>
      <c r="C445" s="566" t="s">
        <v>1749</v>
      </c>
      <c r="D445" s="566"/>
      <c r="E445" s="566"/>
      <c r="F445" s="566"/>
      <c r="G445" s="566" t="s">
        <v>1750</v>
      </c>
      <c r="H445" s="567" t="s">
        <v>1673</v>
      </c>
      <c r="I445" s="572"/>
      <c r="J445" s="294" t="str">
        <f>IF(ISBLANK(HLOOKUP(CaseName,CaseData,MATCH($G445,cases!$G$4:$G$2494,0),FALSE)),"",HLOOKUP(CaseName,CaseData,MATCH($G445,cases!$G$4:$G$2494,0),FALSE))</f>
        <v/>
      </c>
      <c r="K445" s="620">
        <v>74</v>
      </c>
      <c r="L445" s="298">
        <f t="shared" si="23"/>
        <v>74</v>
      </c>
      <c r="M445" s="567" t="s">
        <v>1673</v>
      </c>
      <c r="N445" s="584"/>
      <c r="O445" s="605"/>
      <c r="P445" s="566" t="s">
        <v>1675</v>
      </c>
    </row>
    <row r="446" spans="1:16" ht="12.75" customHeight="1" x14ac:dyDescent="0.3">
      <c r="A446" s="566"/>
      <c r="B446" s="566"/>
      <c r="C446" s="566" t="s">
        <v>1751</v>
      </c>
      <c r="D446" s="566"/>
      <c r="E446" s="566"/>
      <c r="F446" s="566"/>
      <c r="G446" s="567" t="s">
        <v>1752</v>
      </c>
      <c r="H446" s="567" t="s">
        <v>1673</v>
      </c>
      <c r="I446" s="572"/>
      <c r="J446" s="294" t="str">
        <f>IF(ISBLANK(HLOOKUP(CaseName,CaseData,MATCH($G446,cases!$G$4:$G$2494,0),FALSE)),"",HLOOKUP(CaseName,CaseData,MATCH($G446,cases!$G$4:$G$2494,0),FALSE))</f>
        <v/>
      </c>
      <c r="K446" s="620">
        <f>1/(L447*(L448+L449))</f>
        <v>88.019933355846689</v>
      </c>
      <c r="L446" s="298">
        <f t="shared" si="23"/>
        <v>88.019933355846689</v>
      </c>
      <c r="M446" s="567" t="s">
        <v>1673</v>
      </c>
      <c r="N446" s="584"/>
      <c r="O446" s="605"/>
      <c r="P446" s="566"/>
    </row>
    <row r="447" spans="1:16" ht="12.75" customHeight="1" x14ac:dyDescent="0.3">
      <c r="A447" s="566"/>
      <c r="B447" s="566"/>
      <c r="C447" s="566" t="s">
        <v>1753</v>
      </c>
      <c r="D447" s="566"/>
      <c r="E447" s="566"/>
      <c r="F447" s="566"/>
      <c r="G447" s="567" t="s">
        <v>1754</v>
      </c>
      <c r="H447" s="567" t="s">
        <v>866</v>
      </c>
      <c r="I447" s="572"/>
      <c r="J447" s="294" t="str">
        <f>IF(ISBLANK(HLOOKUP(CaseName,CaseData,MATCH($G447,cases!$G$4:$G$2494,0),FALSE)),"",HLOOKUP(CaseName,CaseData,MATCH($G447,cases!$G$4:$G$2494,0),FALSE))</f>
        <v/>
      </c>
      <c r="K447" s="620">
        <v>0.19</v>
      </c>
      <c r="L447" s="298">
        <f t="shared" si="23"/>
        <v>0.19</v>
      </c>
      <c r="M447" s="567" t="s">
        <v>866</v>
      </c>
      <c r="N447" s="584"/>
      <c r="O447" s="604" t="s">
        <v>1681</v>
      </c>
      <c r="P447" s="566" t="s">
        <v>1682</v>
      </c>
    </row>
    <row r="448" spans="1:16" ht="12.75" customHeight="1" x14ac:dyDescent="0.3">
      <c r="A448" s="566"/>
      <c r="B448" s="566"/>
      <c r="C448" s="566"/>
      <c r="D448" s="566" t="s">
        <v>1641</v>
      </c>
      <c r="E448" s="566"/>
      <c r="F448" s="566"/>
      <c r="G448" s="567" t="s">
        <v>1755</v>
      </c>
      <c r="H448" s="567" t="s">
        <v>291</v>
      </c>
      <c r="I448" s="572"/>
      <c r="J448" s="294" t="str">
        <f>IF(ISBLANK(HLOOKUP(CaseName,CaseData,MATCH($G448,cases!$G$4:$G$2494,0),FALSE)),"",HLOOKUP(CaseName,CaseData,MATCH($G448,cases!$G$4:$G$2494,0),FALSE))</f>
        <v/>
      </c>
      <c r="K448" s="620">
        <f>L372^-(1/2)</f>
        <v>5.9795067936020407E-2</v>
      </c>
      <c r="L448" s="298">
        <f t="shared" si="23"/>
        <v>5.9795067936020407E-2</v>
      </c>
      <c r="M448" s="567" t="s">
        <v>291</v>
      </c>
      <c r="N448" s="566"/>
      <c r="O448" s="605"/>
      <c r="P448" s="566"/>
    </row>
    <row r="449" spans="1:16" ht="12.75" customHeight="1" x14ac:dyDescent="0.3">
      <c r="A449" s="566"/>
      <c r="B449" s="566"/>
      <c r="C449" s="566"/>
      <c r="D449" s="566" t="s">
        <v>1645</v>
      </c>
      <c r="E449" s="566"/>
      <c r="F449" s="566"/>
      <c r="G449" s="567" t="s">
        <v>1756</v>
      </c>
      <c r="H449" s="567" t="s">
        <v>291</v>
      </c>
      <c r="I449" s="572"/>
      <c r="J449" s="294" t="str">
        <f>IF(ISBLANK(HLOOKUP(CaseName,CaseData,MATCH($G449,cases!$G$4:$G$2494,0),FALSE)),"",HLOOKUP(CaseName,CaseData,MATCH($G449,cases!$G$4:$G$2494,0),FALSE))</f>
        <v/>
      </c>
      <c r="K449" s="620">
        <f>10^(-3/L370)</f>
        <v>0</v>
      </c>
      <c r="L449" s="298">
        <f t="shared" si="23"/>
        <v>0</v>
      </c>
      <c r="M449" s="567" t="s">
        <v>291</v>
      </c>
      <c r="N449" s="566"/>
      <c r="O449" s="605"/>
      <c r="P449" s="566"/>
    </row>
    <row r="450" spans="1:16" ht="12.75" customHeight="1" x14ac:dyDescent="0.3">
      <c r="A450" s="566" t="s">
        <v>1757</v>
      </c>
      <c r="B450" s="566"/>
      <c r="C450" s="566"/>
      <c r="D450" s="566"/>
      <c r="E450" s="566"/>
      <c r="F450" s="566"/>
      <c r="G450" s="567" t="s">
        <v>1758</v>
      </c>
      <c r="H450" s="567" t="s">
        <v>335</v>
      </c>
      <c r="I450" s="572"/>
      <c r="J450" s="294" t="str">
        <f>IF(ISBLANK(HLOOKUP(CaseName,CaseData,MATCH($G450,cases!$G$4:$G$2494,0),FALSE)),"",HLOOKUP(CaseName,CaseData,MATCH($G450,cases!$G$4:$G$2494,0),FALSE))</f>
        <v/>
      </c>
      <c r="K450" s="620">
        <f>(L451*L18*L16)/(L5)</f>
        <v>1.6901272785979458E-7</v>
      </c>
      <c r="L450" s="298">
        <f t="shared" si="23"/>
        <v>1.6901272785979458E-7</v>
      </c>
      <c r="M450" s="567" t="s">
        <v>335</v>
      </c>
      <c r="N450" s="566"/>
      <c r="O450" s="605"/>
      <c r="P450" s="566"/>
    </row>
    <row r="451" spans="1:16" ht="12.75" customHeight="1" x14ac:dyDescent="0.3">
      <c r="A451" s="566"/>
      <c r="B451" s="566" t="s">
        <v>1669</v>
      </c>
      <c r="C451" s="566"/>
      <c r="D451" s="566"/>
      <c r="E451" s="566"/>
      <c r="F451" s="566"/>
      <c r="G451" s="567" t="s">
        <v>1759</v>
      </c>
      <c r="H451" s="567" t="s">
        <v>866</v>
      </c>
      <c r="I451" s="572"/>
      <c r="J451" s="294" t="str">
        <f>IF(ISBLANK(HLOOKUP(CaseName,CaseData,MATCH($G451,cases!$G$4:$G$2494,0),FALSE)),"",HLOOKUP(CaseName,CaseData,MATCH($G451,cases!$G$4:$G$2494,0),FALSE))</f>
        <v/>
      </c>
      <c r="K451" s="620">
        <f>1/(L452+L446)+L371</f>
        <v>6.1728040814546508E-3</v>
      </c>
      <c r="L451" s="298">
        <f t="shared" si="23"/>
        <v>6.1728040814546508E-3</v>
      </c>
      <c r="M451" s="567" t="s">
        <v>866</v>
      </c>
      <c r="N451" s="566"/>
      <c r="O451" s="605"/>
      <c r="P451" s="566"/>
    </row>
    <row r="452" spans="1:16" ht="12.75" customHeight="1" x14ac:dyDescent="0.3">
      <c r="A452" s="566"/>
      <c r="B452" s="566"/>
      <c r="C452" s="566" t="s">
        <v>1760</v>
      </c>
      <c r="D452" s="566"/>
      <c r="E452" s="566"/>
      <c r="F452" s="566"/>
      <c r="G452" s="566" t="s">
        <v>1761</v>
      </c>
      <c r="H452" s="567" t="s">
        <v>1673</v>
      </c>
      <c r="I452" s="572"/>
      <c r="J452" s="294" t="str">
        <f>IF(ISBLANK(HLOOKUP(CaseName,CaseData,MATCH($G452,cases!$G$4:$G$2494,0),FALSE)),"",HLOOKUP(CaseName,CaseData,MATCH($G452,cases!$G$4:$G$2494,0),FALSE))</f>
        <v/>
      </c>
      <c r="K452" s="620">
        <v>74</v>
      </c>
      <c r="L452" s="298">
        <f t="shared" si="23"/>
        <v>74</v>
      </c>
      <c r="M452" s="567" t="s">
        <v>1673</v>
      </c>
      <c r="N452" s="584"/>
      <c r="O452" s="604" t="s">
        <v>1674</v>
      </c>
      <c r="P452" s="566" t="s">
        <v>1675</v>
      </c>
    </row>
    <row r="453" spans="1:16" ht="12.75" customHeight="1" x14ac:dyDescent="0.3">
      <c r="A453" s="566" t="s">
        <v>1762</v>
      </c>
      <c r="B453" s="566"/>
      <c r="C453" s="566"/>
      <c r="D453" s="566"/>
      <c r="E453" s="566"/>
      <c r="F453" s="566"/>
      <c r="G453" s="567" t="s">
        <v>1763</v>
      </c>
      <c r="H453" s="567" t="s">
        <v>335</v>
      </c>
      <c r="I453" s="572"/>
      <c r="J453" s="294" t="str">
        <f>IF(ISBLANK(HLOOKUP(CaseName,CaseData,MATCH($G453,cases!$G$4:$G$2494,0),FALSE)),"",HLOOKUP(CaseName,CaseData,MATCH($G453,cases!$G$4:$G$2494,0),FALSE))</f>
        <v/>
      </c>
      <c r="K453" s="620">
        <f>(L454*L22*L16)/(L5)</f>
        <v>1.9534910901531607E-8</v>
      </c>
      <c r="L453" s="298">
        <f t="shared" si="23"/>
        <v>1.9534910901531607E-8</v>
      </c>
      <c r="M453" s="567" t="s">
        <v>335</v>
      </c>
      <c r="N453" s="584"/>
      <c r="O453" s="605"/>
      <c r="P453" s="566"/>
    </row>
    <row r="454" spans="1:16" ht="12.75" customHeight="1" x14ac:dyDescent="0.3">
      <c r="A454" s="566"/>
      <c r="B454" s="566" t="s">
        <v>1669</v>
      </c>
      <c r="C454" s="566"/>
      <c r="D454" s="566"/>
      <c r="E454" s="566"/>
      <c r="F454" s="566"/>
      <c r="G454" s="567" t="s">
        <v>1764</v>
      </c>
      <c r="H454" s="567" t="s">
        <v>866</v>
      </c>
      <c r="I454" s="572"/>
      <c r="J454" s="294" t="str">
        <f>IF(ISBLANK(HLOOKUP(CaseName,CaseData,MATCH($G454,cases!$G$4:$G$2494,0),FALSE)),"",HLOOKUP(CaseName,CaseData,MATCH($G454,cases!$G$4:$G$2494,0),FALSE))</f>
        <v/>
      </c>
      <c r="K454" s="620">
        <f>1/(L455+L446)+L371</f>
        <v>4.4846281502757572E-3</v>
      </c>
      <c r="L454" s="298">
        <f t="shared" si="23"/>
        <v>4.4846281502757572E-3</v>
      </c>
      <c r="M454" s="567" t="s">
        <v>866</v>
      </c>
      <c r="N454" s="584"/>
      <c r="O454" s="605"/>
      <c r="P454" s="566"/>
    </row>
    <row r="455" spans="1:16" ht="12.75" customHeight="1" x14ac:dyDescent="0.3">
      <c r="A455" s="566"/>
      <c r="B455" s="566"/>
      <c r="C455" s="566" t="s">
        <v>1765</v>
      </c>
      <c r="D455" s="566"/>
      <c r="E455" s="566"/>
      <c r="F455" s="566"/>
      <c r="G455" s="566" t="s">
        <v>1766</v>
      </c>
      <c r="H455" s="567" t="s">
        <v>1673</v>
      </c>
      <c r="I455" s="572"/>
      <c r="J455" s="294" t="str">
        <f>IF(ISBLANK(HLOOKUP(CaseName,CaseData,MATCH($G455,cases!$G$4:$G$2494,0),FALSE)),"",HLOOKUP(CaseName,CaseData,MATCH($G455,cases!$G$4:$G$2494,0),FALSE))</f>
        <v/>
      </c>
      <c r="K455" s="620">
        <v>135</v>
      </c>
      <c r="L455" s="298">
        <f t="shared" si="23"/>
        <v>135</v>
      </c>
      <c r="M455" s="567" t="s">
        <v>1673</v>
      </c>
      <c r="N455" s="584"/>
      <c r="O455" s="604" t="s">
        <v>1674</v>
      </c>
      <c r="P455" s="566" t="s">
        <v>1675</v>
      </c>
    </row>
    <row r="456" spans="1:16" ht="12.75" customHeight="1" x14ac:dyDescent="0.3">
      <c r="A456" s="566" t="s">
        <v>1767</v>
      </c>
      <c r="B456" s="566"/>
      <c r="C456" s="566"/>
      <c r="D456" s="566"/>
      <c r="E456" s="566"/>
      <c r="F456" s="566"/>
      <c r="G456" s="566" t="s">
        <v>1768</v>
      </c>
      <c r="H456" s="567" t="s">
        <v>335</v>
      </c>
      <c r="I456" s="572"/>
      <c r="J456" s="294" t="str">
        <f>IF(ISBLANK(HLOOKUP(CaseName,CaseData,MATCH($G456,cases!$G$4:$G$2494,0),FALSE)),"",HLOOKUP(CaseName,CaseData,MATCH($G456,cases!$G$4:$G$2494,0),FALSE))</f>
        <v/>
      </c>
      <c r="K456" s="620">
        <f>L457*L17*L16/L5</f>
        <v>3.1190908398264028E-9</v>
      </c>
      <c r="L456" s="298">
        <f t="shared" si="23"/>
        <v>3.1190908398264028E-9</v>
      </c>
      <c r="M456" s="567" t="s">
        <v>335</v>
      </c>
      <c r="N456" s="577"/>
      <c r="O456" s="605"/>
      <c r="P456" s="584"/>
    </row>
    <row r="457" spans="1:16" ht="12.75" customHeight="1" x14ac:dyDescent="0.3">
      <c r="A457" s="566"/>
      <c r="B457" s="566" t="s">
        <v>1669</v>
      </c>
      <c r="C457" s="566"/>
      <c r="D457" s="566"/>
      <c r="E457" s="566"/>
      <c r="F457" s="566"/>
      <c r="G457" s="567" t="s">
        <v>1769</v>
      </c>
      <c r="H457" s="567" t="s">
        <v>866</v>
      </c>
      <c r="I457" s="572"/>
      <c r="J457" s="294" t="str">
        <f>IF(ISBLANK(HLOOKUP(CaseName,CaseData,MATCH($G457,cases!$G$4:$G$2494,0),FALSE)),"",HLOOKUP(CaseName,CaseData,MATCH($G457,cases!$G$4:$G$2494,0),FALSE))</f>
        <v/>
      </c>
      <c r="K457" s="620">
        <f>1/(L445+L458)+L382</f>
        <v>1.253094403087093E-3</v>
      </c>
      <c r="L457" s="298">
        <f t="shared" si="23"/>
        <v>1.253094403087093E-3</v>
      </c>
      <c r="M457" s="567" t="s">
        <v>866</v>
      </c>
      <c r="N457" s="577"/>
      <c r="O457" s="605"/>
      <c r="P457" s="584"/>
    </row>
    <row r="458" spans="1:16" s="386" customFormat="1" ht="12.75" customHeight="1" x14ac:dyDescent="0.3">
      <c r="A458" s="566"/>
      <c r="B458" s="566"/>
      <c r="C458" s="566" t="s">
        <v>1770</v>
      </c>
      <c r="D458" s="566"/>
      <c r="E458" s="566"/>
      <c r="F458" s="566"/>
      <c r="G458" s="567" t="s">
        <v>1771</v>
      </c>
      <c r="H458" s="567" t="s">
        <v>1673</v>
      </c>
      <c r="I458" s="572"/>
      <c r="J458" s="294" t="str">
        <f>IF(ISBLANK(HLOOKUP(CaseName,CaseData,MATCH($G458,cases!$G$4:$G$2494,0),FALSE)),"",HLOOKUP(CaseName,CaseData,MATCH($G458,cases!$G$4:$G$2494,0),FALSE))</f>
        <v/>
      </c>
      <c r="K458" s="620">
        <f>1/(L447*(L459+L460))</f>
        <v>724.26765512559666</v>
      </c>
      <c r="L458" s="298">
        <f t="shared" si="23"/>
        <v>724.26765512559666</v>
      </c>
      <c r="M458" s="567" t="s">
        <v>1673</v>
      </c>
      <c r="N458" s="577"/>
      <c r="O458" s="606"/>
      <c r="P458" s="577"/>
    </row>
    <row r="459" spans="1:16" s="386" customFormat="1" ht="12.75" customHeight="1" x14ac:dyDescent="0.3">
      <c r="A459" s="566"/>
      <c r="B459" s="566"/>
      <c r="C459" s="566"/>
      <c r="D459" s="566" t="s">
        <v>1641</v>
      </c>
      <c r="E459" s="566"/>
      <c r="F459" s="566"/>
      <c r="G459" s="567" t="s">
        <v>1772</v>
      </c>
      <c r="H459" s="567" t="s">
        <v>291</v>
      </c>
      <c r="I459" s="572"/>
      <c r="J459" s="294" t="str">
        <f>IF(ISBLANK(HLOOKUP(CaseName,CaseData,MATCH($G459,cases!$G$4:$G$2494,0),FALSE)),"",HLOOKUP(CaseName,CaseData,MATCH($G459,cases!$G$4:$G$2494,0),FALSE))</f>
        <v/>
      </c>
      <c r="K459" s="620">
        <f>L383^-(1/2)</f>
        <v>7.2668686189281051E-3</v>
      </c>
      <c r="L459" s="298">
        <f t="shared" si="23"/>
        <v>7.2668686189281051E-3</v>
      </c>
      <c r="M459" s="567" t="s">
        <v>291</v>
      </c>
      <c r="N459" s="577"/>
      <c r="O459" s="606"/>
      <c r="P459" s="577"/>
    </row>
    <row r="460" spans="1:16" s="386" customFormat="1" ht="12.75" customHeight="1" x14ac:dyDescent="0.3">
      <c r="A460" s="566"/>
      <c r="B460" s="566"/>
      <c r="C460" s="566"/>
      <c r="D460" s="566" t="s">
        <v>1645</v>
      </c>
      <c r="E460" s="566"/>
      <c r="F460" s="566"/>
      <c r="G460" s="567" t="s">
        <v>1773</v>
      </c>
      <c r="H460" s="567" t="s">
        <v>291</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291</v>
      </c>
      <c r="N460" s="577"/>
      <c r="O460" s="606"/>
      <c r="P460" s="577"/>
    </row>
    <row r="461" spans="1:16" ht="12.75" customHeight="1" x14ac:dyDescent="0.3">
      <c r="A461" s="566" t="s">
        <v>1774</v>
      </c>
      <c r="B461" s="566"/>
      <c r="C461" s="566"/>
      <c r="D461" s="566"/>
      <c r="E461" s="566"/>
      <c r="F461" s="566"/>
      <c r="G461" s="566" t="s">
        <v>1775</v>
      </c>
      <c r="H461" s="567" t="s">
        <v>335</v>
      </c>
      <c r="I461" s="572"/>
      <c r="J461" s="294" t="str">
        <f>IF(ISBLANK(HLOOKUP(CaseName,CaseData,MATCH($G461,cases!$G$4:$G$2494,0),FALSE)),"",HLOOKUP(CaseName,CaseData,MATCH($G461,cases!$G$4:$G$2494,0),FALSE))</f>
        <v/>
      </c>
      <c r="K461" s="620">
        <f>L462*L18*L16/L5</f>
        <v>3.4309999238090437E-8</v>
      </c>
      <c r="L461" s="298">
        <f t="shared" si="24"/>
        <v>3.4309999238090437E-8</v>
      </c>
      <c r="M461" s="567" t="s">
        <v>335</v>
      </c>
      <c r="N461" s="577"/>
      <c r="O461" s="605"/>
      <c r="P461" s="584"/>
    </row>
    <row r="462" spans="1:16" ht="12.75" customHeight="1" x14ac:dyDescent="0.3">
      <c r="A462" s="566"/>
      <c r="B462" s="566" t="s">
        <v>1669</v>
      </c>
      <c r="C462" s="566"/>
      <c r="D462" s="566"/>
      <c r="E462" s="566"/>
      <c r="F462" s="566"/>
      <c r="G462" s="567" t="s">
        <v>1776</v>
      </c>
      <c r="H462" s="567" t="s">
        <v>866</v>
      </c>
      <c r="I462" s="572"/>
      <c r="J462" s="294" t="str">
        <f>IF(ISBLANK(HLOOKUP(CaseName,CaseData,MATCH($G462,cases!$G$4:$G$2494,0),FALSE)),"",HLOOKUP(CaseName,CaseData,MATCH($G462,cases!$G$4:$G$2494,0),FALSE))</f>
        <v/>
      </c>
      <c r="K462" s="620">
        <f>1/(L452+L458)+L382</f>
        <v>1.253094403087093E-3</v>
      </c>
      <c r="L462" s="298">
        <f t="shared" si="24"/>
        <v>1.253094403087093E-3</v>
      </c>
      <c r="M462" s="567" t="s">
        <v>866</v>
      </c>
      <c r="N462" s="577"/>
      <c r="O462" s="605"/>
      <c r="P462" s="584"/>
    </row>
    <row r="463" spans="1:16" ht="12.75" customHeight="1" x14ac:dyDescent="0.3">
      <c r="A463" s="566" t="s">
        <v>1777</v>
      </c>
      <c r="B463" s="566"/>
      <c r="C463" s="566"/>
      <c r="D463" s="566"/>
      <c r="E463" s="566"/>
      <c r="F463" s="566"/>
      <c r="G463" s="566" t="s">
        <v>1778</v>
      </c>
      <c r="H463" s="567" t="s">
        <v>335</v>
      </c>
      <c r="I463" s="572"/>
      <c r="J463" s="294" t="str">
        <f>IF(ISBLANK(HLOOKUP(CaseName,CaseData,MATCH($G463,cases!$G$4:$G$2494,0),FALSE)),"",HLOOKUP(CaseName,CaseData,MATCH($G463,cases!$G$4:$G$2494,0),FALSE))</f>
        <v/>
      </c>
      <c r="K463" s="620">
        <f>L464*L22*L16/L5</f>
        <v>5.0710625145380868E-9</v>
      </c>
      <c r="L463" s="298">
        <f t="shared" si="24"/>
        <v>5.0710625145380868E-9</v>
      </c>
      <c r="M463" s="567" t="s">
        <v>335</v>
      </c>
      <c r="N463" s="577"/>
      <c r="O463" s="605"/>
      <c r="P463" s="584"/>
    </row>
    <row r="464" spans="1:16" ht="12.75" customHeight="1" x14ac:dyDescent="0.3">
      <c r="A464" s="566"/>
      <c r="B464" s="566" t="s">
        <v>1669</v>
      </c>
      <c r="C464" s="566"/>
      <c r="D464" s="566"/>
      <c r="E464" s="566"/>
      <c r="F464" s="566"/>
      <c r="G464" s="567" t="s">
        <v>1779</v>
      </c>
      <c r="H464" s="567" t="s">
        <v>866</v>
      </c>
      <c r="I464" s="572"/>
      <c r="J464" s="294" t="str">
        <f>IF(ISBLANK(HLOOKUP(CaseName,CaseData,MATCH($G464,cases!$G$4:$G$2494,0),FALSE)),"",HLOOKUP(CaseName,CaseData,MATCH($G464,cases!$G$4:$G$2494,0),FALSE))</f>
        <v/>
      </c>
      <c r="K464" s="620">
        <f>1/(L455+L458)+L382</f>
        <v>1.1641634722133608E-3</v>
      </c>
      <c r="L464" s="298">
        <f t="shared" si="24"/>
        <v>1.1641634722133608E-3</v>
      </c>
      <c r="M464" s="567" t="s">
        <v>866</v>
      </c>
      <c r="N464" s="577"/>
      <c r="O464" s="605"/>
      <c r="P464" s="584"/>
    </row>
    <row r="465" spans="1:16" ht="12.75" customHeight="1" x14ac:dyDescent="0.3">
      <c r="A465" s="566" t="s">
        <v>1780</v>
      </c>
      <c r="B465" s="566"/>
      <c r="C465" s="566"/>
      <c r="D465" s="566"/>
      <c r="E465" s="566"/>
      <c r="F465" s="566"/>
      <c r="G465" s="566" t="s">
        <v>1781</v>
      </c>
      <c r="H465" s="567" t="s">
        <v>335</v>
      </c>
      <c r="I465" s="572"/>
      <c r="J465" s="294" t="str">
        <f>IF(ISBLANK(HLOOKUP(CaseName,CaseData,MATCH($G465,cases!$G$4:$G$2494,0),FALSE)),"",HLOOKUP(CaseName,CaseData,MATCH($G465,cases!$G$4:$G$2494,0),FALSE))</f>
        <v/>
      </c>
      <c r="K465" s="620">
        <f>(L130*L17*L16)/L5</f>
        <v>2.4891108220915248E-9</v>
      </c>
      <c r="L465" s="298">
        <f t="shared" si="24"/>
        <v>2.4891108220915248E-9</v>
      </c>
      <c r="M465" s="567" t="s">
        <v>335</v>
      </c>
      <c r="N465" s="566" t="s">
        <v>1741</v>
      </c>
      <c r="O465" s="605"/>
      <c r="P465" s="584"/>
    </row>
    <row r="466" spans="1:16" ht="12.75" customHeight="1" x14ac:dyDescent="0.3">
      <c r="A466" s="566" t="s">
        <v>1782</v>
      </c>
      <c r="B466" s="566"/>
      <c r="C466" s="566"/>
      <c r="D466" s="566"/>
      <c r="E466" s="566"/>
      <c r="F466" s="566"/>
      <c r="G466" s="566" t="s">
        <v>1783</v>
      </c>
      <c r="H466" s="567" t="s">
        <v>335</v>
      </c>
      <c r="I466" s="572"/>
      <c r="J466" s="294" t="str">
        <f>IF(ISBLANK(HLOOKUP(CaseName,CaseData,MATCH($G466,cases!$G$4:$G$2494,0),FALSE)),"",HLOOKUP(CaseName,CaseData,MATCH($G466,cases!$G$4:$G$2494,0),FALSE))</f>
        <v/>
      </c>
      <c r="K466" s="620">
        <f>(L130*L18*L16)/L5</f>
        <v>2.7380219043006776E-8</v>
      </c>
      <c r="L466" s="298">
        <f t="shared" si="24"/>
        <v>2.7380219043006776E-8</v>
      </c>
      <c r="M466" s="567" t="s">
        <v>335</v>
      </c>
      <c r="N466" s="566" t="s">
        <v>1741</v>
      </c>
      <c r="O466" s="605"/>
      <c r="P466" s="584"/>
    </row>
    <row r="467" spans="1:16" ht="12.75" customHeight="1" x14ac:dyDescent="0.3">
      <c r="A467" s="566" t="s">
        <v>1784</v>
      </c>
      <c r="B467" s="566"/>
      <c r="C467" s="566"/>
      <c r="D467" s="566"/>
      <c r="E467" s="566"/>
      <c r="F467" s="566"/>
      <c r="G467" s="566" t="s">
        <v>1785</v>
      </c>
      <c r="H467" s="567" t="s">
        <v>335</v>
      </c>
      <c r="I467" s="572"/>
      <c r="J467" s="294" t="str">
        <f>IF(ISBLANK(HLOOKUP(CaseName,CaseData,MATCH($G467,cases!$G$4:$G$2494,0),FALSE)),"",HLOOKUP(CaseName,CaseData,MATCH($G467,cases!$G$4:$G$2494,0),FALSE))</f>
        <v/>
      </c>
      <c r="K467" s="620">
        <f>(L130*L22*L16)/L5</f>
        <v>4.3559711634799455E-9</v>
      </c>
      <c r="L467" s="298">
        <f t="shared" si="24"/>
        <v>4.3559711634799455E-9</v>
      </c>
      <c r="M467" s="567" t="s">
        <v>335</v>
      </c>
      <c r="N467" s="566" t="s">
        <v>1741</v>
      </c>
      <c r="O467" s="605"/>
      <c r="P467" s="584"/>
    </row>
    <row r="468" spans="1:16" s="634" customFormat="1" ht="12.75" customHeight="1" x14ac:dyDescent="0.3">
      <c r="A468" s="582" t="s">
        <v>1786</v>
      </c>
      <c r="B468" s="582"/>
      <c r="C468" s="582"/>
      <c r="D468" s="582"/>
      <c r="E468" s="582"/>
      <c r="F468" s="582"/>
      <c r="G468" s="581" t="s">
        <v>1787</v>
      </c>
      <c r="H468" s="581" t="s">
        <v>335</v>
      </c>
      <c r="I468" s="572"/>
      <c r="J468" s="294" t="str">
        <f>IF(ISBLANK(HLOOKUP(CaseName,CaseData,MATCH($G468,cases!$G$4:$G$2494,0),FALSE)),"",HLOOKUP(CaseName,CaseData,MATCH($G468,cases!$G$4:$G$2494,0),FALSE))</f>
        <v/>
      </c>
      <c r="K468" s="622">
        <f>(RAINrate.R*L19*L16)/(L6)</f>
        <v>1.9890154971051001E-5</v>
      </c>
      <c r="L468" s="712">
        <f t="shared" si="24"/>
        <v>1.9890154971051001E-5</v>
      </c>
      <c r="M468" s="581" t="s">
        <v>335</v>
      </c>
      <c r="N468" s="582" t="s">
        <v>1788</v>
      </c>
      <c r="O468" s="951"/>
      <c r="P468" s="952"/>
    </row>
    <row r="469" spans="1:16" ht="12" customHeight="1" x14ac:dyDescent="0.3">
      <c r="A469" s="566" t="s">
        <v>1789</v>
      </c>
      <c r="B469" s="566"/>
      <c r="C469" s="566"/>
      <c r="D469" s="566"/>
      <c r="E469" s="566"/>
      <c r="F469" s="566"/>
      <c r="G469" s="567" t="s">
        <v>1790</v>
      </c>
      <c r="H469" s="567" t="s">
        <v>335</v>
      </c>
      <c r="I469" s="572"/>
      <c r="J469" s="294" t="str">
        <f>IF(ISBLANK(HLOOKUP(CaseName,CaseData,MATCH($G469,cases!$G$4:$G$2494,0),FALSE)),"",HLOOKUP(CaseName,CaseData,MATCH($G469,cases!$G$4:$G$2494,0),FALSE))</f>
        <v/>
      </c>
      <c r="K469" s="620">
        <f>(RAINrate.R*L20*L16)/L6</f>
        <v>4.4200344380113331E-5</v>
      </c>
      <c r="L469" s="298">
        <f t="shared" si="24"/>
        <v>4.4200344380113331E-5</v>
      </c>
      <c r="M469" s="567" t="s">
        <v>335</v>
      </c>
      <c r="N469" s="566" t="s">
        <v>1788</v>
      </c>
      <c r="O469" s="605"/>
      <c r="P469" s="584"/>
    </row>
    <row r="470" spans="1:16" ht="12.75" customHeight="1" x14ac:dyDescent="0.3">
      <c r="A470" s="566" t="s">
        <v>1791</v>
      </c>
      <c r="B470" s="566"/>
      <c r="C470" s="566"/>
      <c r="D470" s="566"/>
      <c r="E470" s="566"/>
      <c r="F470" s="566"/>
      <c r="G470" s="567" t="s">
        <v>1792</v>
      </c>
      <c r="H470" s="567" t="s">
        <v>335</v>
      </c>
      <c r="I470" s="572"/>
      <c r="J470" s="294" t="str">
        <f>IF(ISBLANK(HLOOKUP(CaseName,CaseData,MATCH($G470,cases!$G$4:$G$2494,0),FALSE)),"",HLOOKUP(CaseName,CaseData,MATCH($G470,cases!$G$4:$G$2494,0),FALSE))</f>
        <v/>
      </c>
      <c r="K470" s="620">
        <f>(RAINrate.R*L21*L16)/(L6)</f>
        <v>7.3667240633522224E-6</v>
      </c>
      <c r="L470" s="298">
        <f t="shared" si="24"/>
        <v>7.3667240633522224E-6</v>
      </c>
      <c r="M470" s="567" t="s">
        <v>335</v>
      </c>
      <c r="N470" s="566"/>
      <c r="O470" s="605"/>
      <c r="P470" s="584"/>
    </row>
    <row r="471" spans="1:16" ht="12.75" customHeight="1" x14ac:dyDescent="0.3">
      <c r="A471" s="566" t="s">
        <v>1793</v>
      </c>
      <c r="B471" s="566"/>
      <c r="C471" s="566"/>
      <c r="D471" s="566"/>
      <c r="E471" s="566"/>
      <c r="F471" s="566"/>
      <c r="G471" s="567" t="s">
        <v>1794</v>
      </c>
      <c r="H471" s="567" t="s">
        <v>335</v>
      </c>
      <c r="I471" s="572"/>
      <c r="J471" s="294" t="str">
        <f>IF(ISBLANK(HLOOKUP(CaseName,CaseData,MATCH($G471,cases!$G$4:$G$2494,0),FALSE)),"",HLOOKUP(CaseName,CaseData,MATCH($G471,cases!$G$4:$G$2494,0),FALSE))</f>
        <v/>
      </c>
      <c r="K471" s="620">
        <f>(RAINrate.R*L19*L16)/(L6)</f>
        <v>1.9890154971051001E-5</v>
      </c>
      <c r="L471" s="298">
        <f t="shared" si="24"/>
        <v>1.9890154971051001E-5</v>
      </c>
      <c r="M471" s="567" t="s">
        <v>335</v>
      </c>
      <c r="N471" s="566"/>
      <c r="O471" s="605"/>
      <c r="P471" s="584"/>
    </row>
    <row r="472" spans="1:16" ht="12.75" customHeight="1" x14ac:dyDescent="0.3">
      <c r="A472" s="566" t="s">
        <v>1795</v>
      </c>
      <c r="B472" s="566"/>
      <c r="C472" s="566"/>
      <c r="D472" s="566"/>
      <c r="E472" s="566"/>
      <c r="F472" s="566"/>
      <c r="G472" s="567" t="s">
        <v>1796</v>
      </c>
      <c r="H472" s="567" t="s">
        <v>335</v>
      </c>
      <c r="I472" s="572"/>
      <c r="J472" s="294" t="str">
        <f>IF(ISBLANK(HLOOKUP(CaseName,CaseData,MATCH($G472,cases!$G$4:$G$2494,0),FALSE)),"",HLOOKUP(CaseName,CaseData,MATCH($G472,cases!$G$4:$G$2494,0),FALSE))</f>
        <v/>
      </c>
      <c r="K472" s="620">
        <f>(RAINrate.R*L20*L16)/L6</f>
        <v>4.4200344380113331E-5</v>
      </c>
      <c r="L472" s="298">
        <f t="shared" si="24"/>
        <v>4.4200344380113331E-5</v>
      </c>
      <c r="M472" s="567" t="s">
        <v>335</v>
      </c>
      <c r="N472" s="566"/>
      <c r="O472" s="605"/>
      <c r="P472" s="584"/>
    </row>
    <row r="473" spans="1:16" ht="12.75" customHeight="1" x14ac:dyDescent="0.3">
      <c r="A473" s="566" t="s">
        <v>1797</v>
      </c>
      <c r="B473" s="566"/>
      <c r="C473" s="566"/>
      <c r="D473" s="566"/>
      <c r="E473" s="566"/>
      <c r="F473" s="566"/>
      <c r="G473" s="567" t="s">
        <v>1798</v>
      </c>
      <c r="H473" s="567" t="s">
        <v>335</v>
      </c>
      <c r="I473" s="572"/>
      <c r="J473" s="294" t="str">
        <f>IF(ISBLANK(HLOOKUP(CaseName,CaseData,MATCH($G473,cases!$G$4:$G$2494,0),FALSE)),"",HLOOKUP(CaseName,CaseData,MATCH($G473,cases!$G$4:$G$2494,0),FALSE))</f>
        <v/>
      </c>
      <c r="K473" s="620">
        <f>(RAINrate.R*L21*L16)/(L6)</f>
        <v>7.3667240633522224E-6</v>
      </c>
      <c r="L473" s="298">
        <f t="shared" si="24"/>
        <v>7.3667240633522224E-6</v>
      </c>
      <c r="M473" s="567" t="s">
        <v>335</v>
      </c>
      <c r="N473" s="566"/>
      <c r="O473" s="605"/>
      <c r="P473" s="584"/>
    </row>
    <row r="474" spans="1:16" ht="12.75" customHeight="1" x14ac:dyDescent="0.3">
      <c r="A474" s="566" t="s">
        <v>1799</v>
      </c>
      <c r="B474" s="566"/>
      <c r="C474" s="566"/>
      <c r="D474" s="566"/>
      <c r="E474" s="566"/>
      <c r="F474" s="566"/>
      <c r="G474" s="567" t="s">
        <v>1800</v>
      </c>
      <c r="H474" s="567" t="s">
        <v>335</v>
      </c>
      <c r="I474" s="572"/>
      <c r="J474" s="294" t="str">
        <f>IF(ISBLANK(HLOOKUP(CaseName,CaseData,MATCH($G474,cases!$G$4:$G$2494,0),FALSE)),"",HLOOKUP(CaseName,CaseData,MATCH($G474,cases!$G$4:$G$2494,0),FALSE))</f>
        <v/>
      </c>
      <c r="K474" s="620">
        <f>(RAINrate.R*L19*L16)/(L6)</f>
        <v>1.9890154971051001E-5</v>
      </c>
      <c r="L474" s="298">
        <f t="shared" si="24"/>
        <v>1.9890154971051001E-5</v>
      </c>
      <c r="M474" s="567" t="s">
        <v>335</v>
      </c>
      <c r="N474" s="566"/>
      <c r="O474" s="605"/>
      <c r="P474" s="584"/>
    </row>
    <row r="475" spans="1:16" ht="12.75" customHeight="1" x14ac:dyDescent="0.3">
      <c r="A475" s="566" t="s">
        <v>1801</v>
      </c>
      <c r="B475" s="566"/>
      <c r="C475" s="566"/>
      <c r="D475" s="566"/>
      <c r="E475" s="566"/>
      <c r="F475" s="566"/>
      <c r="G475" s="567" t="s">
        <v>1802</v>
      </c>
      <c r="H475" s="567" t="s">
        <v>335</v>
      </c>
      <c r="I475" s="572"/>
      <c r="J475" s="294" t="str">
        <f>IF(ISBLANK(HLOOKUP(CaseName,CaseData,MATCH($G475,cases!$G$4:$G$2494,0),FALSE)),"",HLOOKUP(CaseName,CaseData,MATCH($G475,cases!$G$4:$G$2494,0),FALSE))</f>
        <v/>
      </c>
      <c r="K475" s="620">
        <f>(RAINrate.R*L20*L16)/(L6)</f>
        <v>4.4200344380113331E-5</v>
      </c>
      <c r="L475" s="298">
        <f t="shared" si="24"/>
        <v>4.4200344380113331E-5</v>
      </c>
      <c r="M475" s="567" t="s">
        <v>335</v>
      </c>
      <c r="N475" s="566"/>
      <c r="O475" s="605"/>
      <c r="P475" s="584"/>
    </row>
    <row r="476" spans="1:16" ht="12.75" customHeight="1" x14ac:dyDescent="0.3">
      <c r="A476" s="566" t="s">
        <v>1803</v>
      </c>
      <c r="B476" s="566"/>
      <c r="C476" s="566"/>
      <c r="D476" s="566"/>
      <c r="E476" s="566"/>
      <c r="F476" s="566"/>
      <c r="G476" s="567" t="s">
        <v>1804</v>
      </c>
      <c r="H476" s="567" t="s">
        <v>335</v>
      </c>
      <c r="I476" s="572"/>
      <c r="J476" s="294" t="str">
        <f>IF(ISBLANK(HLOOKUP(CaseName,CaseData,MATCH($G476,cases!$G$4:$G$2494,0),FALSE)),"",HLOOKUP(CaseName,CaseData,MATCH($G476,cases!$G$4:$G$2494,0),FALSE))</f>
        <v/>
      </c>
      <c r="K476" s="620">
        <f>(RAINrate.R*L21*L16)/L6</f>
        <v>7.3667240633522224E-6</v>
      </c>
      <c r="L476" s="298">
        <f t="shared" si="24"/>
        <v>7.3667240633522224E-6</v>
      </c>
      <c r="M476" s="567" t="s">
        <v>335</v>
      </c>
      <c r="N476" s="566"/>
      <c r="O476" s="605"/>
      <c r="P476" s="584"/>
    </row>
    <row r="477" spans="1:16" ht="12.75" customHeight="1" x14ac:dyDescent="0.3">
      <c r="A477" s="566" t="s">
        <v>1805</v>
      </c>
      <c r="B477" s="566"/>
      <c r="C477" s="566"/>
      <c r="D477" s="566"/>
      <c r="E477" s="566"/>
      <c r="F477" s="566"/>
      <c r="G477" s="567" t="s">
        <v>1806</v>
      </c>
      <c r="H477" s="567" t="s">
        <v>335</v>
      </c>
      <c r="I477" s="572"/>
      <c r="J477" s="294" t="str">
        <f>IF(ISBLANK(HLOOKUP(CaseName,CaseData,MATCH($G477,cases!$G$4:$G$2494,0),FALSE)),"",HLOOKUP(CaseName,CaseData,MATCH($G477,cases!$G$4:$G$2494,0),FALSE))</f>
        <v/>
      </c>
      <c r="K477" s="620">
        <f>(RAINrate.R*L17*L16)/(L6)</f>
        <v>1.8416810158380553E-7</v>
      </c>
      <c r="L477" s="298">
        <f t="shared" si="24"/>
        <v>1.8416810158380553E-7</v>
      </c>
      <c r="M477" s="567" t="s">
        <v>335</v>
      </c>
      <c r="N477" s="566"/>
      <c r="O477" s="605"/>
      <c r="P477" s="584"/>
    </row>
    <row r="478" spans="1:16" ht="12.75" customHeight="1" x14ac:dyDescent="0.3">
      <c r="A478" s="566" t="s">
        <v>1807</v>
      </c>
      <c r="B478" s="566"/>
      <c r="C478" s="566"/>
      <c r="D478" s="566"/>
      <c r="E478" s="566"/>
      <c r="F478" s="566"/>
      <c r="G478" s="567" t="s">
        <v>1808</v>
      </c>
      <c r="H478" s="567" t="s">
        <v>335</v>
      </c>
      <c r="I478" s="572"/>
      <c r="J478" s="294" t="str">
        <f>IF(ISBLANK(HLOOKUP(CaseName,CaseData,MATCH($G478,cases!$G$4:$G$2494,0),FALSE)),"",HLOOKUP(CaseName,CaseData,MATCH($G478,cases!$G$4:$G$2494,0),FALSE))</f>
        <v/>
      </c>
      <c r="K478" s="620">
        <f>(RAINrate.R*L18*L16)/(L6)</f>
        <v>2.0258491174218609E-6</v>
      </c>
      <c r="L478" s="298">
        <f t="shared" si="24"/>
        <v>2.0258491174218609E-6</v>
      </c>
      <c r="M478" s="567" t="s">
        <v>335</v>
      </c>
      <c r="N478" s="566"/>
      <c r="O478" s="605"/>
      <c r="P478" s="584"/>
    </row>
    <row r="479" spans="1:16" ht="12.75" customHeight="1" x14ac:dyDescent="0.3">
      <c r="A479" s="566" t="s">
        <v>1809</v>
      </c>
      <c r="B479" s="566"/>
      <c r="C479" s="566"/>
      <c r="D479" s="566"/>
      <c r="E479" s="566"/>
      <c r="F479" s="566"/>
      <c r="G479" s="567" t="s">
        <v>1810</v>
      </c>
      <c r="H479" s="567" t="s">
        <v>335</v>
      </c>
      <c r="I479" s="572"/>
      <c r="J479" s="294" t="str">
        <f>IF(ISBLANK(HLOOKUP(CaseName,CaseData,MATCH($G479,cases!$G$4:$G$2494,0),FALSE)),"",HLOOKUP(CaseName,CaseData,MATCH($G479,cases!$G$4:$G$2494,0),FALSE))</f>
        <v/>
      </c>
      <c r="K479" s="620">
        <f>(RAINrate.R*L22*L16)/(L6)</f>
        <v>3.2229619212286083E-7</v>
      </c>
      <c r="L479" s="298">
        <f t="shared" si="24"/>
        <v>3.2229619212286083E-7</v>
      </c>
      <c r="M479" s="567" t="s">
        <v>335</v>
      </c>
      <c r="N479" s="566"/>
      <c r="O479" s="605"/>
      <c r="P479" s="584"/>
    </row>
    <row r="480" spans="1:16" ht="12.75" customHeight="1" x14ac:dyDescent="0.3">
      <c r="A480" s="566" t="s">
        <v>1811</v>
      </c>
      <c r="B480" s="566"/>
      <c r="C480" s="566"/>
      <c r="D480" s="566"/>
      <c r="E480" s="566"/>
      <c r="F480" s="566"/>
      <c r="G480" s="567" t="s">
        <v>1812</v>
      </c>
      <c r="H480" s="567" t="s">
        <v>335</v>
      </c>
      <c r="I480" s="572"/>
      <c r="J480" s="294" t="str">
        <f>IF(ISBLANK(HLOOKUP(CaseName,CaseData,MATCH($G480,cases!$G$4:$G$2494,0),FALSE)),"",HLOOKUP(CaseName,CaseData,MATCH($G480,cases!$G$4:$G$2494,0),FALSE))</f>
        <v/>
      </c>
      <c r="K480" s="620">
        <f>(RAINrate.R*L17*L16)/(L6)</f>
        <v>1.8416810158380553E-7</v>
      </c>
      <c r="L480" s="298">
        <f t="shared" si="24"/>
        <v>1.8416810158380553E-7</v>
      </c>
      <c r="M480" s="567" t="s">
        <v>335</v>
      </c>
      <c r="N480" s="566"/>
      <c r="O480" s="605"/>
      <c r="P480" s="584"/>
    </row>
    <row r="481" spans="1:19" ht="12.75" customHeight="1" x14ac:dyDescent="0.3">
      <c r="A481" s="566" t="s">
        <v>1813</v>
      </c>
      <c r="B481" s="566"/>
      <c r="C481" s="566"/>
      <c r="D481" s="566"/>
      <c r="E481" s="566"/>
      <c r="F481" s="566"/>
      <c r="G481" s="567" t="s">
        <v>1814</v>
      </c>
      <c r="H481" s="567" t="s">
        <v>335</v>
      </c>
      <c r="I481" s="572"/>
      <c r="J481" s="294" t="str">
        <f>IF(ISBLANK(HLOOKUP(CaseName,CaseData,MATCH($G481,cases!$G$4:$G$2494,0),FALSE)),"",HLOOKUP(CaseName,CaseData,MATCH($G481,cases!$G$4:$G$2494,0),FALSE))</f>
        <v/>
      </c>
      <c r="K481" s="620">
        <f>(RAINrate.R*L18*L16)/(L6)</f>
        <v>2.0258491174218609E-6</v>
      </c>
      <c r="L481" s="298">
        <f t="shared" si="24"/>
        <v>2.0258491174218609E-6</v>
      </c>
      <c r="M481" s="567" t="s">
        <v>335</v>
      </c>
      <c r="N481" s="566"/>
      <c r="O481" s="605"/>
      <c r="P481" s="584"/>
    </row>
    <row r="482" spans="1:19" ht="12.75" customHeight="1" x14ac:dyDescent="0.3">
      <c r="A482" s="566" t="s">
        <v>1815</v>
      </c>
      <c r="B482" s="566"/>
      <c r="C482" s="566"/>
      <c r="D482" s="566"/>
      <c r="E482" s="566"/>
      <c r="F482" s="566"/>
      <c r="G482" s="567" t="s">
        <v>1816</v>
      </c>
      <c r="H482" s="567" t="s">
        <v>335</v>
      </c>
      <c r="I482" s="572"/>
      <c r="J482" s="294" t="str">
        <f>IF(ISBLANK(HLOOKUP(CaseName,CaseData,MATCH($G482,cases!$G$4:$G$2494,0),FALSE)),"",HLOOKUP(CaseName,CaseData,MATCH($G482,cases!$G$4:$G$2494,0),FALSE))</f>
        <v/>
      </c>
      <c r="K482" s="620">
        <f>(RAINrate.R*L22*L16)/(L6)</f>
        <v>3.2229619212286083E-7</v>
      </c>
      <c r="L482" s="298">
        <f t="shared" si="24"/>
        <v>3.2229619212286083E-7</v>
      </c>
      <c r="M482" s="567" t="s">
        <v>335</v>
      </c>
      <c r="N482" s="566"/>
      <c r="O482" s="605"/>
      <c r="P482" s="584"/>
    </row>
    <row r="483" spans="1:19" ht="12.75" customHeight="1" x14ac:dyDescent="0.3">
      <c r="A483" s="566" t="s">
        <v>1817</v>
      </c>
      <c r="B483" s="566"/>
      <c r="C483" s="566"/>
      <c r="D483" s="566"/>
      <c r="E483" s="566"/>
      <c r="F483" s="566"/>
      <c r="G483" s="567" t="s">
        <v>1818</v>
      </c>
      <c r="H483" s="567" t="s">
        <v>335</v>
      </c>
      <c r="I483" s="572"/>
      <c r="J483" s="294" t="str">
        <f>IF(ISBLANK(HLOOKUP(CaseName,CaseData,MATCH($G483,cases!$G$4:$G$2494,0),FALSE)),"",HLOOKUP(CaseName,CaseData,MATCH($G483,cases!$G$4:$G$2494,0),FALSE))</f>
        <v/>
      </c>
      <c r="K483" s="620">
        <f>(RAINrate.R*L17*L16)/(L6)</f>
        <v>1.8416810158380553E-7</v>
      </c>
      <c r="L483" s="298">
        <f t="shared" si="24"/>
        <v>1.8416810158380553E-7</v>
      </c>
      <c r="M483" s="567" t="s">
        <v>335</v>
      </c>
      <c r="N483" s="566"/>
      <c r="O483" s="605"/>
      <c r="P483" s="584"/>
    </row>
    <row r="484" spans="1:19" ht="12.75" customHeight="1" x14ac:dyDescent="0.3">
      <c r="A484" s="566" t="s">
        <v>1819</v>
      </c>
      <c r="B484" s="566"/>
      <c r="C484" s="566"/>
      <c r="D484" s="566"/>
      <c r="E484" s="566"/>
      <c r="F484" s="566"/>
      <c r="G484" s="567" t="s">
        <v>1820</v>
      </c>
      <c r="H484" s="567" t="s">
        <v>335</v>
      </c>
      <c r="I484" s="572"/>
      <c r="J484" s="294" t="str">
        <f>IF(ISBLANK(HLOOKUP(CaseName,CaseData,MATCH($G484,cases!$G$4:$G$2494,0),FALSE)),"",HLOOKUP(CaseName,CaseData,MATCH($G484,cases!$G$4:$G$2494,0),FALSE))</f>
        <v/>
      </c>
      <c r="K484" s="620">
        <f>(RAINrate.R*L18*L16)/(L6)</f>
        <v>2.0258491174218609E-6</v>
      </c>
      <c r="L484" s="298">
        <f t="shared" si="24"/>
        <v>2.0258491174218609E-6</v>
      </c>
      <c r="M484" s="567" t="s">
        <v>335</v>
      </c>
      <c r="N484" s="566"/>
      <c r="O484" s="605"/>
      <c r="P484" s="584"/>
      <c r="Q484" s="11"/>
      <c r="R484" s="11"/>
      <c r="S484" s="11"/>
    </row>
    <row r="485" spans="1:19" ht="12.75" customHeight="1" x14ac:dyDescent="0.3">
      <c r="A485" s="566" t="s">
        <v>1821</v>
      </c>
      <c r="B485" s="566"/>
      <c r="C485" s="566"/>
      <c r="D485" s="566"/>
      <c r="E485" s="566"/>
      <c r="F485" s="566"/>
      <c r="G485" s="567" t="s">
        <v>1822</v>
      </c>
      <c r="H485" s="567" t="s">
        <v>335</v>
      </c>
      <c r="I485" s="572"/>
      <c r="J485" s="294" t="str">
        <f>IF(ISBLANK(HLOOKUP(CaseName,CaseData,MATCH($G485,cases!$G$4:$G$2494,0),FALSE)),"",HLOOKUP(CaseName,CaseData,MATCH($G485,cases!$G$4:$G$2494,0),FALSE))</f>
        <v/>
      </c>
      <c r="K485" s="620">
        <f>(RAINrate.R*L22*L16)/(L6)</f>
        <v>3.2229619212286083E-7</v>
      </c>
      <c r="L485" s="298">
        <f t="shared" si="24"/>
        <v>3.2229619212286083E-7</v>
      </c>
      <c r="M485" s="567" t="s">
        <v>335</v>
      </c>
      <c r="N485" s="566"/>
      <c r="O485" s="605"/>
      <c r="P485" s="584"/>
      <c r="Q485" s="11"/>
      <c r="R485" s="11"/>
      <c r="S485" s="11"/>
    </row>
    <row r="486" spans="1:19" s="634" customFormat="1" ht="12.75" customHeight="1" x14ac:dyDescent="0.3">
      <c r="A486" s="582" t="s">
        <v>1823</v>
      </c>
      <c r="B486" s="582"/>
      <c r="C486" s="582"/>
      <c r="D486" s="582"/>
      <c r="E486" s="582"/>
      <c r="F486" s="582"/>
      <c r="G486" s="581" t="s">
        <v>1824</v>
      </c>
      <c r="H486" s="581" t="s">
        <v>335</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335</v>
      </c>
      <c r="N486" s="604"/>
      <c r="O486" s="620"/>
      <c r="P486" s="566"/>
      <c r="Q486" s="335"/>
      <c r="R486"/>
      <c r="S486" s="11"/>
    </row>
    <row r="487" spans="1:19" ht="12.75" customHeight="1" x14ac:dyDescent="0.3">
      <c r="A487" s="566" t="s">
        <v>1825</v>
      </c>
      <c r="B487" s="566"/>
      <c r="C487" s="566"/>
      <c r="D487" s="566"/>
      <c r="E487" s="566"/>
      <c r="F487" s="566"/>
      <c r="G487" s="567" t="s">
        <v>1826</v>
      </c>
      <c r="H487" s="567" t="s">
        <v>335</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335</v>
      </c>
      <c r="N487" s="604"/>
      <c r="O487" s="620"/>
      <c r="P487" s="566"/>
      <c r="Q487" s="335"/>
      <c r="R487"/>
      <c r="S487" s="11"/>
    </row>
    <row r="488" spans="1:19" ht="12.75" customHeight="1" x14ac:dyDescent="0.3">
      <c r="A488" s="566" t="s">
        <v>1827</v>
      </c>
      <c r="B488" s="566"/>
      <c r="C488" s="566"/>
      <c r="D488" s="566"/>
      <c r="E488" s="566"/>
      <c r="F488" s="566"/>
      <c r="G488" s="567" t="s">
        <v>1828</v>
      </c>
      <c r="H488" s="567" t="s">
        <v>335</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335</v>
      </c>
      <c r="N488" s="604"/>
      <c r="O488" s="620"/>
      <c r="P488" s="566"/>
      <c r="Q488" s="335"/>
      <c r="R488"/>
      <c r="S488" s="11"/>
    </row>
    <row r="489" spans="1:19" ht="12.75" customHeight="1" x14ac:dyDescent="0.3">
      <c r="A489" s="566" t="s">
        <v>1829</v>
      </c>
      <c r="B489" s="566"/>
      <c r="C489" s="566"/>
      <c r="D489" s="566"/>
      <c r="E489" s="566"/>
      <c r="F489" s="566"/>
      <c r="G489" s="567" t="s">
        <v>1830</v>
      </c>
      <c r="H489" s="567" t="s">
        <v>335</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335</v>
      </c>
      <c r="N489" s="604"/>
      <c r="O489" s="620"/>
      <c r="P489" s="566"/>
      <c r="Q489" s="335"/>
      <c r="R489"/>
      <c r="S489" s="11"/>
    </row>
    <row r="490" spans="1:19" ht="12.75" customHeight="1" x14ac:dyDescent="0.3">
      <c r="A490" s="566" t="s">
        <v>1831</v>
      </c>
      <c r="B490" s="566"/>
      <c r="C490" s="566"/>
      <c r="D490" s="566"/>
      <c r="E490" s="566"/>
      <c r="F490" s="566"/>
      <c r="G490" s="567" t="s">
        <v>1832</v>
      </c>
      <c r="H490" s="567" t="s">
        <v>335</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335</v>
      </c>
      <c r="N490" s="604"/>
      <c r="O490" s="620"/>
      <c r="P490" s="566"/>
      <c r="Q490" s="335"/>
      <c r="R490"/>
      <c r="S490" s="11"/>
    </row>
    <row r="491" spans="1:19" ht="12.75" customHeight="1" x14ac:dyDescent="0.3">
      <c r="A491" s="566" t="s">
        <v>1833</v>
      </c>
      <c r="B491" s="566"/>
      <c r="C491" s="566"/>
      <c r="D491" s="566"/>
      <c r="E491" s="566"/>
      <c r="F491" s="566"/>
      <c r="G491" s="567" t="s">
        <v>1834</v>
      </c>
      <c r="H491" s="567" t="s">
        <v>335</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335</v>
      </c>
      <c r="N491" s="604"/>
      <c r="O491" s="620"/>
      <c r="P491" s="566"/>
      <c r="Q491" s="335"/>
      <c r="R491"/>
      <c r="S491" s="11"/>
    </row>
    <row r="492" spans="1:19" ht="12.75" customHeight="1" x14ac:dyDescent="0.3">
      <c r="A492" s="566" t="s">
        <v>1835</v>
      </c>
      <c r="B492" s="566"/>
      <c r="C492" s="566"/>
      <c r="D492" s="566"/>
      <c r="E492" s="566"/>
      <c r="F492" s="566"/>
      <c r="G492" s="567" t="s">
        <v>1836</v>
      </c>
      <c r="H492" s="567" t="s">
        <v>335</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335</v>
      </c>
      <c r="N492" s="604"/>
      <c r="O492" s="620"/>
      <c r="P492" s="566"/>
      <c r="Q492" s="335"/>
      <c r="R492"/>
      <c r="S492" s="11"/>
    </row>
    <row r="493" spans="1:19" ht="12.75" customHeight="1" x14ac:dyDescent="0.3">
      <c r="A493" s="566" t="s">
        <v>1837</v>
      </c>
      <c r="B493" s="566"/>
      <c r="C493" s="566"/>
      <c r="D493" s="566"/>
      <c r="E493" s="566"/>
      <c r="F493" s="566"/>
      <c r="G493" s="567" t="s">
        <v>1838</v>
      </c>
      <c r="H493" s="567" t="s">
        <v>335</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335</v>
      </c>
      <c r="N493" s="604"/>
      <c r="O493" s="620"/>
      <c r="P493" s="566"/>
      <c r="Q493" s="335"/>
      <c r="R493"/>
      <c r="S493" s="11"/>
    </row>
    <row r="494" spans="1:19" ht="12.75" customHeight="1" x14ac:dyDescent="0.3">
      <c r="A494" s="566" t="s">
        <v>1839</v>
      </c>
      <c r="B494" s="566"/>
      <c r="C494" s="566"/>
      <c r="D494" s="566"/>
      <c r="E494" s="566"/>
      <c r="F494" s="566"/>
      <c r="G494" s="567" t="s">
        <v>1840</v>
      </c>
      <c r="H494" s="567" t="s">
        <v>335</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335</v>
      </c>
      <c r="N494" s="604"/>
      <c r="O494" s="620"/>
      <c r="P494" s="566"/>
      <c r="Q494" s="335"/>
      <c r="R494"/>
      <c r="S494" s="11"/>
    </row>
    <row r="495" spans="1:19" s="634" customFormat="1" ht="12.75" customHeight="1" x14ac:dyDescent="0.3">
      <c r="A495" s="582" t="s">
        <v>1841</v>
      </c>
      <c r="B495" s="582"/>
      <c r="C495" s="582"/>
      <c r="D495" s="582"/>
      <c r="E495" s="582"/>
      <c r="F495" s="582"/>
      <c r="G495" s="581" t="s">
        <v>1842</v>
      </c>
      <c r="H495" s="581" t="s">
        <v>335</v>
      </c>
      <c r="I495" s="572"/>
      <c r="J495" s="294" t="str">
        <f>IF(ISBLANK(HLOOKUP(CaseName,CaseData,MATCH($G495,cases!$G$4:$G$2494,0),FALSE)),"",HLOOKUP(CaseName,CaseData,MATCH($G495,cases!$G$4:$G$2494,0),FALSE))</f>
        <v/>
      </c>
      <c r="K495" s="622">
        <f>L155/L27</f>
        <v>0</v>
      </c>
      <c r="L495" s="712">
        <f t="shared" si="25"/>
        <v>0</v>
      </c>
      <c r="M495" s="581" t="s">
        <v>335</v>
      </c>
      <c r="N495" s="566" t="s">
        <v>1843</v>
      </c>
      <c r="O495" s="605"/>
      <c r="P495" s="584"/>
      <c r="Q495" s="11"/>
      <c r="R495" s="11"/>
      <c r="S495" s="11"/>
    </row>
    <row r="496" spans="1:19" ht="12.75" customHeight="1" x14ac:dyDescent="0.3">
      <c r="A496" s="566" t="s">
        <v>1844</v>
      </c>
      <c r="B496" s="566"/>
      <c r="C496" s="566"/>
      <c r="D496" s="566"/>
      <c r="E496" s="566"/>
      <c r="F496" s="566"/>
      <c r="G496" s="567" t="s">
        <v>1845</v>
      </c>
      <c r="H496" s="567" t="s">
        <v>335</v>
      </c>
      <c r="I496" s="572"/>
      <c r="J496" s="294" t="str">
        <f>IF(ISBLANK(HLOOKUP(CaseName,CaseData,MATCH($G496,cases!$G$4:$G$2494,0),FALSE)),"",HLOOKUP(CaseName,CaseData,MATCH($G496,cases!$G$4:$G$2494,0),FALSE))</f>
        <v/>
      </c>
      <c r="K496" s="620">
        <f>L157/L28</f>
        <v>2.6515050905292422E-8</v>
      </c>
      <c r="L496" s="298">
        <f t="shared" si="25"/>
        <v>2.6515050905292422E-8</v>
      </c>
      <c r="M496" s="567" t="s">
        <v>335</v>
      </c>
      <c r="N496" s="566" t="s">
        <v>1843</v>
      </c>
      <c r="O496" s="605"/>
      <c r="P496" s="584"/>
      <c r="Q496" s="11"/>
      <c r="R496" s="11"/>
      <c r="S496" s="11"/>
    </row>
    <row r="497" spans="1:19" ht="12.75" customHeight="1" x14ac:dyDescent="0.3">
      <c r="A497" s="566" t="s">
        <v>1846</v>
      </c>
      <c r="B497" s="566"/>
      <c r="C497" s="566"/>
      <c r="D497" s="566"/>
      <c r="E497" s="566"/>
      <c r="F497" s="566"/>
      <c r="G497" s="567" t="s">
        <v>1847</v>
      </c>
      <c r="H497" s="567" t="s">
        <v>335</v>
      </c>
      <c r="I497" s="572"/>
      <c r="J497" s="294" t="str">
        <f>IF(ISBLANK(HLOOKUP(CaseName,CaseData,MATCH($G497,cases!$G$4:$G$2494,0),FALSE)),"",HLOOKUP(CaseName,CaseData,MATCH($G497,cases!$G$4:$G$2494,0),FALSE))</f>
        <v/>
      </c>
      <c r="K497" s="620">
        <f>L159/L29</f>
        <v>8.8891798123057166E-9</v>
      </c>
      <c r="L497" s="298">
        <f t="shared" si="25"/>
        <v>8.8891798123057166E-9</v>
      </c>
      <c r="M497" s="567" t="s">
        <v>335</v>
      </c>
      <c r="N497" s="566" t="s">
        <v>1843</v>
      </c>
      <c r="O497" s="605"/>
      <c r="P497" s="584"/>
      <c r="Q497" s="11"/>
      <c r="R497" s="11"/>
      <c r="S497" s="11"/>
    </row>
    <row r="498" spans="1:19" ht="12.75" customHeight="1" x14ac:dyDescent="0.3">
      <c r="A498" s="566" t="s">
        <v>1848</v>
      </c>
      <c r="B498" s="566"/>
      <c r="C498" s="566"/>
      <c r="D498" s="566"/>
      <c r="E498" s="566"/>
      <c r="F498" s="566"/>
      <c r="G498" s="567" t="s">
        <v>1849</v>
      </c>
      <c r="H498" s="567" t="s">
        <v>335</v>
      </c>
      <c r="I498" s="572"/>
      <c r="J498" s="294" t="str">
        <f>IF(ISBLANK(HLOOKUP(CaseName,CaseData,MATCH($G498,cases!$G$4:$G$2494,0),FALSE)),"",HLOOKUP(CaseName,CaseData,MATCH($G498,cases!$G$4:$G$2494,0),FALSE))</f>
        <v/>
      </c>
      <c r="K498" s="620">
        <f>L155/L27</f>
        <v>0</v>
      </c>
      <c r="L498" s="298">
        <f t="shared" si="25"/>
        <v>0</v>
      </c>
      <c r="M498" s="567" t="s">
        <v>335</v>
      </c>
      <c r="N498" s="566" t="s">
        <v>1843</v>
      </c>
      <c r="O498" s="605"/>
      <c r="P498" s="584"/>
      <c r="Q498" s="11"/>
      <c r="R498" s="11"/>
      <c r="S498" s="11"/>
    </row>
    <row r="499" spans="1:19" ht="12.75" customHeight="1" x14ac:dyDescent="0.3">
      <c r="A499" s="566" t="s">
        <v>1850</v>
      </c>
      <c r="B499" s="566"/>
      <c r="C499" s="566"/>
      <c r="D499" s="566"/>
      <c r="E499" s="566"/>
      <c r="F499" s="566"/>
      <c r="G499" s="567" t="s">
        <v>1851</v>
      </c>
      <c r="H499" s="567" t="s">
        <v>335</v>
      </c>
      <c r="I499" s="572"/>
      <c r="J499" s="294" t="str">
        <f>IF(ISBLANK(HLOOKUP(CaseName,CaseData,MATCH($G499,cases!$G$4:$G$2494,0),FALSE)),"",HLOOKUP(CaseName,CaseData,MATCH($G499,cases!$G$4:$G$2494,0),FALSE))</f>
        <v/>
      </c>
      <c r="K499" s="620">
        <f>L157/L28</f>
        <v>2.6515050905292422E-8</v>
      </c>
      <c r="L499" s="298">
        <f t="shared" si="25"/>
        <v>2.6515050905292422E-8</v>
      </c>
      <c r="M499" s="567" t="s">
        <v>335</v>
      </c>
      <c r="N499" s="566" t="s">
        <v>1843</v>
      </c>
      <c r="O499" s="605"/>
      <c r="P499" s="584"/>
      <c r="Q499" s="11"/>
      <c r="R499" s="11"/>
      <c r="S499" s="11"/>
    </row>
    <row r="500" spans="1:19" ht="12.75" customHeight="1" x14ac:dyDescent="0.3">
      <c r="A500" s="566" t="s">
        <v>1852</v>
      </c>
      <c r="B500" s="566"/>
      <c r="C500" s="566"/>
      <c r="D500" s="566"/>
      <c r="E500" s="566"/>
      <c r="F500" s="566"/>
      <c r="G500" s="567" t="s">
        <v>1853</v>
      </c>
      <c r="H500" s="567" t="s">
        <v>335</v>
      </c>
      <c r="I500" s="572"/>
      <c r="J500" s="294" t="str">
        <f>IF(ISBLANK(HLOOKUP(CaseName,CaseData,MATCH($G500,cases!$G$4:$G$2494,0),FALSE)),"",HLOOKUP(CaseName,CaseData,MATCH($G500,cases!$G$4:$G$2494,0),FALSE))</f>
        <v/>
      </c>
      <c r="K500" s="620">
        <f>L159/L29</f>
        <v>8.8891798123057166E-9</v>
      </c>
      <c r="L500" s="298">
        <f t="shared" si="25"/>
        <v>8.8891798123057166E-9</v>
      </c>
      <c r="M500" s="567" t="s">
        <v>335</v>
      </c>
      <c r="N500" s="566" t="s">
        <v>1843</v>
      </c>
      <c r="O500" s="605"/>
      <c r="P500" s="584"/>
      <c r="Q500" s="11"/>
      <c r="R500" s="11"/>
      <c r="S500" s="11"/>
    </row>
    <row r="501" spans="1:19" ht="12.75" customHeight="1" x14ac:dyDescent="0.3">
      <c r="A501" s="566" t="s">
        <v>1854</v>
      </c>
      <c r="B501" s="566"/>
      <c r="C501" s="566"/>
      <c r="D501" s="566"/>
      <c r="E501" s="566"/>
      <c r="F501" s="566"/>
      <c r="G501" s="567" t="s">
        <v>1855</v>
      </c>
      <c r="H501" s="567" t="s">
        <v>335</v>
      </c>
      <c r="I501" s="572"/>
      <c r="J501" s="294" t="str">
        <f>IF(ISBLANK(HLOOKUP(CaseName,CaseData,MATCH($G501,cases!$G$4:$G$2494,0),FALSE)),"",HLOOKUP(CaseName,CaseData,MATCH($G501,cases!$G$4:$G$2494,0),FALSE))</f>
        <v/>
      </c>
      <c r="K501" s="620">
        <f>L155/L27</f>
        <v>0</v>
      </c>
      <c r="L501" s="298">
        <f t="shared" si="25"/>
        <v>0</v>
      </c>
      <c r="M501" s="567" t="s">
        <v>335</v>
      </c>
      <c r="N501" s="566" t="s">
        <v>1843</v>
      </c>
      <c r="O501" s="605"/>
      <c r="P501" s="584"/>
      <c r="Q501" s="11"/>
      <c r="R501" s="11"/>
      <c r="S501" s="11"/>
    </row>
    <row r="502" spans="1:19" ht="12.75" customHeight="1" x14ac:dyDescent="0.3">
      <c r="A502" s="566" t="s">
        <v>1856</v>
      </c>
      <c r="B502" s="566"/>
      <c r="C502" s="566"/>
      <c r="D502" s="566"/>
      <c r="E502" s="566"/>
      <c r="F502" s="566"/>
      <c r="G502" s="567" t="s">
        <v>1857</v>
      </c>
      <c r="H502" s="567" t="s">
        <v>335</v>
      </c>
      <c r="I502" s="572"/>
      <c r="J502" s="294" t="str">
        <f>IF(ISBLANK(HLOOKUP(CaseName,CaseData,MATCH($G502,cases!$G$4:$G$2494,0),FALSE)),"",HLOOKUP(CaseName,CaseData,MATCH($G502,cases!$G$4:$G$2494,0),FALSE))</f>
        <v/>
      </c>
      <c r="K502" s="620">
        <f>L157/L28</f>
        <v>2.6515050905292422E-8</v>
      </c>
      <c r="L502" s="298">
        <f t="shared" si="25"/>
        <v>2.6515050905292422E-8</v>
      </c>
      <c r="M502" s="567" t="s">
        <v>335</v>
      </c>
      <c r="N502" s="566" t="s">
        <v>1843</v>
      </c>
      <c r="O502" s="605"/>
      <c r="P502" s="584"/>
      <c r="Q502" s="11"/>
      <c r="R502" s="11"/>
      <c r="S502" s="11"/>
    </row>
    <row r="503" spans="1:19" s="631" customFormat="1" ht="12.75" customHeight="1" x14ac:dyDescent="0.3">
      <c r="A503" s="598" t="s">
        <v>1858</v>
      </c>
      <c r="B503" s="598"/>
      <c r="C503" s="598"/>
      <c r="D503" s="598"/>
      <c r="E503" s="598"/>
      <c r="F503" s="598"/>
      <c r="G503" s="601" t="s">
        <v>1859</v>
      </c>
      <c r="H503" s="601" t="s">
        <v>335</v>
      </c>
      <c r="I503" s="717"/>
      <c r="J503" s="294" t="str">
        <f>IF(ISBLANK(HLOOKUP(CaseName,CaseData,MATCH($G503,cases!$G$4:$G$2494,0),FALSE)),"",HLOOKUP(CaseName,CaseData,MATCH($G503,cases!$G$4:$G$2494,0),FALSE))</f>
        <v/>
      </c>
      <c r="K503" s="621">
        <f>L159/L29</f>
        <v>8.8891798123057166E-9</v>
      </c>
      <c r="L503" s="680">
        <f t="shared" si="25"/>
        <v>8.8891798123057166E-9</v>
      </c>
      <c r="M503" s="601" t="s">
        <v>335</v>
      </c>
      <c r="N503" s="598" t="s">
        <v>1843</v>
      </c>
      <c r="O503" s="953"/>
      <c r="P503" s="954"/>
      <c r="Q503" s="949"/>
      <c r="R503" s="949"/>
      <c r="S503" s="949"/>
    </row>
    <row r="504" spans="1:19" s="634" customFormat="1" ht="12.75" customHeight="1" x14ac:dyDescent="0.3">
      <c r="A504" s="582" t="s">
        <v>1860</v>
      </c>
      <c r="B504" s="582"/>
      <c r="C504" s="582"/>
      <c r="D504" s="582"/>
      <c r="E504" s="582"/>
      <c r="F504" s="582"/>
      <c r="G504" s="581" t="s">
        <v>4739</v>
      </c>
      <c r="H504" s="567" t="s">
        <v>335</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335</v>
      </c>
      <c r="N504" s="566" t="s">
        <v>1862</v>
      </c>
      <c r="O504" s="664"/>
      <c r="P504" s="952"/>
      <c r="Q504" s="944"/>
      <c r="R504" s="944"/>
      <c r="S504" s="944"/>
    </row>
    <row r="505" spans="1:19" ht="12.75" customHeight="1" x14ac:dyDescent="0.3">
      <c r="A505" s="566" t="s">
        <v>1863</v>
      </c>
      <c r="B505" s="566"/>
      <c r="C505" s="566"/>
      <c r="D505" s="566"/>
      <c r="E505" s="566"/>
      <c r="F505" s="566"/>
      <c r="G505" s="567" t="s">
        <v>4740</v>
      </c>
      <c r="H505" s="567" t="s">
        <v>335</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335</v>
      </c>
      <c r="N505" s="566" t="s">
        <v>1862</v>
      </c>
      <c r="O505" s="605"/>
      <c r="P505" s="584"/>
      <c r="Q505" s="11"/>
      <c r="R505" s="11"/>
      <c r="S505" s="11"/>
    </row>
    <row r="506" spans="1:19" ht="12.75" customHeight="1" x14ac:dyDescent="0.3">
      <c r="A506" s="566" t="s">
        <v>1865</v>
      </c>
      <c r="B506" s="566"/>
      <c r="C506" s="566"/>
      <c r="D506" s="566"/>
      <c r="E506" s="566"/>
      <c r="F506" s="566"/>
      <c r="G506" s="567" t="s">
        <v>4741</v>
      </c>
      <c r="H506" s="567" t="s">
        <v>335</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335</v>
      </c>
      <c r="N506" s="566" t="s">
        <v>1862</v>
      </c>
      <c r="O506" s="605"/>
      <c r="P506" s="584"/>
      <c r="Q506" s="11"/>
      <c r="R506" s="11"/>
      <c r="S506" s="11"/>
    </row>
    <row r="507" spans="1:19" ht="12.75" customHeight="1" x14ac:dyDescent="0.3">
      <c r="A507" s="566" t="s">
        <v>1867</v>
      </c>
      <c r="B507" s="566"/>
      <c r="C507" s="566"/>
      <c r="D507" s="566"/>
      <c r="E507" s="566"/>
      <c r="F507" s="566"/>
      <c r="G507" s="567" t="s">
        <v>4742</v>
      </c>
      <c r="H507" s="567" t="s">
        <v>335</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335</v>
      </c>
      <c r="N507" s="566" t="s">
        <v>1862</v>
      </c>
      <c r="O507" s="605"/>
      <c r="P507" s="584"/>
      <c r="Q507" s="11"/>
      <c r="R507" s="11"/>
      <c r="S507" s="11"/>
    </row>
    <row r="508" spans="1:19" ht="12.75" customHeight="1" x14ac:dyDescent="0.3">
      <c r="A508" s="566" t="s">
        <v>1869</v>
      </c>
      <c r="B508" s="566"/>
      <c r="C508" s="566"/>
      <c r="D508" s="566"/>
      <c r="E508" s="566"/>
      <c r="F508" s="566"/>
      <c r="G508" s="567" t="s">
        <v>4743</v>
      </c>
      <c r="H508" s="567" t="s">
        <v>335</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335</v>
      </c>
      <c r="N508" s="566" t="s">
        <v>1862</v>
      </c>
      <c r="O508" s="605"/>
      <c r="P508" s="584"/>
      <c r="Q508" s="11"/>
      <c r="R508" s="11"/>
      <c r="S508" s="11"/>
    </row>
    <row r="509" spans="1:19" ht="12" customHeight="1" x14ac:dyDescent="0.3">
      <c r="A509" s="566" t="s">
        <v>1871</v>
      </c>
      <c r="B509" s="566"/>
      <c r="C509" s="566"/>
      <c r="D509" s="566"/>
      <c r="E509" s="566"/>
      <c r="F509" s="566"/>
      <c r="G509" s="567" t="s">
        <v>4744</v>
      </c>
      <c r="H509" s="567" t="s">
        <v>335</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335</v>
      </c>
      <c r="N509" s="566" t="s">
        <v>1862</v>
      </c>
      <c r="O509" s="605"/>
      <c r="P509" s="584"/>
      <c r="Q509" s="11"/>
      <c r="R509" s="11"/>
      <c r="S509" s="11"/>
    </row>
    <row r="510" spans="1:19" ht="12.75" customHeight="1" x14ac:dyDescent="0.3">
      <c r="A510" s="566" t="s">
        <v>1873</v>
      </c>
      <c r="B510" s="566"/>
      <c r="C510" s="566"/>
      <c r="D510" s="566"/>
      <c r="E510" s="566"/>
      <c r="F510" s="566"/>
      <c r="G510" s="567" t="s">
        <v>4745</v>
      </c>
      <c r="H510" s="567" t="s">
        <v>335</v>
      </c>
      <c r="I510" s="572"/>
      <c r="J510" s="294" t="str">
        <f>IF(ISBLANK(HLOOKUP(CaseName,CaseData,MATCH($G510,cases!$G$4:$G$2494,0),FALSE)),"",HLOOKUP(CaseName,CaseData,MATCH($G510,cases!$G$4:$G$2494,0),FALSE))</f>
        <v/>
      </c>
      <c r="K510" s="620">
        <f>(L182/L30)*L17/(L17+L18)</f>
        <v>1.5854895991882292E-12</v>
      </c>
      <c r="L510" s="298">
        <f t="shared" si="25"/>
        <v>1.5854895991882292E-12</v>
      </c>
      <c r="M510" s="567" t="s">
        <v>335</v>
      </c>
      <c r="N510" s="566" t="s">
        <v>1875</v>
      </c>
      <c r="O510" s="605"/>
      <c r="P510" s="584"/>
      <c r="Q510" s="11"/>
      <c r="R510" s="11"/>
      <c r="S510" s="11"/>
    </row>
    <row r="511" spans="1:19" ht="12.75" customHeight="1" x14ac:dyDescent="0.3">
      <c r="A511" s="566" t="s">
        <v>1876</v>
      </c>
      <c r="B511" s="566"/>
      <c r="C511" s="566"/>
      <c r="D511" s="566"/>
      <c r="E511" s="566"/>
      <c r="F511" s="566"/>
      <c r="G511" s="567" t="s">
        <v>4746</v>
      </c>
      <c r="H511" s="567" t="s">
        <v>335</v>
      </c>
      <c r="I511" s="572"/>
      <c r="J511" s="294" t="str">
        <f>IF(ISBLANK(HLOOKUP(CaseName,CaseData,MATCH($G511,cases!$G$4:$G$2494,0),FALSE)),"",HLOOKUP(CaseName,CaseData,MATCH($G511,cases!$G$4:$G$2494,0),FALSE))</f>
        <v/>
      </c>
      <c r="K511" s="620">
        <f>(L183/L31)*L17/(L17+L18)</f>
        <v>3.9637239979705729E-13</v>
      </c>
      <c r="L511" s="298">
        <f t="shared" si="25"/>
        <v>3.9637239979705729E-13</v>
      </c>
      <c r="M511" s="567" t="s">
        <v>335</v>
      </c>
      <c r="N511" s="566" t="s">
        <v>1875</v>
      </c>
      <c r="O511" s="605"/>
      <c r="P511" s="584"/>
      <c r="Q511" s="11"/>
      <c r="R511" s="11"/>
      <c r="S511" s="11"/>
    </row>
    <row r="512" spans="1:19" s="631" customFormat="1" ht="12.75" customHeight="1" x14ac:dyDescent="0.3">
      <c r="A512" s="598" t="s">
        <v>1878</v>
      </c>
      <c r="B512" s="598"/>
      <c r="C512" s="598"/>
      <c r="D512" s="598"/>
      <c r="E512" s="598"/>
      <c r="F512" s="598"/>
      <c r="G512" s="601" t="s">
        <v>4747</v>
      </c>
      <c r="H512" s="601" t="s">
        <v>335</v>
      </c>
      <c r="I512" s="717"/>
      <c r="J512" s="294" t="str">
        <f>IF(ISBLANK(HLOOKUP(CaseName,CaseData,MATCH($G512,cases!$G$4:$G$2494,0),FALSE)),"",HLOOKUP(CaseName,CaseData,MATCH($G512,cases!$G$4:$G$2494,0),FALSE))</f>
        <v/>
      </c>
      <c r="K512" s="621">
        <f>(L184/L32)*L17/(L17+L18)</f>
        <v>1.5854895991882292E-12</v>
      </c>
      <c r="L512" s="680">
        <f t="shared" si="25"/>
        <v>1.5854895991882292E-12</v>
      </c>
      <c r="M512" s="601" t="s">
        <v>335</v>
      </c>
      <c r="N512" s="598" t="s">
        <v>1875</v>
      </c>
      <c r="O512" s="953"/>
      <c r="P512" s="954"/>
      <c r="Q512" s="949"/>
      <c r="R512" s="949"/>
      <c r="S512" s="949"/>
    </row>
    <row r="513" spans="1:19" s="634" customFormat="1" ht="12.75" customHeight="1" x14ac:dyDescent="0.3">
      <c r="A513" s="582" t="s">
        <v>1860</v>
      </c>
      <c r="B513" s="582"/>
      <c r="C513" s="582"/>
      <c r="D513" s="582"/>
      <c r="E513" s="582"/>
      <c r="F513" s="582"/>
      <c r="G513" s="581" t="s">
        <v>1861</v>
      </c>
      <c r="H513" s="567" t="s">
        <v>335</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335</v>
      </c>
      <c r="N513" s="566" t="s">
        <v>1862</v>
      </c>
      <c r="O513" s="664"/>
      <c r="P513" s="952"/>
      <c r="Q513" s="944"/>
      <c r="R513" s="944"/>
      <c r="S513" s="944"/>
    </row>
    <row r="514" spans="1:19" ht="12.75" customHeight="1" x14ac:dyDescent="0.3">
      <c r="A514" s="566" t="s">
        <v>1863</v>
      </c>
      <c r="B514" s="566"/>
      <c r="C514" s="566"/>
      <c r="D514" s="566"/>
      <c r="E514" s="566"/>
      <c r="F514" s="566"/>
      <c r="G514" s="567" t="s">
        <v>1864</v>
      </c>
      <c r="H514" s="567" t="s">
        <v>335</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335</v>
      </c>
      <c r="N514" s="566" t="s">
        <v>1862</v>
      </c>
      <c r="O514" s="605"/>
      <c r="P514" s="584"/>
      <c r="Q514" s="11"/>
      <c r="R514" s="11"/>
      <c r="S514" s="11"/>
    </row>
    <row r="515" spans="1:19" ht="12.75" customHeight="1" x14ac:dyDescent="0.3">
      <c r="A515" s="566" t="s">
        <v>1865</v>
      </c>
      <c r="B515" s="566"/>
      <c r="C515" s="566"/>
      <c r="D515" s="566"/>
      <c r="E515" s="566"/>
      <c r="F515" s="566"/>
      <c r="G515" s="567" t="s">
        <v>1866</v>
      </c>
      <c r="H515" s="567" t="s">
        <v>335</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335</v>
      </c>
      <c r="N515" s="566" t="s">
        <v>1862</v>
      </c>
      <c r="O515" s="605"/>
      <c r="P515" s="584"/>
      <c r="Q515" s="11"/>
      <c r="R515" s="11"/>
      <c r="S515" s="11"/>
    </row>
    <row r="516" spans="1:19" ht="12.75" customHeight="1" x14ac:dyDescent="0.3">
      <c r="A516" s="566" t="s">
        <v>1867</v>
      </c>
      <c r="B516" s="566"/>
      <c r="C516" s="566"/>
      <c r="D516" s="566"/>
      <c r="E516" s="566"/>
      <c r="F516" s="566"/>
      <c r="G516" s="567" t="s">
        <v>1868</v>
      </c>
      <c r="H516" s="567" t="s">
        <v>335</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335</v>
      </c>
      <c r="N516" s="566" t="s">
        <v>1862</v>
      </c>
      <c r="O516" s="605"/>
      <c r="P516" s="584"/>
      <c r="Q516" s="11"/>
      <c r="R516" s="11"/>
      <c r="S516" s="11"/>
    </row>
    <row r="517" spans="1:19" ht="12.75" customHeight="1" x14ac:dyDescent="0.3">
      <c r="A517" s="566" t="s">
        <v>1869</v>
      </c>
      <c r="B517" s="566"/>
      <c r="C517" s="566"/>
      <c r="D517" s="566"/>
      <c r="E517" s="566"/>
      <c r="F517" s="566"/>
      <c r="G517" s="567" t="s">
        <v>1870</v>
      </c>
      <c r="H517" s="567" t="s">
        <v>335</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335</v>
      </c>
      <c r="N517" s="566" t="s">
        <v>1862</v>
      </c>
      <c r="O517" s="605"/>
      <c r="P517" s="584"/>
      <c r="Q517" s="11"/>
      <c r="R517" s="11"/>
      <c r="S517" s="11"/>
    </row>
    <row r="518" spans="1:19" ht="12" customHeight="1" x14ac:dyDescent="0.3">
      <c r="A518" s="566" t="s">
        <v>1871</v>
      </c>
      <c r="B518" s="566"/>
      <c r="C518" s="566"/>
      <c r="D518" s="566"/>
      <c r="E518" s="566"/>
      <c r="F518" s="566"/>
      <c r="G518" s="567" t="s">
        <v>1872</v>
      </c>
      <c r="H518" s="567" t="s">
        <v>335</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335</v>
      </c>
      <c r="N518" s="566" t="s">
        <v>1862</v>
      </c>
      <c r="O518" s="605"/>
      <c r="P518" s="584"/>
      <c r="Q518" s="11"/>
      <c r="R518" s="11"/>
      <c r="S518" s="11"/>
    </row>
    <row r="519" spans="1:19" ht="12.75" customHeight="1" x14ac:dyDescent="0.3">
      <c r="A519" s="566" t="s">
        <v>1873</v>
      </c>
      <c r="B519" s="566"/>
      <c r="C519" s="566"/>
      <c r="D519" s="566"/>
      <c r="E519" s="566"/>
      <c r="F519" s="566"/>
      <c r="G519" s="567" t="s">
        <v>1874</v>
      </c>
      <c r="H519" s="567" t="s">
        <v>335</v>
      </c>
      <c r="I519" s="572"/>
      <c r="J519" s="294" t="str">
        <f>IF(ISBLANK(HLOOKUP(CaseName,CaseData,MATCH($G519,cases!$G$4:$G$2494,0),FALSE)),"",HLOOKUP(CaseName,CaseData,MATCH($G519,cases!$G$4:$G$2494,0),FALSE))</f>
        <v/>
      </c>
      <c r="K519" s="620">
        <f>(L182/L30)*L18/(L17+L18)</f>
        <v>1.7440385591070524E-11</v>
      </c>
      <c r="L519" s="298">
        <f t="shared" si="25"/>
        <v>1.7440385591070524E-11</v>
      </c>
      <c r="M519" s="567" t="s">
        <v>335</v>
      </c>
      <c r="N519" s="566" t="s">
        <v>1875</v>
      </c>
      <c r="O519" s="605"/>
      <c r="P519" s="584"/>
      <c r="Q519" s="11"/>
      <c r="R519" s="11"/>
      <c r="S519" s="11"/>
    </row>
    <row r="520" spans="1:19" ht="12.75" customHeight="1" x14ac:dyDescent="0.3">
      <c r="A520" s="566" t="s">
        <v>1876</v>
      </c>
      <c r="B520" s="566"/>
      <c r="C520" s="566"/>
      <c r="D520" s="566"/>
      <c r="E520" s="566"/>
      <c r="F520" s="566"/>
      <c r="G520" s="567" t="s">
        <v>1877</v>
      </c>
      <c r="H520" s="567" t="s">
        <v>335</v>
      </c>
      <c r="I520" s="572"/>
      <c r="J520" s="294" t="str">
        <f>IF(ISBLANK(HLOOKUP(CaseName,CaseData,MATCH($G520,cases!$G$4:$G$2494,0),FALSE)),"",HLOOKUP(CaseName,CaseData,MATCH($G520,cases!$G$4:$G$2494,0),FALSE))</f>
        <v/>
      </c>
      <c r="K520" s="620">
        <f>(L183/L31)*L18/(L17+L18)</f>
        <v>4.3600963977676309E-12</v>
      </c>
      <c r="L520" s="298">
        <f t="shared" si="25"/>
        <v>4.3600963977676309E-12</v>
      </c>
      <c r="M520" s="567" t="s">
        <v>335</v>
      </c>
      <c r="N520" s="566" t="s">
        <v>1875</v>
      </c>
      <c r="O520" s="605"/>
      <c r="P520" s="584"/>
      <c r="Q520" s="11"/>
      <c r="R520" s="11"/>
      <c r="S520" s="11"/>
    </row>
    <row r="521" spans="1:19" s="631" customFormat="1" ht="12.75" customHeight="1" x14ac:dyDescent="0.3">
      <c r="A521" s="598" t="s">
        <v>1878</v>
      </c>
      <c r="B521" s="598"/>
      <c r="C521" s="598"/>
      <c r="D521" s="598"/>
      <c r="E521" s="598"/>
      <c r="F521" s="598"/>
      <c r="G521" s="601" t="s">
        <v>1879</v>
      </c>
      <c r="H521" s="601" t="s">
        <v>335</v>
      </c>
      <c r="I521" s="717"/>
      <c r="J521" s="294" t="str">
        <f>IF(ISBLANK(HLOOKUP(CaseName,CaseData,MATCH($G521,cases!$G$4:$G$2494,0),FALSE)),"",HLOOKUP(CaseName,CaseData,MATCH($G521,cases!$G$4:$G$2494,0),FALSE))</f>
        <v/>
      </c>
      <c r="K521" s="621">
        <f>(L184/L32)*L18/(L17+L18)</f>
        <v>1.7440385591070524E-11</v>
      </c>
      <c r="L521" s="680">
        <f t="shared" si="25"/>
        <v>1.7440385591070524E-11</v>
      </c>
      <c r="M521" s="601" t="s">
        <v>335</v>
      </c>
      <c r="N521" s="598" t="s">
        <v>1875</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1880</v>
      </c>
      <c r="G523" s="632" t="s">
        <v>258</v>
      </c>
      <c r="H523" s="632" t="s">
        <v>274</v>
      </c>
      <c r="I523" s="660" t="s">
        <v>259</v>
      </c>
      <c r="J523" s="640"/>
      <c r="K523" s="660" t="s">
        <v>260</v>
      </c>
      <c r="L523" s="180" t="s">
        <v>261</v>
      </c>
      <c r="N523" s="632" t="s">
        <v>262</v>
      </c>
      <c r="O523" s="395"/>
    </row>
    <row r="524" spans="1:19" s="386" customFormat="1" ht="12.75" customHeight="1" x14ac:dyDescent="0.3">
      <c r="A524" s="567" t="s">
        <v>1315</v>
      </c>
      <c r="B524" s="566"/>
      <c r="C524" s="566"/>
      <c r="D524" s="566"/>
      <c r="E524" s="566"/>
      <c r="F524" s="566"/>
      <c r="G524" s="567" t="s">
        <v>1881</v>
      </c>
      <c r="H524" s="567" t="s">
        <v>617</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1041</v>
      </c>
      <c r="N524" s="602"/>
      <c r="O524" s="606"/>
      <c r="P524" s="577"/>
      <c r="Q524" s="751"/>
      <c r="S524" s="802"/>
    </row>
    <row r="525" spans="1:19" s="386" customFormat="1" ht="12.75" customHeight="1" x14ac:dyDescent="0.3">
      <c r="A525" s="567" t="s">
        <v>1315</v>
      </c>
      <c r="B525" s="566"/>
      <c r="C525" s="566"/>
      <c r="D525" s="566"/>
      <c r="E525" s="566"/>
      <c r="F525" s="566"/>
      <c r="G525" s="567" t="s">
        <v>1882</v>
      </c>
      <c r="H525" s="567" t="s">
        <v>617</v>
      </c>
      <c r="I525" s="711"/>
      <c r="J525" s="294" t="str">
        <f>IF(ISBLANK(HLOOKUP(CaseName,CaseData,MATCH($G525,cases!$G$4:$G$2494,0),FALSE)),"",HLOOKUP(CaseName,CaseData,MATCH($G525,cases!$G$4:$G$2494,0),FALSE))</f>
        <v/>
      </c>
      <c r="K525" s="751">
        <f>L204+kdegA.a</f>
        <v>3.663258818281463E-10</v>
      </c>
      <c r="L525" s="298">
        <f t="shared" si="26"/>
        <v>3.663258818281463E-10</v>
      </c>
      <c r="M525" s="566" t="s">
        <v>1041</v>
      </c>
      <c r="N525" s="602"/>
      <c r="O525" s="606"/>
      <c r="P525" s="577"/>
      <c r="Q525" s="751"/>
      <c r="S525" s="802"/>
    </row>
    <row r="526" spans="1:19" s="386" customFormat="1" ht="12.75" customHeight="1" x14ac:dyDescent="0.3">
      <c r="A526" s="567" t="s">
        <v>1315</v>
      </c>
      <c r="B526" s="566"/>
      <c r="C526" s="566"/>
      <c r="D526" s="566"/>
      <c r="E526" s="566"/>
      <c r="F526" s="566"/>
      <c r="G526" s="567" t="s">
        <v>1883</v>
      </c>
      <c r="H526" s="567" t="s">
        <v>617</v>
      </c>
      <c r="I526" s="711"/>
      <c r="J526" s="294" t="str">
        <f>IF(ISBLANK(HLOOKUP(CaseName,CaseData,MATCH($G526,cases!$G$4:$G$2494,0),FALSE)),"",HLOOKUP(CaseName,CaseData,MATCH($G526,cases!$G$4:$G$2494,0),FALSE))</f>
        <v/>
      </c>
      <c r="K526" s="751">
        <f>L204+kdegP.a</f>
        <v>3.663258818281463E-10</v>
      </c>
      <c r="L526" s="298">
        <f t="shared" si="26"/>
        <v>3.663258818281463E-10</v>
      </c>
      <c r="M526" s="566" t="s">
        <v>1041</v>
      </c>
      <c r="N526" s="602"/>
      <c r="O526" s="606"/>
      <c r="P526" s="577"/>
      <c r="Q526" s="751"/>
      <c r="S526" s="802"/>
    </row>
    <row r="527" spans="1:19" s="386" customFormat="1" ht="12.75" customHeight="1" x14ac:dyDescent="0.3">
      <c r="A527" s="567" t="s">
        <v>1317</v>
      </c>
      <c r="B527" s="566"/>
      <c r="C527" s="566"/>
      <c r="D527" s="566"/>
      <c r="E527" s="566"/>
      <c r="F527" s="566"/>
      <c r="G527" s="567" t="s">
        <v>1884</v>
      </c>
      <c r="H527" s="567" t="s">
        <v>617</v>
      </c>
      <c r="I527" s="711"/>
      <c r="J527" s="294" t="str">
        <f>IF(ISBLANK(HLOOKUP(CaseName,CaseData,MATCH($G527,cases!$G$4:$G$2494,0),FALSE)),"",HLOOKUP(CaseName,CaseData,MATCH($G527,cases!$G$4:$G$2494,0),FALSE))</f>
        <v/>
      </c>
      <c r="K527" s="751">
        <f>kdegS.w0</f>
        <v>0</v>
      </c>
      <c r="L527" s="298">
        <f t="shared" si="26"/>
        <v>0</v>
      </c>
      <c r="M527" s="566" t="s">
        <v>1885</v>
      </c>
      <c r="N527" s="602"/>
      <c r="O527" s="606"/>
      <c r="P527" s="577"/>
      <c r="Q527" s="751"/>
      <c r="S527" s="802"/>
    </row>
    <row r="528" spans="1:19" s="386" customFormat="1" ht="12.75" customHeight="1" x14ac:dyDescent="0.3">
      <c r="A528" s="567" t="s">
        <v>1317</v>
      </c>
      <c r="B528" s="566"/>
      <c r="C528" s="566"/>
      <c r="D528" s="566"/>
      <c r="E528" s="566"/>
      <c r="F528" s="566"/>
      <c r="G528" s="567" t="s">
        <v>1886</v>
      </c>
      <c r="H528" s="567" t="s">
        <v>617</v>
      </c>
      <c r="I528" s="711"/>
      <c r="J528" s="294" t="str">
        <f>IF(ISBLANK(HLOOKUP(CaseName,CaseData,MATCH($G528,cases!$G$4:$G$2494,0),FALSE)),"",HLOOKUP(CaseName,CaseData,MATCH($G528,cases!$G$4:$G$2494,0),FALSE))</f>
        <v/>
      </c>
      <c r="K528" s="751">
        <f>kdegA.w0</f>
        <v>0</v>
      </c>
      <c r="L528" s="298">
        <f t="shared" si="26"/>
        <v>0</v>
      </c>
      <c r="M528" s="566" t="s">
        <v>1885</v>
      </c>
      <c r="N528" s="602"/>
      <c r="O528" s="606"/>
      <c r="P528" s="577"/>
      <c r="Q528" s="751"/>
      <c r="S528" s="802"/>
    </row>
    <row r="529" spans="1:19" s="386" customFormat="1" ht="12.75" customHeight="1" x14ac:dyDescent="0.3">
      <c r="A529" s="567" t="s">
        <v>1317</v>
      </c>
      <c r="B529" s="566"/>
      <c r="C529" s="566"/>
      <c r="D529" s="566"/>
      <c r="E529" s="566"/>
      <c r="F529" s="566"/>
      <c r="G529" s="567" t="s">
        <v>1887</v>
      </c>
      <c r="H529" s="567" t="s">
        <v>617</v>
      </c>
      <c r="I529" s="711"/>
      <c r="J529" s="294" t="str">
        <f>IF(ISBLANK(HLOOKUP(CaseName,CaseData,MATCH($G529,cases!$G$4:$G$2494,0),FALSE)),"",HLOOKUP(CaseName,CaseData,MATCH($G529,cases!$G$4:$G$2494,0),FALSE))</f>
        <v/>
      </c>
      <c r="K529" s="751">
        <f>kdegP.w0</f>
        <v>0</v>
      </c>
      <c r="L529" s="298">
        <f t="shared" si="26"/>
        <v>0</v>
      </c>
      <c r="M529" s="566" t="s">
        <v>1885</v>
      </c>
      <c r="N529" s="602"/>
      <c r="O529" s="606"/>
      <c r="P529" s="577"/>
      <c r="Q529" s="751"/>
      <c r="S529" s="802"/>
    </row>
    <row r="530" spans="1:19" s="386" customFormat="1" ht="12.75" customHeight="1" x14ac:dyDescent="0.3">
      <c r="A530" s="567" t="s">
        <v>1319</v>
      </c>
      <c r="B530" s="566"/>
      <c r="C530" s="566"/>
      <c r="D530" s="566"/>
      <c r="E530" s="566"/>
      <c r="F530" s="566"/>
      <c r="G530" s="567" t="s">
        <v>1888</v>
      </c>
      <c r="H530" s="567" t="s">
        <v>617</v>
      </c>
      <c r="I530" s="711"/>
      <c r="J530" s="294" t="str">
        <f>IF(ISBLANK(HLOOKUP(CaseName,CaseData,MATCH($G530,cases!$G$4:$G$2494,0),FALSE)),"",HLOOKUP(CaseName,CaseData,MATCH($G530,cases!$G$4:$G$2494,0),FALSE))</f>
        <v/>
      </c>
      <c r="K530" s="751">
        <f>kdegS.w1</f>
        <v>0</v>
      </c>
      <c r="L530" s="298">
        <f t="shared" si="26"/>
        <v>0</v>
      </c>
      <c r="M530" s="566" t="s">
        <v>1885</v>
      </c>
      <c r="N530" s="602"/>
      <c r="O530" s="606"/>
      <c r="P530" s="577"/>
      <c r="Q530" s="751"/>
      <c r="S530" s="802"/>
    </row>
    <row r="531" spans="1:19" s="386" customFormat="1" ht="12.75" customHeight="1" x14ac:dyDescent="0.3">
      <c r="A531" s="567" t="s">
        <v>1319</v>
      </c>
      <c r="B531" s="566"/>
      <c r="C531" s="566"/>
      <c r="D531" s="566"/>
      <c r="E531" s="566"/>
      <c r="F531" s="566"/>
      <c r="G531" s="567" t="s">
        <v>1889</v>
      </c>
      <c r="H531" s="567" t="s">
        <v>617</v>
      </c>
      <c r="I531" s="711"/>
      <c r="J531" s="294" t="str">
        <f>IF(ISBLANK(HLOOKUP(CaseName,CaseData,MATCH($G531,cases!$G$4:$G$2494,0),FALSE)),"",HLOOKUP(CaseName,CaseData,MATCH($G531,cases!$G$4:$G$2494,0),FALSE))</f>
        <v/>
      </c>
      <c r="K531" s="751">
        <f>kdegA.w1</f>
        <v>0</v>
      </c>
      <c r="L531" s="298">
        <f t="shared" si="26"/>
        <v>0</v>
      </c>
      <c r="M531" s="566" t="s">
        <v>1885</v>
      </c>
      <c r="N531" s="602"/>
      <c r="O531" s="606"/>
      <c r="P531" s="577"/>
      <c r="Q531" s="751"/>
      <c r="S531" s="802"/>
    </row>
    <row r="532" spans="1:19" s="386" customFormat="1" ht="12.75" customHeight="1" x14ac:dyDescent="0.3">
      <c r="A532" s="567" t="s">
        <v>1319</v>
      </c>
      <c r="B532" s="566"/>
      <c r="C532" s="566"/>
      <c r="D532" s="566"/>
      <c r="E532" s="566"/>
      <c r="F532" s="566"/>
      <c r="G532" s="567" t="s">
        <v>1890</v>
      </c>
      <c r="H532" s="567" t="s">
        <v>617</v>
      </c>
      <c r="I532" s="711"/>
      <c r="J532" s="294" t="str">
        <f>IF(ISBLANK(HLOOKUP(CaseName,CaseData,MATCH($G532,cases!$G$4:$G$2494,0),FALSE)),"",HLOOKUP(CaseName,CaseData,MATCH($G532,cases!$G$4:$G$2494,0),FALSE))</f>
        <v/>
      </c>
      <c r="K532" s="751">
        <f>kdegP.w1</f>
        <v>0</v>
      </c>
      <c r="L532" s="298">
        <f t="shared" si="26"/>
        <v>0</v>
      </c>
      <c r="M532" s="566" t="s">
        <v>1885</v>
      </c>
      <c r="N532" s="602"/>
      <c r="O532" s="606"/>
      <c r="P532" s="577"/>
      <c r="Q532" s="751"/>
      <c r="S532" s="802"/>
    </row>
    <row r="533" spans="1:19" s="386" customFormat="1" ht="12.75" customHeight="1" x14ac:dyDescent="0.3">
      <c r="A533" s="567" t="s">
        <v>1321</v>
      </c>
      <c r="B533" s="566"/>
      <c r="C533" s="566"/>
      <c r="D533" s="566"/>
      <c r="E533" s="566"/>
      <c r="F533" s="566"/>
      <c r="G533" s="567" t="s">
        <v>1891</v>
      </c>
      <c r="H533" s="567" t="s">
        <v>617</v>
      </c>
      <c r="I533" s="711"/>
      <c r="J533" s="294" t="str">
        <f>IF(ISBLANK(HLOOKUP(CaseName,CaseData,MATCH($G533,cases!$G$4:$G$2494,0),FALSE)),"",HLOOKUP(CaseName,CaseData,MATCH($G533,cases!$G$4:$G$2494,0),FALSE))</f>
        <v/>
      </c>
      <c r="K533" s="751">
        <f>kdegS.w2</f>
        <v>0</v>
      </c>
      <c r="L533" s="298">
        <f t="shared" si="26"/>
        <v>0</v>
      </c>
      <c r="M533" s="566" t="s">
        <v>1885</v>
      </c>
      <c r="N533" s="602"/>
      <c r="O533" s="606"/>
      <c r="P533" s="577"/>
      <c r="Q533" s="751"/>
      <c r="S533" s="802"/>
    </row>
    <row r="534" spans="1:19" s="386" customFormat="1" ht="12.75" customHeight="1" x14ac:dyDescent="0.3">
      <c r="A534" s="567" t="s">
        <v>1321</v>
      </c>
      <c r="B534" s="566"/>
      <c r="C534" s="566"/>
      <c r="D534" s="566"/>
      <c r="E534" s="566"/>
      <c r="F534" s="566"/>
      <c r="G534" s="567" t="s">
        <v>1892</v>
      </c>
      <c r="H534" s="567" t="s">
        <v>617</v>
      </c>
      <c r="I534" s="711"/>
      <c r="J534" s="294" t="str">
        <f>IF(ISBLANK(HLOOKUP(CaseName,CaseData,MATCH($G534,cases!$G$4:$G$2494,0),FALSE)),"",HLOOKUP(CaseName,CaseData,MATCH($G534,cases!$G$4:$G$2494,0),FALSE))</f>
        <v/>
      </c>
      <c r="K534" s="751">
        <f>kdegA.w2</f>
        <v>0</v>
      </c>
      <c r="L534" s="298">
        <f t="shared" si="26"/>
        <v>0</v>
      </c>
      <c r="M534" s="566" t="s">
        <v>1885</v>
      </c>
      <c r="N534" s="602"/>
      <c r="O534" s="606"/>
      <c r="P534" s="577"/>
      <c r="Q534" s="751"/>
      <c r="S534" s="802"/>
    </row>
    <row r="535" spans="1:19" s="386" customFormat="1" ht="12.75" customHeight="1" x14ac:dyDescent="0.3">
      <c r="A535" s="567" t="s">
        <v>1321</v>
      </c>
      <c r="B535" s="566"/>
      <c r="C535" s="566"/>
      <c r="D535" s="566"/>
      <c r="E535" s="566"/>
      <c r="F535" s="566"/>
      <c r="G535" s="567" t="s">
        <v>1893</v>
      </c>
      <c r="H535" s="567" t="s">
        <v>617</v>
      </c>
      <c r="I535" s="711"/>
      <c r="J535" s="294" t="str">
        <f>IF(ISBLANK(HLOOKUP(CaseName,CaseData,MATCH($G535,cases!$G$4:$G$2494,0),FALSE)),"",HLOOKUP(CaseName,CaseData,MATCH($G535,cases!$G$4:$G$2494,0),FALSE))</f>
        <v/>
      </c>
      <c r="K535" s="751">
        <f>kdegP.w2</f>
        <v>0</v>
      </c>
      <c r="L535" s="298">
        <f t="shared" si="26"/>
        <v>0</v>
      </c>
      <c r="M535" s="566" t="s">
        <v>1885</v>
      </c>
      <c r="N535" s="602"/>
      <c r="O535" s="606"/>
      <c r="P535" s="577"/>
      <c r="Q535" s="751"/>
      <c r="S535" s="802"/>
    </row>
    <row r="536" spans="1:19" s="386" customFormat="1" ht="12.75" customHeight="1" x14ac:dyDescent="0.3">
      <c r="A536" s="567" t="s">
        <v>1323</v>
      </c>
      <c r="B536" s="566"/>
      <c r="C536" s="566"/>
      <c r="D536" s="566"/>
      <c r="E536" s="566"/>
      <c r="F536" s="566"/>
      <c r="G536" s="567" t="s">
        <v>1894</v>
      </c>
      <c r="H536" s="567" t="s">
        <v>617</v>
      </c>
      <c r="I536" s="711"/>
      <c r="J536" s="294" t="str">
        <f>IF(ISBLANK(HLOOKUP(CaseName,CaseData,MATCH($G536,cases!$G$4:$G$2494,0),FALSE)),"",HLOOKUP(CaseName,CaseData,MATCH($G536,cases!$G$4:$G$2494,0),FALSE))</f>
        <v/>
      </c>
      <c r="K536" s="697">
        <f>L557+kdegS.sd0</f>
        <v>2.8953682563842399E-9</v>
      </c>
      <c r="L536" s="298">
        <f t="shared" si="26"/>
        <v>2.8953682563842399E-9</v>
      </c>
      <c r="M536" s="566" t="s">
        <v>1885</v>
      </c>
      <c r="N536" s="602"/>
      <c r="O536" s="606"/>
      <c r="P536" s="577"/>
      <c r="Q536" s="697"/>
      <c r="S536" s="802"/>
    </row>
    <row r="537" spans="1:19" s="386" customFormat="1" ht="12.75" customHeight="1" x14ac:dyDescent="0.3">
      <c r="A537" s="567" t="s">
        <v>1323</v>
      </c>
      <c r="B537" s="566"/>
      <c r="C537" s="566"/>
      <c r="D537" s="566"/>
      <c r="E537" s="566"/>
      <c r="F537" s="566"/>
      <c r="G537" s="567" t="s">
        <v>1895</v>
      </c>
      <c r="H537" s="567" t="s">
        <v>617</v>
      </c>
      <c r="I537" s="711"/>
      <c r="J537" s="294" t="str">
        <f>IF(ISBLANK(HLOOKUP(CaseName,CaseData,MATCH($G537,cases!$G$4:$G$2494,0),FALSE)),"",HLOOKUP(CaseName,CaseData,MATCH($G537,cases!$G$4:$G$2494,0),FALSE))</f>
        <v/>
      </c>
      <c r="K537" s="697">
        <f>L557+kdegA.sd0</f>
        <v>2.8953682563842399E-9</v>
      </c>
      <c r="L537" s="298">
        <f t="shared" si="26"/>
        <v>2.8953682563842399E-9</v>
      </c>
      <c r="M537" s="566" t="s">
        <v>1885</v>
      </c>
      <c r="N537" s="602"/>
      <c r="O537" s="606"/>
      <c r="P537" s="577"/>
      <c r="Q537" s="697"/>
      <c r="S537" s="802"/>
    </row>
    <row r="538" spans="1:19" s="386" customFormat="1" ht="12.75" customHeight="1" x14ac:dyDescent="0.3">
      <c r="A538" s="567" t="s">
        <v>1323</v>
      </c>
      <c r="B538" s="566"/>
      <c r="C538" s="566"/>
      <c r="D538" s="566"/>
      <c r="E538" s="566"/>
      <c r="F538" s="566"/>
      <c r="G538" s="567" t="s">
        <v>1896</v>
      </c>
      <c r="H538" s="567" t="s">
        <v>617</v>
      </c>
      <c r="I538" s="711"/>
      <c r="J538" s="294" t="str">
        <f>IF(ISBLANK(HLOOKUP(CaseName,CaseData,MATCH($G538,cases!$G$4:$G$2494,0),FALSE)),"",HLOOKUP(CaseName,CaseData,MATCH($G538,cases!$G$4:$G$2494,0),FALSE))</f>
        <v/>
      </c>
      <c r="K538" s="697">
        <f>L557+kdegP.sd0</f>
        <v>2.8953682563842399E-9</v>
      </c>
      <c r="L538" s="298">
        <f t="shared" si="26"/>
        <v>2.8953682563842399E-9</v>
      </c>
      <c r="M538" s="566" t="s">
        <v>1885</v>
      </c>
      <c r="N538" s="602"/>
      <c r="O538" s="606"/>
      <c r="P538" s="577"/>
      <c r="Q538" s="697"/>
      <c r="S538" s="802"/>
    </row>
    <row r="539" spans="1:19" s="386" customFormat="1" ht="12.75" customHeight="1" x14ac:dyDescent="0.3">
      <c r="A539" s="567" t="s">
        <v>1325</v>
      </c>
      <c r="B539" s="566"/>
      <c r="C539" s="566"/>
      <c r="D539" s="566"/>
      <c r="E539" s="566"/>
      <c r="F539" s="566"/>
      <c r="G539" s="567" t="s">
        <v>1897</v>
      </c>
      <c r="H539" s="567" t="s">
        <v>617</v>
      </c>
      <c r="I539" s="711"/>
      <c r="J539" s="294" t="str">
        <f>IF(ISBLANK(HLOOKUP(CaseName,CaseData,MATCH($G539,cases!$G$4:$G$2494,0),FALSE)),"",HLOOKUP(CaseName,CaseData,MATCH($G539,cases!$G$4:$G$2494,0),FALSE))</f>
        <v/>
      </c>
      <c r="K539" s="697">
        <f>L558+kdegS.sd1</f>
        <v>2.8953682563842399E-9</v>
      </c>
      <c r="L539" s="298">
        <f t="shared" si="26"/>
        <v>2.8953682563842399E-9</v>
      </c>
      <c r="M539" s="566" t="s">
        <v>1885</v>
      </c>
      <c r="N539" s="602"/>
      <c r="O539" s="606"/>
      <c r="P539" s="577"/>
      <c r="Q539" s="697"/>
      <c r="S539" s="802"/>
    </row>
    <row r="540" spans="1:19" s="386" customFormat="1" ht="12.75" customHeight="1" x14ac:dyDescent="0.3">
      <c r="A540" s="567" t="s">
        <v>1325</v>
      </c>
      <c r="B540" s="566"/>
      <c r="C540" s="566"/>
      <c r="D540" s="566"/>
      <c r="E540" s="566"/>
      <c r="F540" s="566"/>
      <c r="G540" s="567" t="s">
        <v>1898</v>
      </c>
      <c r="H540" s="567" t="s">
        <v>617</v>
      </c>
      <c r="I540" s="711"/>
      <c r="J540" s="294" t="str">
        <f>IF(ISBLANK(HLOOKUP(CaseName,CaseData,MATCH($G540,cases!$G$4:$G$2494,0),FALSE)),"",HLOOKUP(CaseName,CaseData,MATCH($G540,cases!$G$4:$G$2494,0),FALSE))</f>
        <v/>
      </c>
      <c r="K540" s="697">
        <f>L558+kdegA.sd1</f>
        <v>2.8953682563842399E-9</v>
      </c>
      <c r="L540" s="298">
        <f t="shared" si="26"/>
        <v>2.8953682563842399E-9</v>
      </c>
      <c r="M540" s="566" t="s">
        <v>1885</v>
      </c>
      <c r="N540" s="602"/>
      <c r="O540" s="606"/>
      <c r="P540" s="577"/>
      <c r="Q540" s="697"/>
      <c r="S540" s="802"/>
    </row>
    <row r="541" spans="1:19" s="386" customFormat="1" ht="12.75" customHeight="1" x14ac:dyDescent="0.3">
      <c r="A541" s="567" t="s">
        <v>1325</v>
      </c>
      <c r="B541" s="566"/>
      <c r="C541" s="566"/>
      <c r="D541" s="566"/>
      <c r="E541" s="566"/>
      <c r="F541" s="566"/>
      <c r="G541" s="567" t="s">
        <v>1899</v>
      </c>
      <c r="H541" s="567" t="s">
        <v>617</v>
      </c>
      <c r="I541" s="711"/>
      <c r="J541" s="294" t="str">
        <f>IF(ISBLANK(HLOOKUP(CaseName,CaseData,MATCH($G541,cases!$G$4:$G$2494,0),FALSE)),"",HLOOKUP(CaseName,CaseData,MATCH($G541,cases!$G$4:$G$2494,0),FALSE))</f>
        <v/>
      </c>
      <c r="K541" s="697">
        <f>L558+kdegP.sd1</f>
        <v>2.8953682563842399E-9</v>
      </c>
      <c r="L541" s="298">
        <f t="shared" si="26"/>
        <v>2.8953682563842399E-9</v>
      </c>
      <c r="M541" s="566" t="s">
        <v>1885</v>
      </c>
      <c r="N541" s="602"/>
      <c r="O541" s="606"/>
      <c r="P541" s="577"/>
      <c r="Q541" s="697"/>
      <c r="S541" s="802"/>
    </row>
    <row r="542" spans="1:19" s="386" customFormat="1" ht="12.75" customHeight="1" x14ac:dyDescent="0.3">
      <c r="A542" s="567" t="s">
        <v>1327</v>
      </c>
      <c r="B542" s="566"/>
      <c r="C542" s="566"/>
      <c r="D542" s="566"/>
      <c r="E542" s="566"/>
      <c r="F542" s="566"/>
      <c r="G542" s="567" t="s">
        <v>1900</v>
      </c>
      <c r="H542" s="567" t="s">
        <v>617</v>
      </c>
      <c r="I542" s="711"/>
      <c r="J542" s="294" t="str">
        <f>IF(ISBLANK(HLOOKUP(CaseName,CaseData,MATCH($G542,cases!$G$4:$G$2494,0),FALSE)),"",HLOOKUP(CaseName,CaseData,MATCH($G542,cases!$G$4:$G$2494,0),FALSE))</f>
        <v/>
      </c>
      <c r="K542" s="697">
        <f>L559+kdegS.sd2</f>
        <v>9.1429324158650348E-10</v>
      </c>
      <c r="L542" s="298">
        <f t="shared" si="26"/>
        <v>9.1429324158650348E-10</v>
      </c>
      <c r="M542" s="566" t="s">
        <v>1885</v>
      </c>
      <c r="N542" s="602"/>
      <c r="O542" s="606"/>
      <c r="P542" s="577"/>
      <c r="Q542" s="697"/>
      <c r="S542" s="802"/>
    </row>
    <row r="543" spans="1:19" s="386" customFormat="1" ht="12.75" customHeight="1" x14ac:dyDescent="0.3">
      <c r="A543" s="567" t="s">
        <v>1327</v>
      </c>
      <c r="B543" s="566"/>
      <c r="C543" s="566"/>
      <c r="D543" s="566"/>
      <c r="E543" s="566"/>
      <c r="F543" s="566"/>
      <c r="G543" s="567" t="s">
        <v>1901</v>
      </c>
      <c r="H543" s="567" t="s">
        <v>617</v>
      </c>
      <c r="I543" s="711"/>
      <c r="J543" s="294" t="str">
        <f>IF(ISBLANK(HLOOKUP(CaseName,CaseData,MATCH($G543,cases!$G$4:$G$2494,0),FALSE)),"",HLOOKUP(CaseName,CaseData,MATCH($G543,cases!$G$4:$G$2494,0),FALSE))</f>
        <v/>
      </c>
      <c r="K543" s="697">
        <f>L559+kdegA.sd2</f>
        <v>9.1429324158650348E-10</v>
      </c>
      <c r="L543" s="298">
        <f t="shared" si="26"/>
        <v>9.1429324158650348E-10</v>
      </c>
      <c r="M543" s="566" t="s">
        <v>1885</v>
      </c>
      <c r="N543" s="602"/>
      <c r="O543" s="606"/>
      <c r="P543" s="577"/>
      <c r="Q543" s="697"/>
      <c r="S543" s="802"/>
    </row>
    <row r="544" spans="1:19" s="386" customFormat="1" ht="12.75" customHeight="1" x14ac:dyDescent="0.3">
      <c r="A544" s="567" t="s">
        <v>1327</v>
      </c>
      <c r="B544" s="566"/>
      <c r="C544" s="566"/>
      <c r="D544" s="566"/>
      <c r="E544" s="566"/>
      <c r="F544" s="566"/>
      <c r="G544" s="567" t="s">
        <v>1902</v>
      </c>
      <c r="H544" s="567" t="s">
        <v>617</v>
      </c>
      <c r="I544" s="711"/>
      <c r="J544" s="294" t="str">
        <f>IF(ISBLANK(HLOOKUP(CaseName,CaseData,MATCH($G544,cases!$G$4:$G$2494,0),FALSE)),"",HLOOKUP(CaseName,CaseData,MATCH($G544,cases!$G$4:$G$2494,0),FALSE))</f>
        <v/>
      </c>
      <c r="K544" s="697">
        <f>L559+kdegP.sd2</f>
        <v>9.1429324158650348E-10</v>
      </c>
      <c r="L544" s="298">
        <f t="shared" si="26"/>
        <v>9.1429324158650348E-10</v>
      </c>
      <c r="M544" s="566" t="s">
        <v>1885</v>
      </c>
      <c r="N544" s="602"/>
      <c r="O544" s="606"/>
      <c r="P544" s="577"/>
      <c r="Q544" s="697"/>
      <c r="S544" s="802"/>
    </row>
    <row r="545" spans="1:19" s="386" customFormat="1" ht="12.75" customHeight="1" x14ac:dyDescent="0.3">
      <c r="A545" s="567" t="s">
        <v>1329</v>
      </c>
      <c r="B545" s="566"/>
      <c r="C545" s="566"/>
      <c r="D545" s="566"/>
      <c r="E545" s="566"/>
      <c r="F545" s="566"/>
      <c r="G545" s="567" t="s">
        <v>1903</v>
      </c>
      <c r="H545" s="567" t="s">
        <v>617</v>
      </c>
      <c r="I545" s="711"/>
      <c r="J545" s="294" t="str">
        <f>IF(ISBLANK(HLOOKUP(CaseName,CaseData,MATCH($G545,cases!$G$4:$G$2494,0),FALSE)),"",HLOOKUP(CaseName,CaseData,MATCH($G545,cases!$G$4:$G$2494,0),FALSE))</f>
        <v/>
      </c>
      <c r="K545" s="697">
        <f>L554+kdegS.s1</f>
        <v>9.5027244249711473E-10</v>
      </c>
      <c r="L545" s="298">
        <f t="shared" si="26"/>
        <v>9.5027244249711473E-10</v>
      </c>
      <c r="M545" s="566" t="s">
        <v>1885</v>
      </c>
      <c r="N545" s="602"/>
      <c r="O545" s="606"/>
      <c r="P545" s="577"/>
      <c r="Q545" s="697"/>
      <c r="S545" s="802"/>
    </row>
    <row r="546" spans="1:19" s="386" customFormat="1" ht="12.75" customHeight="1" x14ac:dyDescent="0.3">
      <c r="A546" s="567" t="s">
        <v>1329</v>
      </c>
      <c r="B546" s="566"/>
      <c r="C546" s="566"/>
      <c r="D546" s="566"/>
      <c r="E546" s="566"/>
      <c r="F546" s="566"/>
      <c r="G546" s="567" t="s">
        <v>1904</v>
      </c>
      <c r="H546" s="567" t="s">
        <v>617</v>
      </c>
      <c r="I546" s="711"/>
      <c r="J546" s="294" t="str">
        <f>IF(ISBLANK(HLOOKUP(CaseName,CaseData,MATCH($G546,cases!$G$4:$G$2494,0),FALSE)),"",HLOOKUP(CaseName,CaseData,MATCH($G546,cases!$G$4:$G$2494,0),FALSE))</f>
        <v/>
      </c>
      <c r="K546" s="697">
        <f>L554+kdegA.s1</f>
        <v>9.5027244249711473E-10</v>
      </c>
      <c r="L546" s="298">
        <f t="shared" si="26"/>
        <v>9.5027244249711473E-10</v>
      </c>
      <c r="M546" s="566" t="s">
        <v>1885</v>
      </c>
      <c r="N546" s="602"/>
      <c r="O546" s="606"/>
      <c r="P546" s="577"/>
      <c r="Q546" s="697"/>
      <c r="S546" s="802"/>
    </row>
    <row r="547" spans="1:19" s="386" customFormat="1" ht="12.75" customHeight="1" x14ac:dyDescent="0.3">
      <c r="A547" s="567" t="s">
        <v>1329</v>
      </c>
      <c r="B547" s="566"/>
      <c r="C547" s="566"/>
      <c r="D547" s="566"/>
      <c r="E547" s="566"/>
      <c r="F547" s="566"/>
      <c r="G547" s="567" t="s">
        <v>1905</v>
      </c>
      <c r="H547" s="567" t="s">
        <v>617</v>
      </c>
      <c r="I547" s="711"/>
      <c r="J547" s="294" t="str">
        <f>IF(ISBLANK(HLOOKUP(CaseName,CaseData,MATCH($G547,cases!$G$4:$G$2494,0),FALSE)),"",HLOOKUP(CaseName,CaseData,MATCH($G547,cases!$G$4:$G$2494,0),FALSE))</f>
        <v/>
      </c>
      <c r="K547" s="751">
        <f>kdegP.s1</f>
        <v>0</v>
      </c>
      <c r="L547" s="298">
        <f t="shared" si="26"/>
        <v>0</v>
      </c>
      <c r="M547" s="566" t="s">
        <v>1885</v>
      </c>
      <c r="N547" s="602"/>
      <c r="O547" s="606"/>
      <c r="P547" s="577"/>
      <c r="Q547" s="751"/>
      <c r="S547" s="802"/>
    </row>
    <row r="548" spans="1:19" s="386" customFormat="1" ht="12.75" customHeight="1" x14ac:dyDescent="0.3">
      <c r="A548" s="567" t="s">
        <v>1331</v>
      </c>
      <c r="B548" s="566"/>
      <c r="C548" s="566"/>
      <c r="D548" s="566"/>
      <c r="E548" s="566"/>
      <c r="F548" s="566"/>
      <c r="G548" s="567" t="s">
        <v>1906</v>
      </c>
      <c r="H548" s="567" t="s">
        <v>617</v>
      </c>
      <c r="I548" s="711"/>
      <c r="J548" s="294" t="str">
        <f>IF(ISBLANK(HLOOKUP(CaseName,CaseData,MATCH($G548,cases!$G$4:$G$2494,0),FALSE)),"",HLOOKUP(CaseName,CaseData,MATCH($G548,cases!$G$4:$G$2494,0),FALSE))</f>
        <v/>
      </c>
      <c r="K548" s="697">
        <f>L555+kdegS.s2</f>
        <v>4.3242549833905347E-10</v>
      </c>
      <c r="L548" s="298">
        <f t="shared" si="26"/>
        <v>4.3242549833905347E-10</v>
      </c>
      <c r="M548" s="566" t="s">
        <v>1885</v>
      </c>
      <c r="N548" s="602"/>
      <c r="O548" s="606"/>
      <c r="P548" s="577"/>
      <c r="Q548" s="697"/>
      <c r="S548" s="802"/>
    </row>
    <row r="549" spans="1:19" s="386" customFormat="1" ht="12.75" customHeight="1" x14ac:dyDescent="0.3">
      <c r="A549" s="567" t="s">
        <v>1331</v>
      </c>
      <c r="B549" s="566"/>
      <c r="C549" s="566"/>
      <c r="D549" s="566"/>
      <c r="E549" s="566"/>
      <c r="F549" s="566"/>
      <c r="G549" s="567" t="s">
        <v>1907</v>
      </c>
      <c r="H549" s="567" t="s">
        <v>617</v>
      </c>
      <c r="I549" s="711"/>
      <c r="J549" s="294" t="str">
        <f>IF(ISBLANK(HLOOKUP(CaseName,CaseData,MATCH($G549,cases!$G$4:$G$2494,0),FALSE)),"",HLOOKUP(CaseName,CaseData,MATCH($G549,cases!$G$4:$G$2494,0),FALSE))</f>
        <v/>
      </c>
      <c r="K549" s="697">
        <f>L555+kdegA.s2</f>
        <v>4.3242549833905347E-10</v>
      </c>
      <c r="L549" s="298">
        <f t="shared" si="26"/>
        <v>4.3242549833905347E-10</v>
      </c>
      <c r="M549" s="566" t="s">
        <v>1885</v>
      </c>
      <c r="N549" s="602"/>
      <c r="O549" s="606"/>
      <c r="P549" s="577"/>
      <c r="Q549" s="697"/>
      <c r="S549" s="802"/>
    </row>
    <row r="550" spans="1:19" s="386" customFormat="1" ht="12.75" customHeight="1" x14ac:dyDescent="0.3">
      <c r="A550" s="567" t="s">
        <v>1331</v>
      </c>
      <c r="B550" s="566"/>
      <c r="C550" s="566"/>
      <c r="D550" s="566"/>
      <c r="E550" s="566"/>
      <c r="F550" s="566"/>
      <c r="G550" s="567" t="s">
        <v>1908</v>
      </c>
      <c r="H550" s="567" t="s">
        <v>617</v>
      </c>
      <c r="I550" s="711"/>
      <c r="J550" s="294" t="str">
        <f>IF(ISBLANK(HLOOKUP(CaseName,CaseData,MATCH($G550,cases!$G$4:$G$2494,0),FALSE)),"",HLOOKUP(CaseName,CaseData,MATCH($G550,cases!$G$4:$G$2494,0),FALSE))</f>
        <v/>
      </c>
      <c r="K550" s="751">
        <f>kdegP.s2</f>
        <v>0</v>
      </c>
      <c r="L550" s="298">
        <f t="shared" si="26"/>
        <v>0</v>
      </c>
      <c r="M550" s="566" t="s">
        <v>1885</v>
      </c>
      <c r="N550" s="602"/>
      <c r="O550" s="606"/>
      <c r="P550" s="577"/>
      <c r="Q550" s="751"/>
      <c r="S550" s="802"/>
    </row>
    <row r="551" spans="1:19" s="386" customFormat="1" ht="12.75" customHeight="1" x14ac:dyDescent="0.3">
      <c r="A551" s="567" t="s">
        <v>1333</v>
      </c>
      <c r="B551" s="566"/>
      <c r="C551" s="566"/>
      <c r="D551" s="566"/>
      <c r="E551" s="566"/>
      <c r="F551" s="566"/>
      <c r="G551" s="567" t="s">
        <v>1909</v>
      </c>
      <c r="H551" s="567" t="s">
        <v>617</v>
      </c>
      <c r="I551" s="711"/>
      <c r="J551" s="294" t="str">
        <f>IF(ISBLANK(HLOOKUP(CaseName,CaseData,MATCH($G551,cases!$G$4:$G$2494,0),FALSE)),"",HLOOKUP(CaseName,CaseData,MATCH($G551,cases!$G$4:$G$2494,0),FALSE))</f>
        <v/>
      </c>
      <c r="K551" s="697">
        <f>L556+kdegS.s3</f>
        <v>9.5027244249711473E-10</v>
      </c>
      <c r="L551" s="298">
        <f t="shared" si="26"/>
        <v>9.5027244249711473E-10</v>
      </c>
      <c r="M551" s="566" t="s">
        <v>1885</v>
      </c>
      <c r="N551" s="602"/>
      <c r="O551" s="606"/>
      <c r="P551" s="577"/>
      <c r="Q551" s="697"/>
      <c r="S551" s="802"/>
    </row>
    <row r="552" spans="1:19" s="386" customFormat="1" ht="12.75" customHeight="1" x14ac:dyDescent="0.3">
      <c r="A552" s="567" t="s">
        <v>1333</v>
      </c>
      <c r="B552" s="566"/>
      <c r="C552" s="566"/>
      <c r="D552" s="566"/>
      <c r="E552" s="566"/>
      <c r="F552" s="566"/>
      <c r="G552" s="567" t="s">
        <v>1910</v>
      </c>
      <c r="H552" s="567" t="s">
        <v>617</v>
      </c>
      <c r="I552" s="711"/>
      <c r="J552" s="294" t="str">
        <f>IF(ISBLANK(HLOOKUP(CaseName,CaseData,MATCH($G552,cases!$G$4:$G$2494,0),FALSE)),"",HLOOKUP(CaseName,CaseData,MATCH($G552,cases!$G$4:$G$2494,0),FALSE))</f>
        <v/>
      </c>
      <c r="K552" s="697">
        <f>L556+kdegA.s3</f>
        <v>9.5027244249711473E-10</v>
      </c>
      <c r="L552" s="298">
        <f t="shared" si="26"/>
        <v>9.5027244249711473E-10</v>
      </c>
      <c r="M552" s="566" t="s">
        <v>1885</v>
      </c>
      <c r="N552" s="602"/>
      <c r="O552" s="606"/>
      <c r="P552" s="577"/>
      <c r="Q552" s="697"/>
      <c r="S552" s="802"/>
    </row>
    <row r="553" spans="1:19" s="386" customFormat="1" ht="12.75" customHeight="1" x14ac:dyDescent="0.3">
      <c r="A553" s="567" t="s">
        <v>1333</v>
      </c>
      <c r="B553" s="566"/>
      <c r="C553" s="566"/>
      <c r="D553" s="566"/>
      <c r="E553" s="566"/>
      <c r="F553" s="566"/>
      <c r="G553" s="567" t="s">
        <v>1911</v>
      </c>
      <c r="H553" s="567" t="s">
        <v>617</v>
      </c>
      <c r="I553" s="711"/>
      <c r="J553" s="294" t="str">
        <f>IF(ISBLANK(HLOOKUP(CaseName,CaseData,MATCH($G553,cases!$G$4:$G$2494,0),FALSE)),"",HLOOKUP(CaseName,CaseData,MATCH($G553,cases!$G$4:$G$2494,0),FALSE))</f>
        <v/>
      </c>
      <c r="K553" s="751">
        <f>kdegP.s3</f>
        <v>0</v>
      </c>
      <c r="L553" s="298">
        <f t="shared" si="26"/>
        <v>0</v>
      </c>
      <c r="M553" s="566" t="s">
        <v>1885</v>
      </c>
      <c r="N553" s="602"/>
      <c r="O553" s="606"/>
      <c r="P553" s="577"/>
      <c r="Q553" s="751"/>
      <c r="S553" s="802"/>
    </row>
    <row r="554" spans="1:19" ht="12.75" customHeight="1" x14ac:dyDescent="0.3">
      <c r="A554" s="566"/>
      <c r="B554" s="566" t="s">
        <v>1912</v>
      </c>
      <c r="C554" s="566"/>
      <c r="D554" s="566"/>
      <c r="E554" s="566"/>
      <c r="F554" s="566"/>
      <c r="G554" s="567" t="s">
        <v>1913</v>
      </c>
      <c r="H554" s="567" t="s">
        <v>335</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1885</v>
      </c>
      <c r="N554" s="566" t="s">
        <v>1914</v>
      </c>
      <c r="O554" s="605"/>
      <c r="P554" s="584"/>
      <c r="Q554" s="11"/>
      <c r="R554" s="11"/>
      <c r="S554" s="11"/>
    </row>
    <row r="555" spans="1:19" ht="12.75" customHeight="1" x14ac:dyDescent="0.3">
      <c r="A555" s="566"/>
      <c r="B555" s="566" t="s">
        <v>1915</v>
      </c>
      <c r="C555" s="566"/>
      <c r="D555" s="566"/>
      <c r="E555" s="566"/>
      <c r="F555" s="566"/>
      <c r="G555" s="567" t="s">
        <v>1916</v>
      </c>
      <c r="H555" s="567" t="s">
        <v>335</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1885</v>
      </c>
      <c r="N555" s="566" t="s">
        <v>1914</v>
      </c>
      <c r="O555" s="605"/>
      <c r="P555" s="584"/>
      <c r="Q555" s="11"/>
      <c r="R555" s="11"/>
      <c r="S555" s="11"/>
    </row>
    <row r="556" spans="1:19" ht="12.75" customHeight="1" x14ac:dyDescent="0.3">
      <c r="A556" s="566"/>
      <c r="B556" s="566" t="s">
        <v>1917</v>
      </c>
      <c r="C556" s="566"/>
      <c r="D556" s="566"/>
      <c r="E556" s="566"/>
      <c r="F556" s="566"/>
      <c r="G556" s="567" t="s">
        <v>1918</v>
      </c>
      <c r="H556" s="567" t="s">
        <v>335</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1885</v>
      </c>
      <c r="N556" s="566" t="s">
        <v>1914</v>
      </c>
      <c r="O556" s="605"/>
      <c r="P556" s="584"/>
      <c r="Q556" s="11"/>
      <c r="R556" s="11"/>
      <c r="S556" s="802"/>
    </row>
    <row r="557" spans="1:19" ht="12.75" customHeight="1" x14ac:dyDescent="0.3">
      <c r="A557" s="566"/>
      <c r="B557" s="566" t="s">
        <v>1919</v>
      </c>
      <c r="C557" s="566"/>
      <c r="D557" s="566"/>
      <c r="E557" s="566"/>
      <c r="F557" s="566"/>
      <c r="G557" s="567" t="s">
        <v>1920</v>
      </c>
      <c r="H557" s="567" t="s">
        <v>335</v>
      </c>
      <c r="I557" s="711"/>
      <c r="J557" s="294" t="str">
        <f>IF(ISBLANK(HLOOKUP(CaseName,CaseData,MATCH($G557,cases!$G$4:$G$2494,0),FALSE)),"",HLOOKUP(CaseName,CaseData,MATCH($G557,cases!$G$4:$G$2494,0),FALSE))</f>
        <v/>
      </c>
      <c r="K557" s="620">
        <f>L164/L27</f>
        <v>2.8953682563842399E-9</v>
      </c>
      <c r="L557" s="298">
        <f t="shared" si="26"/>
        <v>2.8953682563842399E-9</v>
      </c>
      <c r="M557" s="566" t="s">
        <v>1885</v>
      </c>
      <c r="N557" s="566" t="s">
        <v>1921</v>
      </c>
      <c r="O557" s="605"/>
      <c r="P557" s="584"/>
      <c r="Q557" s="11"/>
      <c r="R557" s="11"/>
      <c r="S557" s="802"/>
    </row>
    <row r="558" spans="1:19" ht="12.75" customHeight="1" x14ac:dyDescent="0.3">
      <c r="A558" s="566"/>
      <c r="B558" s="566" t="s">
        <v>1922</v>
      </c>
      <c r="C558" s="566"/>
      <c r="D558" s="566"/>
      <c r="E558" s="566"/>
      <c r="F558" s="566"/>
      <c r="G558" s="567" t="s">
        <v>1923</v>
      </c>
      <c r="H558" s="567" t="s">
        <v>335</v>
      </c>
      <c r="I558" s="711"/>
      <c r="J558" s="294" t="str">
        <f>IF(ISBLANK(HLOOKUP(CaseName,CaseData,MATCH($G558,cases!$G$4:$G$2494,0),FALSE)),"",HLOOKUP(CaseName,CaseData,MATCH($G558,cases!$G$4:$G$2494,0),FALSE))</f>
        <v/>
      </c>
      <c r="K558" s="620">
        <f>L165/L28</f>
        <v>2.8953682563842399E-9</v>
      </c>
      <c r="L558" s="298">
        <f t="shared" si="26"/>
        <v>2.8953682563842399E-9</v>
      </c>
      <c r="M558" s="566" t="s">
        <v>1885</v>
      </c>
      <c r="N558" s="566" t="s">
        <v>1921</v>
      </c>
      <c r="O558" s="605"/>
      <c r="P558" s="584"/>
      <c r="Q558" s="11"/>
      <c r="R558" s="11"/>
      <c r="S558" s="11"/>
    </row>
    <row r="559" spans="1:19" ht="12.75" customHeight="1" x14ac:dyDescent="0.3">
      <c r="A559" s="566"/>
      <c r="B559" s="566" t="s">
        <v>1924</v>
      </c>
      <c r="C559" s="566"/>
      <c r="D559" s="566"/>
      <c r="E559" s="566"/>
      <c r="F559" s="566"/>
      <c r="G559" s="567" t="s">
        <v>1925</v>
      </c>
      <c r="H559" s="567" t="s">
        <v>335</v>
      </c>
      <c r="I559" s="711"/>
      <c r="J559" s="294" t="str">
        <f>IF(ISBLANK(HLOOKUP(CaseName,CaseData,MATCH($G559,cases!$G$4:$G$2494,0),FALSE)),"",HLOOKUP(CaseName,CaseData,MATCH($G559,cases!$G$4:$G$2494,0),FALSE))</f>
        <v/>
      </c>
      <c r="K559" s="620">
        <f>L166/L29</f>
        <v>9.1429324158650348E-10</v>
      </c>
      <c r="L559" s="298">
        <f t="shared" si="26"/>
        <v>9.1429324158650348E-10</v>
      </c>
      <c r="M559" s="566" t="s">
        <v>1885</v>
      </c>
      <c r="N559" s="566" t="s">
        <v>1921</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row>
    <row r="574" spans="15:19" ht="12.75" customHeight="1" x14ac:dyDescent="0.3">
      <c r="O574" s="19"/>
    </row>
    <row r="575" spans="15:19" ht="12.75" customHeight="1" x14ac:dyDescent="0.3">
      <c r="O575" s="19"/>
    </row>
    <row r="576" spans="15:19" ht="12.75" customHeight="1" x14ac:dyDescent="0.3">
      <c r="O576" s="19"/>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568" transitionEvaluation="1" transitionEntry="1" codeName="Sheet3"/>
  <dimension ref="A1:U565"/>
  <sheetViews>
    <sheetView topLeftCell="A568" zoomScaleNormal="100" workbookViewId="0">
      <selection activeCell="K248" sqref="K248"/>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1926</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947</v>
      </c>
      <c r="B3" s="147"/>
      <c r="C3" s="147"/>
      <c r="D3" s="147"/>
      <c r="E3" s="147"/>
      <c r="F3" s="147"/>
      <c r="G3" s="148" t="s">
        <v>258</v>
      </c>
      <c r="H3" s="148" t="s">
        <v>274</v>
      </c>
      <c r="I3" s="147" t="s">
        <v>259</v>
      </c>
      <c r="J3" s="150" t="s">
        <v>275</v>
      </c>
      <c r="K3" s="331" t="s">
        <v>260</v>
      </c>
      <c r="L3" s="331" t="s">
        <v>261</v>
      </c>
      <c r="M3" s="147"/>
      <c r="N3" s="148" t="s">
        <v>262</v>
      </c>
    </row>
    <row r="4" spans="1:14" ht="12.75" customHeight="1" x14ac:dyDescent="0.3">
      <c r="A4" s="17"/>
      <c r="B4" s="17"/>
      <c r="C4" s="38"/>
      <c r="D4" s="38"/>
      <c r="E4" s="17"/>
      <c r="F4" s="17"/>
      <c r="G4" s="17"/>
      <c r="H4" s="17"/>
      <c r="I4" s="283"/>
      <c r="J4" s="278"/>
      <c r="K4" s="296"/>
      <c r="L4" s="296"/>
      <c r="M4" s="17"/>
      <c r="N4" s="17"/>
    </row>
    <row r="5" spans="1:14" ht="12.75" customHeight="1" x14ac:dyDescent="0.3">
      <c r="A5" s="38" t="s">
        <v>948</v>
      </c>
      <c r="B5" s="17"/>
      <c r="C5" s="17"/>
      <c r="D5" s="17"/>
      <c r="E5" s="17"/>
      <c r="F5" s="17"/>
      <c r="G5" s="38" t="s">
        <v>1927</v>
      </c>
      <c r="H5" s="17" t="s">
        <v>950</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951</v>
      </c>
      <c r="N5" s="17"/>
    </row>
    <row r="6" spans="1:14" ht="12.75" customHeight="1" x14ac:dyDescent="0.3">
      <c r="A6" s="567" t="s">
        <v>1928</v>
      </c>
      <c r="B6" s="566"/>
      <c r="C6" s="566"/>
      <c r="D6" s="566"/>
      <c r="E6" s="566"/>
      <c r="F6" s="566"/>
      <c r="G6" s="567" t="s">
        <v>1929</v>
      </c>
      <c r="H6" s="566" t="s">
        <v>950</v>
      </c>
      <c r="I6" s="704"/>
      <c r="J6" s="294" t="str">
        <f>IF(ISBLANK(HLOOKUP(CaseName,CaseData,MATCH($G6,cases!$G$4:$G$2494,0),FALSE)),"",HLOOKUP(CaseName,CaseData,MATCH($G6,cases!$G$4:$G$2494,0),FALSE))</f>
        <v/>
      </c>
      <c r="K6" s="435">
        <f>L33*L5</f>
        <v>2159774352.0675001</v>
      </c>
      <c r="L6" s="298">
        <f t="shared" si="0"/>
        <v>2159774352.0675001</v>
      </c>
      <c r="M6" s="567" t="s">
        <v>951</v>
      </c>
      <c r="N6" s="566"/>
    </row>
    <row r="7" spans="1:14" ht="12.75" customHeight="1" x14ac:dyDescent="0.3">
      <c r="A7" s="38" t="s">
        <v>955</v>
      </c>
      <c r="B7" s="17"/>
      <c r="C7" s="17"/>
      <c r="D7" s="17"/>
      <c r="E7" s="17"/>
      <c r="F7" s="17"/>
      <c r="G7" s="38" t="s">
        <v>1930</v>
      </c>
      <c r="H7" s="38" t="s">
        <v>950</v>
      </c>
      <c r="I7" s="274"/>
      <c r="J7" s="294" t="str">
        <f>IF(ISBLANK(HLOOKUP(CaseName,CaseData,MATCH($G7,cases!$G$4:$G$2494,0),FALSE)),"",HLOOKUP(CaseName,CaseData,MATCH($G7,cases!$G$4:$G$2494,0),FALSE))</f>
        <v/>
      </c>
      <c r="K7" s="435">
        <f>L16*L17*L24</f>
        <v>871460000000</v>
      </c>
      <c r="L7" s="298">
        <f t="shared" si="0"/>
        <v>871460000000</v>
      </c>
      <c r="M7" s="38" t="s">
        <v>951</v>
      </c>
      <c r="N7" s="17"/>
    </row>
    <row r="8" spans="1:14" ht="12.75" customHeight="1" x14ac:dyDescent="0.3">
      <c r="A8" s="38" t="s">
        <v>957</v>
      </c>
      <c r="B8" s="17"/>
      <c r="C8" s="17"/>
      <c r="D8" s="17"/>
      <c r="E8" s="17"/>
      <c r="F8" s="17"/>
      <c r="G8" s="38" t="s">
        <v>1931</v>
      </c>
      <c r="H8" s="17" t="s">
        <v>950</v>
      </c>
      <c r="I8" s="281"/>
      <c r="J8" s="294" t="str">
        <f>IF(ISBLANK(HLOOKUP(CaseName,CaseData,MATCH($G8,cases!$G$4:$G$2494,0),FALSE)),"",HLOOKUP(CaseName,CaseData,MATCH($G8,cases!$G$4:$G$2494,0),FALSE))</f>
        <v/>
      </c>
      <c r="K8" s="435">
        <f>L16*L18*L25</f>
        <v>287581800000</v>
      </c>
      <c r="L8" s="298">
        <f t="shared" si="0"/>
        <v>287581800000</v>
      </c>
      <c r="M8" s="38" t="s">
        <v>951</v>
      </c>
      <c r="N8" s="17"/>
    </row>
    <row r="9" spans="1:14" ht="12.75" customHeight="1" x14ac:dyDescent="0.3">
      <c r="A9" s="38" t="s">
        <v>959</v>
      </c>
      <c r="B9" s="17"/>
      <c r="C9" s="17"/>
      <c r="D9" s="17"/>
      <c r="E9" s="17"/>
      <c r="F9" s="17"/>
      <c r="G9" s="38" t="s">
        <v>1932</v>
      </c>
      <c r="H9" s="17" t="s">
        <v>950</v>
      </c>
      <c r="I9" s="281"/>
      <c r="J9" s="294" t="str">
        <f>IF(ISBLANK(HLOOKUP(CaseName,CaseData,MATCH($G9,cases!$G$4:$G$2494,0),FALSE)),"",HLOOKUP(CaseName,CaseData,MATCH($G9,cases!$G$4:$G$2494,0),FALSE))</f>
        <v/>
      </c>
      <c r="K9" s="435">
        <f>L16*L22*L26</f>
        <v>742682000000000</v>
      </c>
      <c r="L9" s="298">
        <f t="shared" si="0"/>
        <v>742682000000000</v>
      </c>
      <c r="M9" s="38" t="s">
        <v>951</v>
      </c>
      <c r="N9" s="17"/>
    </row>
    <row r="10" spans="1:14" ht="12.75" customHeight="1" x14ac:dyDescent="0.3">
      <c r="A10" s="567" t="s">
        <v>1933</v>
      </c>
      <c r="B10" s="566"/>
      <c r="C10" s="566"/>
      <c r="D10" s="566"/>
      <c r="E10" s="566"/>
      <c r="F10" s="566"/>
      <c r="G10" s="567" t="s">
        <v>1934</v>
      </c>
      <c r="H10" s="566" t="s">
        <v>950</v>
      </c>
      <c r="I10" s="704"/>
      <c r="J10" s="294" t="str">
        <f>IF(ISBLANK(HLOOKUP(CaseName,CaseData,MATCH($G10,cases!$G$4:$G$2494,0),FALSE)),"",HLOOKUP(CaseName,CaseData,MATCH($G10,cases!$G$4:$G$2494,0),FALSE))</f>
        <v/>
      </c>
      <c r="K10" s="435">
        <f>L17*L16*L27</f>
        <v>261438000</v>
      </c>
      <c r="L10" s="298">
        <f t="shared" si="0"/>
        <v>261438000</v>
      </c>
      <c r="M10" s="567" t="s">
        <v>951</v>
      </c>
      <c r="N10" s="566"/>
    </row>
    <row r="11" spans="1:14" ht="12.75" customHeight="1" x14ac:dyDescent="0.3">
      <c r="A11" s="38" t="s">
        <v>963</v>
      </c>
      <c r="B11" s="17"/>
      <c r="C11" s="17"/>
      <c r="D11" s="17"/>
      <c r="E11" s="17"/>
      <c r="F11" s="17"/>
      <c r="G11" s="38" t="s">
        <v>1935</v>
      </c>
      <c r="H11" s="17" t="s">
        <v>950</v>
      </c>
      <c r="I11" s="281"/>
      <c r="J11" s="294" t="str">
        <f>IF(ISBLANK(HLOOKUP(CaseName,CaseData,MATCH($G11,cases!$G$4:$G$2494,0),FALSE)),"",HLOOKUP(CaseName,CaseData,MATCH($G11,cases!$G$4:$G$2494,0),FALSE))</f>
        <v/>
      </c>
      <c r="K11" s="435">
        <f>L16*L18*L28</f>
        <v>2875818000</v>
      </c>
      <c r="L11" s="298">
        <f t="shared" si="0"/>
        <v>2875818000</v>
      </c>
      <c r="M11" s="38" t="s">
        <v>951</v>
      </c>
      <c r="N11" s="17"/>
    </row>
    <row r="12" spans="1:14" ht="12.75" customHeight="1" x14ac:dyDescent="0.3">
      <c r="A12" s="38" t="s">
        <v>965</v>
      </c>
      <c r="B12" s="17"/>
      <c r="C12" s="17"/>
      <c r="D12" s="17"/>
      <c r="E12" s="17"/>
      <c r="F12" s="17"/>
      <c r="G12" s="38" t="s">
        <v>1936</v>
      </c>
      <c r="H12" s="17" t="s">
        <v>950</v>
      </c>
      <c r="I12" s="281"/>
      <c r="J12" s="294" t="str">
        <f>IF(ISBLANK(HLOOKUP(CaseName,CaseData,MATCH($G12,cases!$G$4:$G$2494,0),FALSE)),"",HLOOKUP(CaseName,CaseData,MATCH($G12,cases!$G$4:$G$2494,0),FALSE))</f>
        <v/>
      </c>
      <c r="K12" s="435">
        <f>L16*L22*L29</f>
        <v>111402300000</v>
      </c>
      <c r="L12" s="298">
        <f t="shared" si="0"/>
        <v>111402300000</v>
      </c>
      <c r="M12" s="38" t="s">
        <v>951</v>
      </c>
      <c r="N12" s="17"/>
    </row>
    <row r="13" spans="1:14" ht="12.75" customHeight="1" x14ac:dyDescent="0.3">
      <c r="A13" s="38" t="s">
        <v>967</v>
      </c>
      <c r="B13" s="17"/>
      <c r="C13" s="17"/>
      <c r="D13" s="17"/>
      <c r="E13" s="17"/>
      <c r="F13" s="17"/>
      <c r="G13" s="38" t="s">
        <v>1937</v>
      </c>
      <c r="H13" s="17" t="s">
        <v>950</v>
      </c>
      <c r="I13" s="281"/>
      <c r="J13" s="294" t="str">
        <f>IF(ISBLANK(HLOOKUP(CaseName,CaseData,MATCH($G13,cases!$G$4:$G$2494,0),FALSE)),"",HLOOKUP(CaseName,CaseData,MATCH($G13,cases!$G$4:$G$2494,0),FALSE))</f>
        <v/>
      </c>
      <c r="K13" s="435">
        <f>L16*L19*L30</f>
        <v>47058840000.000015</v>
      </c>
      <c r="L13" s="298">
        <f t="shared" si="0"/>
        <v>47058840000.000015</v>
      </c>
      <c r="M13" s="38" t="s">
        <v>951</v>
      </c>
      <c r="N13" s="17"/>
    </row>
    <row r="14" spans="1:14" ht="12.75" customHeight="1" x14ac:dyDescent="0.3">
      <c r="A14" s="38" t="s">
        <v>969</v>
      </c>
      <c r="B14" s="17"/>
      <c r="C14" s="17"/>
      <c r="D14" s="17"/>
      <c r="E14" s="17"/>
      <c r="F14" s="17"/>
      <c r="G14" s="38" t="s">
        <v>1938</v>
      </c>
      <c r="H14" s="17" t="s">
        <v>950</v>
      </c>
      <c r="I14" s="281"/>
      <c r="J14" s="294" t="str">
        <f>IF(ISBLANK(HLOOKUP(CaseName,CaseData,MATCH($G14,cases!$G$4:$G$2494,0),FALSE)),"",HLOOKUP(CaseName,CaseData,MATCH($G14,cases!$G$4:$G$2494,0),FALSE))</f>
        <v/>
      </c>
      <c r="K14" s="435">
        <f>L16*L20*L31</f>
        <v>418300800000.00006</v>
      </c>
      <c r="L14" s="298">
        <f t="shared" si="0"/>
        <v>418300800000.00006</v>
      </c>
      <c r="M14" s="38" t="s">
        <v>951</v>
      </c>
      <c r="N14" s="17"/>
    </row>
    <row r="15" spans="1:14" ht="12.75" customHeight="1" x14ac:dyDescent="0.3">
      <c r="A15" s="38" t="s">
        <v>971</v>
      </c>
      <c r="B15" s="17"/>
      <c r="C15" s="17"/>
      <c r="D15" s="17"/>
      <c r="E15" s="17"/>
      <c r="F15" s="17"/>
      <c r="G15" s="38" t="s">
        <v>1939</v>
      </c>
      <c r="H15" s="17" t="s">
        <v>950</v>
      </c>
      <c r="I15" s="281"/>
      <c r="J15" s="294" t="str">
        <f>IF(ISBLANK(HLOOKUP(CaseName,CaseData,MATCH($G15,cases!$G$4:$G$2494,0),FALSE)),"",HLOOKUP(CaseName,CaseData,MATCH($G15,cases!$G$4:$G$2494,0),FALSE))</f>
        <v/>
      </c>
      <c r="K15" s="435">
        <f>L16*L21*L32</f>
        <v>17429200000</v>
      </c>
      <c r="L15" s="298">
        <f t="shared" si="0"/>
        <v>17429200000</v>
      </c>
      <c r="M15" s="38" t="s">
        <v>951</v>
      </c>
      <c r="N15" s="17"/>
    </row>
    <row r="16" spans="1:14" ht="12.75" customHeight="1" x14ac:dyDescent="0.3">
      <c r="A16" s="38"/>
      <c r="B16" s="146" t="s">
        <v>1940</v>
      </c>
      <c r="C16" s="17"/>
      <c r="D16" s="17"/>
      <c r="E16" s="17"/>
      <c r="F16" s="17"/>
      <c r="G16" s="38" t="s">
        <v>1941</v>
      </c>
      <c r="H16" s="17" t="s">
        <v>672</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673</v>
      </c>
      <c r="N16" s="17"/>
    </row>
    <row r="17" spans="1:14" ht="12.75" customHeight="1" x14ac:dyDescent="0.3">
      <c r="A17" s="38"/>
      <c r="B17" s="38" t="s">
        <v>975</v>
      </c>
      <c r="C17" s="17"/>
      <c r="D17" s="17"/>
      <c r="E17" s="17"/>
      <c r="F17" s="17"/>
      <c r="G17" s="146" t="s">
        <v>1942</v>
      </c>
      <c r="H17" s="38" t="s">
        <v>291</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292</v>
      </c>
      <c r="N17" s="17"/>
    </row>
    <row r="18" spans="1:14" ht="12.75" customHeight="1" x14ac:dyDescent="0.3">
      <c r="A18" s="38"/>
      <c r="B18" s="38" t="s">
        <v>977</v>
      </c>
      <c r="C18" s="17"/>
      <c r="D18" s="17"/>
      <c r="E18" s="17"/>
      <c r="F18" s="17"/>
      <c r="G18" s="146" t="s">
        <v>1943</v>
      </c>
      <c r="H18" s="17" t="s">
        <v>291</v>
      </c>
      <c r="I18" s="281"/>
      <c r="J18" s="294" t="str">
        <f>IF(ISBLANK(HLOOKUP(CaseName,CaseData,MATCH($G18,cases!$G$4:$G$2494,0),FALSE)),"",HLOOKUP(CaseName,CaseData,MATCH($G18,cases!$G$4:$G$2494,0),FALSE))</f>
        <v/>
      </c>
      <c r="K18" s="435">
        <f>AREAland.C*FRACfresh.C/L16</f>
        <v>1.3315359238809598E-2</v>
      </c>
      <c r="L18" s="298">
        <f t="shared" si="1"/>
        <v>1.3315359238809598E-2</v>
      </c>
      <c r="M18" s="17" t="s">
        <v>292</v>
      </c>
      <c r="N18" s="17"/>
    </row>
    <row r="19" spans="1:14" ht="12.75" customHeight="1" x14ac:dyDescent="0.3">
      <c r="A19" s="38"/>
      <c r="B19" s="38" t="s">
        <v>979</v>
      </c>
      <c r="C19" s="17"/>
      <c r="D19" s="17"/>
      <c r="E19" s="17"/>
      <c r="F19" s="17"/>
      <c r="G19" s="146" t="s">
        <v>1944</v>
      </c>
      <c r="H19" s="17" t="s">
        <v>291</v>
      </c>
      <c r="I19" s="281"/>
      <c r="J19" s="294" t="str">
        <f>IF(ISBLANK(HLOOKUP(CaseName,CaseData,MATCH($G19,cases!$G$4:$G$2494,0),FALSE)),"",HLOOKUP(CaseName,CaseData,MATCH($G19,cases!$G$4:$G$2494,0),FALSE))</f>
        <v/>
      </c>
      <c r="K19" s="435">
        <f>AREAland.C*FRACnatsoil.C/L16</f>
        <v>0.13073261798103972</v>
      </c>
      <c r="L19" s="298">
        <f t="shared" si="1"/>
        <v>0.13073261798103972</v>
      </c>
      <c r="M19" s="17" t="s">
        <v>292</v>
      </c>
      <c r="N19" s="17"/>
    </row>
    <row r="20" spans="1:14" ht="12.75" customHeight="1" x14ac:dyDescent="0.3">
      <c r="A20" s="38"/>
      <c r="B20" s="38" t="s">
        <v>981</v>
      </c>
      <c r="C20" s="17"/>
      <c r="D20" s="17"/>
      <c r="E20" s="17"/>
      <c r="F20" s="17"/>
      <c r="G20" s="146" t="s">
        <v>1945</v>
      </c>
      <c r="H20" s="17" t="s">
        <v>291</v>
      </c>
      <c r="I20" s="281"/>
      <c r="J20" s="294" t="str">
        <f>IF(ISBLANK(HLOOKUP(CaseName,CaseData,MATCH($G20,cases!$G$4:$G$2494,0),FALSE)),"",HLOOKUP(CaseName,CaseData,MATCH($G20,cases!$G$4:$G$2494,0),FALSE))</f>
        <v/>
      </c>
      <c r="K20" s="435">
        <f>AREAland.C*FRACagsoil.C/L16</f>
        <v>0.2905169288467549</v>
      </c>
      <c r="L20" s="298">
        <f t="shared" si="1"/>
        <v>0.2905169288467549</v>
      </c>
      <c r="M20" s="17" t="s">
        <v>292</v>
      </c>
      <c r="N20" s="17"/>
    </row>
    <row r="21" spans="1:14" ht="12.75" customHeight="1" x14ac:dyDescent="0.3">
      <c r="A21" s="38"/>
      <c r="B21" s="38" t="s">
        <v>983</v>
      </c>
      <c r="C21" s="17"/>
      <c r="D21" s="17"/>
      <c r="E21" s="17"/>
      <c r="F21" s="17"/>
      <c r="G21" s="146" t="s">
        <v>1946</v>
      </c>
      <c r="H21" s="17" t="s">
        <v>291</v>
      </c>
      <c r="I21" s="281"/>
      <c r="J21" s="294" t="str">
        <f>IF(ISBLANK(HLOOKUP(CaseName,CaseData,MATCH($G21,cases!$G$4:$G$2494,0),FALSE)),"",HLOOKUP(CaseName,CaseData,MATCH($G21,cases!$G$4:$G$2494,0),FALSE))</f>
        <v/>
      </c>
      <c r="K21" s="435">
        <f>AREAland.C*FRACothersoil.C/L16</f>
        <v>4.8419488141125809E-2</v>
      </c>
      <c r="L21" s="298">
        <f t="shared" si="1"/>
        <v>4.8419488141125809E-2</v>
      </c>
      <c r="M21" s="17" t="s">
        <v>292</v>
      </c>
      <c r="N21" s="17"/>
    </row>
    <row r="22" spans="1:14" ht="12.75" customHeight="1" x14ac:dyDescent="0.3">
      <c r="A22" s="38"/>
      <c r="B22" s="38" t="s">
        <v>985</v>
      </c>
      <c r="C22" s="17"/>
      <c r="D22" s="17"/>
      <c r="E22" s="17"/>
      <c r="F22" s="17"/>
      <c r="G22" s="146" t="s">
        <v>1947</v>
      </c>
      <c r="H22" s="17" t="s">
        <v>291</v>
      </c>
      <c r="I22" s="281"/>
      <c r="J22" s="294" t="str">
        <f>IF(ISBLANK(HLOOKUP(CaseName,CaseData,MATCH($G22,cases!$G$4:$G$2494,0),FALSE)),"",HLOOKUP(CaseName,CaseData,MATCH($G22,cases!$G$4:$G$2494,0),FALSE))</f>
        <v/>
      </c>
      <c r="K22" s="435">
        <f>1-L17-L18-L19-L20-L21</f>
        <v>0.5158051185887419</v>
      </c>
      <c r="L22" s="298">
        <f t="shared" si="1"/>
        <v>0.5158051185887419</v>
      </c>
      <c r="M22" s="17" t="s">
        <v>292</v>
      </c>
      <c r="N22" s="141"/>
    </row>
    <row r="23" spans="1:14" ht="12.75" customHeight="1" x14ac:dyDescent="0.3">
      <c r="A23" s="38"/>
      <c r="B23" s="17"/>
      <c r="C23" s="38" t="s">
        <v>987</v>
      </c>
      <c r="D23" s="146"/>
      <c r="E23" s="146"/>
      <c r="F23" s="17"/>
      <c r="G23" s="146" t="s">
        <v>1948</v>
      </c>
      <c r="H23" s="17" t="s">
        <v>813</v>
      </c>
      <c r="I23" s="281"/>
      <c r="J23" s="294" t="str">
        <f>IF(ISBLANK(HLOOKUP(CaseName,CaseData,MATCH($G23,cases!$G$4:$G$2494,0),FALSE)),"",HLOOKUP(CaseName,CaseData,MATCH($G23,cases!$G$4:$G$2494,0),FALSE))</f>
        <v/>
      </c>
      <c r="K23" s="435">
        <v>1000</v>
      </c>
      <c r="L23" s="298">
        <f t="shared" si="1"/>
        <v>1000</v>
      </c>
      <c r="M23" s="38" t="s">
        <v>279</v>
      </c>
      <c r="N23" s="17"/>
    </row>
    <row r="24" spans="1:14" ht="12.75" customHeight="1" x14ac:dyDescent="0.3">
      <c r="A24" s="38"/>
      <c r="B24" s="17"/>
      <c r="C24" s="38" t="s">
        <v>989</v>
      </c>
      <c r="D24" s="146"/>
      <c r="E24" s="146"/>
      <c r="F24" s="17"/>
      <c r="G24" s="146" t="s">
        <v>1949</v>
      </c>
      <c r="H24" s="38" t="s">
        <v>813</v>
      </c>
      <c r="I24" s="281"/>
      <c r="J24" s="294" t="str">
        <f>IF(ISBLANK(HLOOKUP(CaseName,CaseData,MATCH($G24,cases!$G$4:$G$2494,0),FALSE)),"",HLOOKUP(CaseName,CaseData,MATCH($G24,cases!$G$4:$G$2494,0),FALSE))</f>
        <v/>
      </c>
      <c r="K24" s="435">
        <f>DEPTHlake.C</f>
        <v>100</v>
      </c>
      <c r="L24" s="298">
        <f t="shared" si="1"/>
        <v>100</v>
      </c>
      <c r="M24" s="38" t="s">
        <v>279</v>
      </c>
      <c r="N24" s="17"/>
    </row>
    <row r="25" spans="1:14" ht="12.75" customHeight="1" x14ac:dyDescent="0.3">
      <c r="A25" s="38"/>
      <c r="B25" s="17"/>
      <c r="C25" s="38" t="s">
        <v>991</v>
      </c>
      <c r="D25" s="146"/>
      <c r="E25" s="146"/>
      <c r="F25" s="17"/>
      <c r="G25" s="146" t="s">
        <v>1950</v>
      </c>
      <c r="H25" s="17" t="s">
        <v>813</v>
      </c>
      <c r="I25" s="281"/>
      <c r="J25" s="294" t="str">
        <f>IF(ISBLANK(HLOOKUP(CaseName,CaseData,MATCH($G25,cases!$G$4:$G$2494,0),FALSE)),"",HLOOKUP(CaseName,CaseData,MATCH($G25,cases!$G$4:$G$2494,0),FALSE))</f>
        <v/>
      </c>
      <c r="K25" s="435">
        <f>DEPTHfreshwater.C</f>
        <v>3</v>
      </c>
      <c r="L25" s="298">
        <f t="shared" si="1"/>
        <v>3</v>
      </c>
      <c r="M25" s="38" t="s">
        <v>279</v>
      </c>
      <c r="N25" s="17"/>
    </row>
    <row r="26" spans="1:14" ht="12.75" customHeight="1" x14ac:dyDescent="0.3">
      <c r="A26" s="38"/>
      <c r="B26" s="17"/>
      <c r="C26" s="38" t="s">
        <v>993</v>
      </c>
      <c r="D26" s="146"/>
      <c r="E26" s="146"/>
      <c r="F26" s="17"/>
      <c r="G26" s="146" t="s">
        <v>1951</v>
      </c>
      <c r="H26" s="17" t="s">
        <v>813</v>
      </c>
      <c r="I26" s="281"/>
      <c r="J26" s="294" t="str">
        <f>IF(ISBLANK(HLOOKUP(CaseName,CaseData,MATCH($G26,cases!$G$4:$G$2494,0),FALSE)),"",HLOOKUP(CaseName,CaseData,MATCH($G26,cases!$G$4:$G$2494,0),FALSE))</f>
        <v/>
      </c>
      <c r="K26" s="435">
        <v>200</v>
      </c>
      <c r="L26" s="298">
        <f t="shared" si="1"/>
        <v>200</v>
      </c>
      <c r="M26" s="38" t="s">
        <v>279</v>
      </c>
      <c r="N26" s="17"/>
    </row>
    <row r="27" spans="1:14" ht="12.75" customHeight="1" x14ac:dyDescent="0.3">
      <c r="A27" s="567"/>
      <c r="B27" s="566"/>
      <c r="C27" s="567" t="s">
        <v>1952</v>
      </c>
      <c r="D27" s="679"/>
      <c r="E27" s="679"/>
      <c r="F27" s="566"/>
      <c r="G27" s="679" t="s">
        <v>1953</v>
      </c>
      <c r="H27" s="566" t="s">
        <v>997</v>
      </c>
      <c r="I27" s="704"/>
      <c r="J27" s="294" t="str">
        <f>IF(ISBLANK(HLOOKUP(CaseName,CaseData,MATCH($G27,cases!$G$4:$G$2494,0),FALSE)),"",HLOOKUP(CaseName,CaseData,MATCH($G27,cases!$G$4:$G$2494,0),FALSE))</f>
        <v/>
      </c>
      <c r="K27" s="435">
        <v>3</v>
      </c>
      <c r="L27" s="298">
        <f>IF(ISBLANK(I27),IF(ISNUMBER(J27)=FALSE,K27/100,J27/100),I27/100)</f>
        <v>0.03</v>
      </c>
      <c r="M27" s="567" t="s">
        <v>279</v>
      </c>
      <c r="N27" s="566"/>
    </row>
    <row r="28" spans="1:14" ht="12.75" customHeight="1" x14ac:dyDescent="0.3">
      <c r="A28" s="38"/>
      <c r="B28" s="17"/>
      <c r="C28" s="38" t="s">
        <v>998</v>
      </c>
      <c r="D28" s="146"/>
      <c r="E28" s="146"/>
      <c r="F28" s="17"/>
      <c r="G28" s="146" t="s">
        <v>1954</v>
      </c>
      <c r="H28" s="17" t="s">
        <v>997</v>
      </c>
      <c r="I28" s="281"/>
      <c r="J28" s="294" t="str">
        <f>IF(ISBLANK(HLOOKUP(CaseName,CaseData,MATCH($G28,cases!$G$4:$G$2494,0),FALSE)),"",HLOOKUP(CaseName,CaseData,MATCH($G28,cases!$G$4:$G$2494,0),FALSE))</f>
        <v/>
      </c>
      <c r="K28" s="435">
        <v>3</v>
      </c>
      <c r="L28" s="298">
        <f>IF(ISBLANK(I28),IF(ISNUMBER(J28)=FALSE,K28/100,J28/100),I28/100)</f>
        <v>0.03</v>
      </c>
      <c r="M28" s="17" t="s">
        <v>279</v>
      </c>
      <c r="N28" s="17"/>
    </row>
    <row r="29" spans="1:14" ht="12.75" customHeight="1" x14ac:dyDescent="0.3">
      <c r="A29" s="38"/>
      <c r="B29" s="17"/>
      <c r="C29" s="38" t="s">
        <v>1000</v>
      </c>
      <c r="D29" s="146"/>
      <c r="E29" s="146"/>
      <c r="F29" s="17"/>
      <c r="G29" s="146" t="s">
        <v>1955</v>
      </c>
      <c r="H29" s="17" t="s">
        <v>997</v>
      </c>
      <c r="I29" s="281"/>
      <c r="J29" s="294" t="str">
        <f>IF(ISBLANK(HLOOKUP(CaseName,CaseData,MATCH($G29,cases!$G$4:$G$2494,0),FALSE)),"",HLOOKUP(CaseName,CaseData,MATCH($G29,cases!$G$4:$G$2494,0),FALSE))</f>
        <v/>
      </c>
      <c r="K29" s="435">
        <v>3</v>
      </c>
      <c r="L29" s="298">
        <f>IF(ISBLANK(I29),IF(ISNUMBER(J29)=FALSE,K29/100,J29/100),I29/100)</f>
        <v>0.03</v>
      </c>
      <c r="M29" s="17" t="s">
        <v>279</v>
      </c>
      <c r="N29" s="17"/>
    </row>
    <row r="30" spans="1:14" ht="12.75" customHeight="1" x14ac:dyDescent="0.3">
      <c r="A30" s="38"/>
      <c r="B30" s="17"/>
      <c r="C30" s="38" t="s">
        <v>1002</v>
      </c>
      <c r="D30" s="146"/>
      <c r="E30" s="146"/>
      <c r="F30" s="17"/>
      <c r="G30" s="146" t="s">
        <v>1956</v>
      </c>
      <c r="H30" s="17" t="s">
        <v>813</v>
      </c>
      <c r="I30" s="274"/>
      <c r="J30" s="294" t="str">
        <f>IF(ISBLANK(HLOOKUP(CaseName,CaseData,MATCH($G30,cases!$G$4:$G$2494,0),FALSE)),"",HLOOKUP(CaseName,CaseData,MATCH($G30,cases!$G$4:$G$2494,0),FALSE))</f>
        <v/>
      </c>
      <c r="K30" s="435">
        <v>0.05</v>
      </c>
      <c r="L30" s="298">
        <f t="shared" ref="L30:L46" si="2">IF(ISBLANK(I30),IF(ISNUMBER(J30)=FALSE,K30,J30),I30)</f>
        <v>0.05</v>
      </c>
      <c r="M30" s="17" t="s">
        <v>279</v>
      </c>
      <c r="N30" s="17"/>
    </row>
    <row r="31" spans="1:14" ht="12.75" customHeight="1" x14ac:dyDescent="0.3">
      <c r="A31" s="38"/>
      <c r="B31" s="17"/>
      <c r="C31" s="38" t="s">
        <v>1957</v>
      </c>
      <c r="D31" s="146"/>
      <c r="E31" s="146"/>
      <c r="F31" s="17"/>
      <c r="G31" s="146" t="s">
        <v>1958</v>
      </c>
      <c r="H31" s="17" t="s">
        <v>813</v>
      </c>
      <c r="I31" s="274"/>
      <c r="J31" s="294" t="str">
        <f>IF(ISBLANK(HLOOKUP(CaseName,CaseData,MATCH($G31,cases!$G$4:$G$2494,0),FALSE)),"",HLOOKUP(CaseName,CaseData,MATCH($G31,cases!$G$4:$G$2494,0),FALSE))</f>
        <v/>
      </c>
      <c r="K31" s="435">
        <v>0.2</v>
      </c>
      <c r="L31" s="298">
        <f t="shared" si="2"/>
        <v>0.2</v>
      </c>
      <c r="M31" s="17" t="s">
        <v>279</v>
      </c>
      <c r="N31" s="17"/>
    </row>
    <row r="32" spans="1:14" ht="12.75" customHeight="1" x14ac:dyDescent="0.3">
      <c r="A32" s="38"/>
      <c r="B32" s="17"/>
      <c r="C32" s="38" t="s">
        <v>1006</v>
      </c>
      <c r="D32" s="146"/>
      <c r="E32" s="146"/>
      <c r="F32" s="17"/>
      <c r="G32" s="146" t="s">
        <v>1959</v>
      </c>
      <c r="H32" s="17" t="s">
        <v>813</v>
      </c>
      <c r="I32" s="274"/>
      <c r="J32" s="294" t="str">
        <f>IF(ISBLANK(HLOOKUP(CaseName,CaseData,MATCH($G32,cases!$G$4:$G$2494,0),FALSE)),"",HLOOKUP(CaseName,CaseData,MATCH($G32,cases!$G$4:$G$2494,0),FALSE))</f>
        <v/>
      </c>
      <c r="K32" s="435">
        <v>0.05</v>
      </c>
      <c r="L32" s="298">
        <f t="shared" si="2"/>
        <v>0.05</v>
      </c>
      <c r="M32" s="17" t="s">
        <v>279</v>
      </c>
      <c r="N32" s="17"/>
    </row>
    <row r="33" spans="1:14" ht="12.75" customHeight="1" x14ac:dyDescent="0.3">
      <c r="A33" s="566"/>
      <c r="B33" s="566"/>
      <c r="C33" s="566" t="s">
        <v>1008</v>
      </c>
      <c r="D33" s="566"/>
      <c r="E33" s="566"/>
      <c r="F33" s="566"/>
      <c r="G33" s="567" t="s">
        <v>1960</v>
      </c>
      <c r="H33" s="567" t="s">
        <v>1010</v>
      </c>
      <c r="I33" s="274"/>
      <c r="J33" s="294" t="str">
        <f>IF(ISBLANK(HLOOKUP(CaseName,CaseData,MATCH($G33,cases!$G$4:$G$2494,0),FALSE)),"",HLOOKUP(CaseName,CaseData,MATCH($G33,cases!$G$4:$G$2494,0),FALSE))</f>
        <v/>
      </c>
      <c r="K33" s="435">
        <v>2.9999999999999999E-7</v>
      </c>
      <c r="L33" s="298">
        <f t="shared" si="2"/>
        <v>2.9999999999999999E-7</v>
      </c>
      <c r="M33" s="567" t="s">
        <v>292</v>
      </c>
      <c r="N33" s="566" t="s">
        <v>1014</v>
      </c>
    </row>
    <row r="34" spans="1:14" ht="12.75" customHeight="1" x14ac:dyDescent="0.3">
      <c r="A34" s="17"/>
      <c r="B34" s="17"/>
      <c r="C34" s="17" t="s">
        <v>1012</v>
      </c>
      <c r="D34" s="17"/>
      <c r="E34" s="17"/>
      <c r="F34" s="17"/>
      <c r="G34" s="38" t="s">
        <v>1961</v>
      </c>
      <c r="H34" s="38" t="s">
        <v>1010</v>
      </c>
      <c r="I34" s="274"/>
      <c r="J34" s="294" t="str">
        <f>IF(ISBLANK(HLOOKUP(CaseName,CaseData,MATCH($G34,cases!$G$4:$G$2494,0),FALSE)),"",HLOOKUP(CaseName,CaseData,MATCH($G34,cases!$G$4:$G$2494,0),FALSE))</f>
        <v/>
      </c>
      <c r="K34" s="435">
        <v>1.9999999999999999E-11</v>
      </c>
      <c r="L34" s="298">
        <f t="shared" si="2"/>
        <v>1.9999999999999999E-11</v>
      </c>
      <c r="M34" s="38" t="s">
        <v>292</v>
      </c>
      <c r="N34" s="17" t="s">
        <v>1014</v>
      </c>
    </row>
    <row r="35" spans="1:14" ht="12.75" customHeight="1" x14ac:dyDescent="0.3">
      <c r="A35" s="17"/>
      <c r="B35" s="17"/>
      <c r="C35" s="17" t="s">
        <v>1015</v>
      </c>
      <c r="D35" s="17"/>
      <c r="E35" s="17"/>
      <c r="F35" s="17"/>
      <c r="G35" s="38" t="s">
        <v>1962</v>
      </c>
      <c r="H35" s="38" t="s">
        <v>1010</v>
      </c>
      <c r="I35" s="274"/>
      <c r="J35" s="294" t="str">
        <f>IF(ISBLANK(HLOOKUP(CaseName,CaseData,MATCH($G35,cases!$G$4:$G$2494,0),FALSE)),"",HLOOKUP(CaseName,CaseData,MATCH($G35,cases!$G$4:$G$2494,0),FALSE))</f>
        <v/>
      </c>
      <c r="K35" s="435">
        <v>1.9999999999999999E-11</v>
      </c>
      <c r="L35" s="298">
        <f t="shared" si="2"/>
        <v>1.9999999999999999E-11</v>
      </c>
      <c r="M35" s="38" t="s">
        <v>292</v>
      </c>
      <c r="N35" s="17" t="s">
        <v>1014</v>
      </c>
    </row>
    <row r="36" spans="1:14" ht="12.75" customHeight="1" x14ac:dyDescent="0.3">
      <c r="A36" s="38"/>
      <c r="B36" s="17"/>
      <c r="C36" s="38" t="s">
        <v>1017</v>
      </c>
      <c r="D36" s="146"/>
      <c r="E36" s="146"/>
      <c r="F36" s="17"/>
      <c r="G36" s="146" t="s">
        <v>1963</v>
      </c>
      <c r="H36" s="17" t="s">
        <v>1010</v>
      </c>
      <c r="I36" s="281"/>
      <c r="J36" s="294" t="str">
        <f>IF(ISBLANK(HLOOKUP(CaseName,CaseData,MATCH($G36,cases!$G$4:$G$2494,0),FALSE)),"",HLOOKUP(CaseName,CaseData,MATCH($G36,cases!$G$4:$G$2494,0),FALSE))</f>
        <v/>
      </c>
      <c r="K36" s="435">
        <v>0.2</v>
      </c>
      <c r="L36" s="298">
        <f t="shared" si="2"/>
        <v>0.2</v>
      </c>
      <c r="M36" s="38" t="s">
        <v>292</v>
      </c>
      <c r="N36" s="17"/>
    </row>
    <row r="37" spans="1:14" ht="12.75" customHeight="1" x14ac:dyDescent="0.3">
      <c r="A37" s="38"/>
      <c r="B37" s="17"/>
      <c r="C37" s="38" t="s">
        <v>1019</v>
      </c>
      <c r="D37" s="146"/>
      <c r="E37" s="146"/>
      <c r="F37" s="17"/>
      <c r="G37" s="146" t="s">
        <v>1964</v>
      </c>
      <c r="H37" s="17" t="s">
        <v>1010</v>
      </c>
      <c r="I37" s="281"/>
      <c r="J37" s="294" t="str">
        <f>IF(ISBLANK(HLOOKUP(CaseName,CaseData,MATCH($G37,cases!$G$4:$G$2494,0),FALSE)),"",HLOOKUP(CaseName,CaseData,MATCH($G37,cases!$G$4:$G$2494,0),FALSE))</f>
        <v/>
      </c>
      <c r="K37" s="435">
        <v>0.2</v>
      </c>
      <c r="L37" s="298">
        <f t="shared" si="2"/>
        <v>0.2</v>
      </c>
      <c r="M37" s="38" t="s">
        <v>292</v>
      </c>
      <c r="N37" s="17"/>
    </row>
    <row r="38" spans="1:14" ht="12.75" customHeight="1" x14ac:dyDescent="0.3">
      <c r="A38" s="38"/>
      <c r="B38" s="17"/>
      <c r="C38" s="38" t="s">
        <v>1021</v>
      </c>
      <c r="D38" s="146"/>
      <c r="E38" s="146"/>
      <c r="F38" s="17"/>
      <c r="G38" s="146" t="s">
        <v>1965</v>
      </c>
      <c r="H38" s="17" t="s">
        <v>1010</v>
      </c>
      <c r="I38" s="281"/>
      <c r="J38" s="294" t="str">
        <f>IF(ISBLANK(HLOOKUP(CaseName,CaseData,MATCH($G38,cases!$G$4:$G$2494,0),FALSE)),"",HLOOKUP(CaseName,CaseData,MATCH($G38,cases!$G$4:$G$2494,0),FALSE))</f>
        <v/>
      </c>
      <c r="K38" s="435">
        <f>1-L36-L37</f>
        <v>0.60000000000000009</v>
      </c>
      <c r="L38" s="298">
        <f t="shared" si="2"/>
        <v>0.60000000000000009</v>
      </c>
      <c r="M38" s="38" t="s">
        <v>292</v>
      </c>
      <c r="N38" s="17"/>
    </row>
    <row r="39" spans="1:14" ht="12.75" customHeight="1" x14ac:dyDescent="0.3">
      <c r="A39" s="38"/>
      <c r="B39" s="17"/>
      <c r="C39" s="38" t="s">
        <v>1023</v>
      </c>
      <c r="D39" s="146"/>
      <c r="E39" s="146"/>
      <c r="F39" s="17"/>
      <c r="G39" s="146" t="s">
        <v>1966</v>
      </c>
      <c r="H39" s="17" t="s">
        <v>1010</v>
      </c>
      <c r="I39" s="281"/>
      <c r="J39" s="294" t="str">
        <f>IF(ISBLANK(HLOOKUP(CaseName,CaseData,MATCH($G39,cases!$G$4:$G$2494,0),FALSE)),"",HLOOKUP(CaseName,CaseData,MATCH($G39,cases!$G$4:$G$2494,0),FALSE))</f>
        <v/>
      </c>
      <c r="K39" s="435">
        <v>0.2</v>
      </c>
      <c r="L39" s="298">
        <f t="shared" si="2"/>
        <v>0.2</v>
      </c>
      <c r="M39" s="38" t="s">
        <v>292</v>
      </c>
      <c r="N39" s="17"/>
    </row>
    <row r="40" spans="1:14" ht="12.75" customHeight="1" x14ac:dyDescent="0.3">
      <c r="A40" s="38"/>
      <c r="B40" s="17"/>
      <c r="C40" s="38" t="s">
        <v>1025</v>
      </c>
      <c r="D40" s="146"/>
      <c r="E40" s="146"/>
      <c r="F40" s="17"/>
      <c r="G40" s="146" t="s">
        <v>1967</v>
      </c>
      <c r="H40" s="17" t="s">
        <v>1010</v>
      </c>
      <c r="I40" s="281"/>
      <c r="J40" s="294" t="str">
        <f>IF(ISBLANK(HLOOKUP(CaseName,CaseData,MATCH($G40,cases!$G$4:$G$2494,0),FALSE)),"",HLOOKUP(CaseName,CaseData,MATCH($G40,cases!$G$4:$G$2494,0),FALSE))</f>
        <v/>
      </c>
      <c r="K40" s="435">
        <v>0.2</v>
      </c>
      <c r="L40" s="298">
        <f t="shared" si="2"/>
        <v>0.2</v>
      </c>
      <c r="M40" s="38" t="s">
        <v>292</v>
      </c>
      <c r="N40" s="17"/>
    </row>
    <row r="41" spans="1:14" ht="12.75" customHeight="1" x14ac:dyDescent="0.3">
      <c r="A41" s="38"/>
      <c r="B41" s="17"/>
      <c r="C41" s="38" t="s">
        <v>1027</v>
      </c>
      <c r="D41" s="146"/>
      <c r="E41" s="146"/>
      <c r="F41" s="17"/>
      <c r="G41" s="146" t="s">
        <v>1968</v>
      </c>
      <c r="H41" s="17" t="s">
        <v>1010</v>
      </c>
      <c r="I41" s="281"/>
      <c r="J41" s="294" t="str">
        <f>IF(ISBLANK(HLOOKUP(CaseName,CaseData,MATCH($G41,cases!$G$4:$G$2494,0),FALSE)),"",HLOOKUP(CaseName,CaseData,MATCH($G41,cases!$G$4:$G$2494,0),FALSE))</f>
        <v/>
      </c>
      <c r="K41" s="435">
        <f>1-L39-L40</f>
        <v>0.60000000000000009</v>
      </c>
      <c r="L41" s="298">
        <f t="shared" si="2"/>
        <v>0.60000000000000009</v>
      </c>
      <c r="M41" s="38" t="s">
        <v>292</v>
      </c>
      <c r="N41" s="17"/>
    </row>
    <row r="42" spans="1:14" ht="12.75" customHeight="1" x14ac:dyDescent="0.3">
      <c r="A42" s="38"/>
      <c r="B42" s="17"/>
      <c r="C42" s="38" t="s">
        <v>1029</v>
      </c>
      <c r="D42" s="146"/>
      <c r="E42" s="146"/>
      <c r="F42" s="17"/>
      <c r="G42" s="146" t="s">
        <v>1969</v>
      </c>
      <c r="H42" s="17" t="s">
        <v>1010</v>
      </c>
      <c r="I42" s="281"/>
      <c r="J42" s="294" t="str">
        <f>IF(ISBLANK(HLOOKUP(CaseName,CaseData,MATCH($G42,cases!$G$4:$G$2494,0),FALSE)),"",HLOOKUP(CaseName,CaseData,MATCH($G42,cases!$G$4:$G$2494,0),FALSE))</f>
        <v/>
      </c>
      <c r="K42" s="435">
        <v>0.2</v>
      </c>
      <c r="L42" s="298">
        <f t="shared" si="2"/>
        <v>0.2</v>
      </c>
      <c r="M42" s="38" t="s">
        <v>292</v>
      </c>
      <c r="N42" s="17"/>
    </row>
    <row r="43" spans="1:14" ht="12.75" customHeight="1" x14ac:dyDescent="0.3">
      <c r="A43" s="38"/>
      <c r="B43" s="17"/>
      <c r="C43" s="38" t="s">
        <v>1031</v>
      </c>
      <c r="D43" s="146"/>
      <c r="E43" s="146"/>
      <c r="F43" s="17"/>
      <c r="G43" s="146" t="s">
        <v>1970</v>
      </c>
      <c r="H43" s="17" t="s">
        <v>1010</v>
      </c>
      <c r="I43" s="281"/>
      <c r="J43" s="294" t="str">
        <f>IF(ISBLANK(HLOOKUP(CaseName,CaseData,MATCH($G43,cases!$G$4:$G$2494,0),FALSE)),"",HLOOKUP(CaseName,CaseData,MATCH($G43,cases!$G$4:$G$2494,0),FALSE))</f>
        <v/>
      </c>
      <c r="K43" s="435">
        <v>0.2</v>
      </c>
      <c r="L43" s="298">
        <f t="shared" si="2"/>
        <v>0.2</v>
      </c>
      <c r="M43" s="38" t="s">
        <v>292</v>
      </c>
      <c r="N43" s="17"/>
    </row>
    <row r="44" spans="1:14" ht="12.75" customHeight="1" x14ac:dyDescent="0.3">
      <c r="A44" s="38"/>
      <c r="B44" s="17"/>
      <c r="C44" s="38" t="s">
        <v>1033</v>
      </c>
      <c r="D44" s="146"/>
      <c r="E44" s="146"/>
      <c r="F44" s="17"/>
      <c r="G44" s="146" t="s">
        <v>1971</v>
      </c>
      <c r="H44" s="17" t="s">
        <v>1010</v>
      </c>
      <c r="I44" s="281"/>
      <c r="J44" s="294" t="str">
        <f>IF(ISBLANK(HLOOKUP(CaseName,CaseData,MATCH($G44,cases!$G$4:$G$2494,0),FALSE)),"",HLOOKUP(CaseName,CaseData,MATCH($G44,cases!$G$4:$G$2494,0),FALSE))</f>
        <v/>
      </c>
      <c r="K44" s="435">
        <f>1-L42-L43</f>
        <v>0.60000000000000009</v>
      </c>
      <c r="L44" s="298">
        <f t="shared" si="2"/>
        <v>0.60000000000000009</v>
      </c>
      <c r="M44" s="38" t="s">
        <v>292</v>
      </c>
      <c r="N44" s="17"/>
    </row>
    <row r="45" spans="1:14" ht="12.75" customHeight="1" x14ac:dyDescent="0.3">
      <c r="A45" s="38"/>
      <c r="B45" s="17"/>
      <c r="C45" s="38" t="s">
        <v>1035</v>
      </c>
      <c r="D45" s="146"/>
      <c r="E45" s="146"/>
      <c r="F45" s="17"/>
      <c r="G45" s="146" t="s">
        <v>1972</v>
      </c>
      <c r="H45" s="17" t="s">
        <v>1010</v>
      </c>
      <c r="I45" s="281"/>
      <c r="J45" s="294" t="str">
        <f>IF(ISBLANK(HLOOKUP(CaseName,CaseData,MATCH($G45,cases!$G$4:$G$2494,0),FALSE)),"",HLOOKUP(CaseName,CaseData,MATCH($G45,cases!$G$4:$G$2494,0),FALSE))</f>
        <v/>
      </c>
      <c r="K45" s="435">
        <v>0.8</v>
      </c>
      <c r="L45" s="298">
        <f t="shared" si="2"/>
        <v>0.8</v>
      </c>
      <c r="M45" s="38" t="s">
        <v>292</v>
      </c>
      <c r="N45" s="17"/>
    </row>
    <row r="46" spans="1:14" ht="12.75" customHeight="1" x14ac:dyDescent="0.3">
      <c r="A46" s="38"/>
      <c r="B46" s="17"/>
      <c r="C46" s="38" t="s">
        <v>1037</v>
      </c>
      <c r="D46" s="146"/>
      <c r="E46" s="146"/>
      <c r="F46" s="17"/>
      <c r="G46" s="146" t="s">
        <v>1973</v>
      </c>
      <c r="H46" s="17" t="s">
        <v>1010</v>
      </c>
      <c r="I46" s="281"/>
      <c r="J46" s="294" t="str">
        <f>IF(ISBLANK(HLOOKUP(CaseName,CaseData,MATCH($G46,cases!$G$4:$G$2494,0),FALSE)),"",HLOOKUP(CaseName,CaseData,MATCH($G46,cases!$G$4:$G$2494,0),FALSE))</f>
        <v/>
      </c>
      <c r="K46" s="435">
        <f>1-L45</f>
        <v>0.19999999999999996</v>
      </c>
      <c r="L46" s="298">
        <f t="shared" si="2"/>
        <v>0.19999999999999996</v>
      </c>
      <c r="M46" s="38" t="s">
        <v>292</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1974</v>
      </c>
      <c r="B48" s="17"/>
      <c r="C48" s="17"/>
      <c r="D48" s="17"/>
      <c r="E48" s="17"/>
      <c r="F48" s="17"/>
      <c r="G48" s="38" t="s">
        <v>1975</v>
      </c>
      <c r="H48" s="38" t="s">
        <v>617</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1041</v>
      </c>
      <c r="N48" s="17"/>
    </row>
    <row r="49" spans="1:14" ht="12.75" customHeight="1" x14ac:dyDescent="0.3">
      <c r="A49" s="38" t="s">
        <v>1976</v>
      </c>
      <c r="B49" s="17"/>
      <c r="C49" s="17"/>
      <c r="D49" s="17"/>
      <c r="E49" s="17"/>
      <c r="F49" s="17"/>
      <c r="G49" s="38" t="s">
        <v>1977</v>
      </c>
      <c r="H49" s="38" t="s">
        <v>617</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1041</v>
      </c>
      <c r="N49" s="17"/>
    </row>
    <row r="50" spans="1:14" ht="12.75" customHeight="1" x14ac:dyDescent="0.3">
      <c r="A50" s="38"/>
      <c r="B50" s="38"/>
      <c r="C50" s="38" t="s">
        <v>1978</v>
      </c>
      <c r="D50" s="17"/>
      <c r="E50" s="17"/>
      <c r="F50" s="17"/>
      <c r="G50" s="38" t="s">
        <v>1979</v>
      </c>
      <c r="H50" s="17" t="s">
        <v>1044</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1045</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1980</v>
      </c>
      <c r="B52" s="17"/>
      <c r="C52" s="17"/>
      <c r="D52" s="17"/>
      <c r="E52" s="17"/>
      <c r="F52" s="17"/>
      <c r="G52" s="38" t="s">
        <v>1981</v>
      </c>
      <c r="H52" s="38" t="s">
        <v>617</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1041</v>
      </c>
      <c r="N52" s="17"/>
    </row>
    <row r="53" spans="1:14" ht="12.75" customHeight="1" x14ac:dyDescent="0.3">
      <c r="A53" s="38" t="s">
        <v>1982</v>
      </c>
      <c r="B53" s="17"/>
      <c r="C53" s="17"/>
      <c r="D53" s="17"/>
      <c r="E53" s="17"/>
      <c r="F53" s="17"/>
      <c r="G53" s="38" t="s">
        <v>1983</v>
      </c>
      <c r="H53" s="38" t="s">
        <v>617</v>
      </c>
      <c r="I53" s="276"/>
      <c r="J53" s="294" t="str">
        <f>IF(ISBLANK(HLOOKUP(CaseName,CaseData,MATCH($G53,cases!$G$4:$G$2494,0),FALSE)),"",HLOOKUP(CaseName,CaseData,MATCH($G53,cases!$G$4:$G$2494,0),FALSE))</f>
        <v/>
      </c>
      <c r="K53" s="435">
        <f>L58/L7</f>
        <v>0</v>
      </c>
      <c r="L53" s="298">
        <f t="shared" si="3"/>
        <v>0</v>
      </c>
      <c r="M53" s="17" t="s">
        <v>1041</v>
      </c>
      <c r="N53" s="17"/>
    </row>
    <row r="54" spans="1:14" ht="12.75" customHeight="1" x14ac:dyDescent="0.3">
      <c r="A54" s="38" t="s">
        <v>1984</v>
      </c>
      <c r="B54" s="17"/>
      <c r="C54" s="17"/>
      <c r="D54" s="17"/>
      <c r="E54" s="17"/>
      <c r="F54" s="17"/>
      <c r="G54" s="38" t="s">
        <v>1985</v>
      </c>
      <c r="H54" s="38" t="s">
        <v>617</v>
      </c>
      <c r="I54" s="276"/>
      <c r="J54" s="294" t="str">
        <f>IF(ISBLANK(HLOOKUP(CaseName,CaseData,MATCH($G54,cases!$G$4:$G$2494,0),FALSE)),"",HLOOKUP(CaseName,CaseData,MATCH($G54,cases!$G$4:$G$2494,0),FALSE))</f>
        <v/>
      </c>
      <c r="K54" s="435">
        <f>L59/L8</f>
        <v>0</v>
      </c>
      <c r="L54" s="298">
        <f t="shared" si="3"/>
        <v>0</v>
      </c>
      <c r="M54" s="17" t="s">
        <v>1041</v>
      </c>
      <c r="N54" s="17"/>
    </row>
    <row r="55" spans="1:14" ht="12.75" customHeight="1" x14ac:dyDescent="0.3">
      <c r="A55" s="38" t="s">
        <v>1986</v>
      </c>
      <c r="B55" s="17"/>
      <c r="C55" s="17"/>
      <c r="D55" s="17"/>
      <c r="E55" s="17"/>
      <c r="F55" s="17"/>
      <c r="G55" s="38" t="s">
        <v>1987</v>
      </c>
      <c r="H55" s="38" t="s">
        <v>617</v>
      </c>
      <c r="I55" s="276"/>
      <c r="J55" s="294" t="str">
        <f>IF(ISBLANK(HLOOKUP(CaseName,CaseData,MATCH($G55,cases!$G$4:$G$2494,0),FALSE)),"",HLOOKUP(CaseName,CaseData,MATCH($G55,cases!$G$4:$G$2494,0),FALSE))</f>
        <v/>
      </c>
      <c r="K55" s="435">
        <f>L60/L8</f>
        <v>0</v>
      </c>
      <c r="L55" s="298">
        <f t="shared" si="3"/>
        <v>0</v>
      </c>
      <c r="M55" s="17" t="s">
        <v>1041</v>
      </c>
      <c r="N55" s="17"/>
    </row>
    <row r="56" spans="1:14" ht="12.75" customHeight="1" x14ac:dyDescent="0.3">
      <c r="A56" s="38" t="s">
        <v>1988</v>
      </c>
      <c r="B56" s="17"/>
      <c r="C56" s="17"/>
      <c r="D56" s="17"/>
      <c r="E56" s="17"/>
      <c r="F56" s="17"/>
      <c r="G56" s="38" t="s">
        <v>1989</v>
      </c>
      <c r="H56" s="38" t="s">
        <v>617</v>
      </c>
      <c r="I56" s="276"/>
      <c r="J56" s="294" t="str">
        <f>IF(ISBLANK(HLOOKUP(CaseName,CaseData,MATCH($G56,cases!$G$4:$G$2494,0),FALSE)),"",HLOOKUP(CaseName,CaseData,MATCH($G56,cases!$G$4:$G$2494,0),FALSE))</f>
        <v/>
      </c>
      <c r="K56" s="435">
        <f>L61/L8</f>
        <v>7.2644250726442513E-8</v>
      </c>
      <c r="L56" s="298">
        <f t="shared" si="3"/>
        <v>7.2644250726442513E-8</v>
      </c>
      <c r="M56" s="17" t="s">
        <v>1041</v>
      </c>
      <c r="N56" s="17"/>
    </row>
    <row r="57" spans="1:14" ht="12.75" customHeight="1" x14ac:dyDescent="0.3">
      <c r="A57" s="38"/>
      <c r="B57" s="38" t="s">
        <v>1990</v>
      </c>
      <c r="C57" s="17"/>
      <c r="D57" s="17"/>
      <c r="E57" s="146"/>
      <c r="F57" s="146"/>
      <c r="G57" s="146" t="s">
        <v>1991</v>
      </c>
      <c r="H57" s="38" t="s">
        <v>1058</v>
      </c>
      <c r="I57" s="275"/>
      <c r="J57" s="294" t="str">
        <f>IF(ISBLANK(HLOOKUP(CaseName,CaseData,MATCH($G57,cases!$G$4:$G$2494,0),FALSE)),"",HLOOKUP(CaseName,CaseData,MATCH($G57,cases!$G$4:$G$2494,0),FALSE))</f>
        <v/>
      </c>
      <c r="K57" s="435">
        <f>0.1*L61</f>
        <v>2089.1164383561645</v>
      </c>
      <c r="L57" s="298">
        <f t="shared" si="3"/>
        <v>2089.1164383561645</v>
      </c>
      <c r="M57" s="17" t="s">
        <v>1059</v>
      </c>
      <c r="N57" s="17"/>
    </row>
    <row r="58" spans="1:14" ht="12.75" customHeight="1" x14ac:dyDescent="0.3">
      <c r="A58" s="38"/>
      <c r="B58" s="38" t="s">
        <v>1992</v>
      </c>
      <c r="C58" s="17"/>
      <c r="D58" s="17"/>
      <c r="E58" s="146"/>
      <c r="F58" s="146"/>
      <c r="G58" s="146" t="s">
        <v>1993</v>
      </c>
      <c r="H58" s="38" t="s">
        <v>1058</v>
      </c>
      <c r="I58" s="275"/>
      <c r="J58" s="294" t="str">
        <f>IF(ISBLANK(HLOOKUP(CaseName,CaseData,MATCH($G58,cases!$G$4:$G$2494,0),FALSE)),"",HLOOKUP(CaseName,CaseData,MATCH($G58,cases!$G$4:$G$2494,0),FALSE))</f>
        <v/>
      </c>
      <c r="K58" s="435">
        <v>0</v>
      </c>
      <c r="L58" s="298">
        <f t="shared" si="3"/>
        <v>0</v>
      </c>
      <c r="M58" s="17" t="s">
        <v>1059</v>
      </c>
      <c r="N58" s="17"/>
    </row>
    <row r="59" spans="1:14" ht="12.75" customHeight="1" x14ac:dyDescent="0.3">
      <c r="A59" s="38"/>
      <c r="B59" s="38" t="s">
        <v>1994</v>
      </c>
      <c r="C59" s="17"/>
      <c r="D59" s="17"/>
      <c r="E59" s="146"/>
      <c r="F59" s="146"/>
      <c r="G59" s="146" t="s">
        <v>1995</v>
      </c>
      <c r="H59" s="38" t="s">
        <v>1058</v>
      </c>
      <c r="I59" s="275"/>
      <c r="J59" s="294" t="str">
        <f>IF(ISBLANK(HLOOKUP(CaseName,CaseData,MATCH($G59,cases!$G$4:$G$2494,0),FALSE)),"",HLOOKUP(CaseName,CaseData,MATCH($G59,cases!$G$4:$G$2494,0),FALSE))</f>
        <v/>
      </c>
      <c r="K59" s="435">
        <v>0</v>
      </c>
      <c r="L59" s="298">
        <f t="shared" si="3"/>
        <v>0</v>
      </c>
      <c r="M59" s="17" t="s">
        <v>1059</v>
      </c>
      <c r="N59" s="17"/>
    </row>
    <row r="60" spans="1:14" ht="12.75" customHeight="1" x14ac:dyDescent="0.3">
      <c r="A60" s="38"/>
      <c r="B60" s="38" t="s">
        <v>1996</v>
      </c>
      <c r="C60" s="17"/>
      <c r="D60" s="17"/>
      <c r="E60" s="146"/>
      <c r="F60" s="146"/>
      <c r="G60" s="146" t="s">
        <v>1997</v>
      </c>
      <c r="H60" s="17" t="s">
        <v>1058</v>
      </c>
      <c r="I60" s="281"/>
      <c r="J60" s="294" t="str">
        <f>IF(ISBLANK(HLOOKUP(CaseName,CaseData,MATCH($G60,cases!$G$4:$G$2494,0),FALSE)),"",HLOOKUP(CaseName,CaseData,MATCH($G60,cases!$G$4:$G$2494,0),FALSE))</f>
        <v/>
      </c>
      <c r="K60" s="617">
        <f>((L18+L19*L191+L20*L192+L21*L193)*RAINrate.C*L16+L57)*FRAC.w1C.w1R</f>
        <v>0</v>
      </c>
      <c r="L60" s="298">
        <f t="shared" si="3"/>
        <v>0</v>
      </c>
      <c r="M60" s="17" t="s">
        <v>1059</v>
      </c>
      <c r="N60" s="141"/>
    </row>
    <row r="61" spans="1:14" ht="12.75" customHeight="1" x14ac:dyDescent="0.3">
      <c r="A61" s="38"/>
      <c r="B61" s="38" t="s">
        <v>1998</v>
      </c>
      <c r="C61" s="17"/>
      <c r="D61" s="17"/>
      <c r="E61" s="146"/>
      <c r="F61" s="146"/>
      <c r="G61" s="146" t="s">
        <v>1999</v>
      </c>
      <c r="H61" s="17" t="s">
        <v>1058</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1059</v>
      </c>
      <c r="N61" s="141"/>
    </row>
    <row r="62" spans="1:14" ht="12.75" customHeight="1" x14ac:dyDescent="0.3">
      <c r="A62" s="38" t="s">
        <v>2000</v>
      </c>
      <c r="B62" s="17"/>
      <c r="C62" s="17"/>
      <c r="D62" s="17"/>
      <c r="E62" s="17"/>
      <c r="F62" s="17"/>
      <c r="G62" s="38" t="s">
        <v>2001</v>
      </c>
      <c r="H62" s="38" t="s">
        <v>617</v>
      </c>
      <c r="I62" s="421"/>
      <c r="J62" s="294" t="str">
        <f>IF(ISBLANK(HLOOKUP(CaseName,CaseData,MATCH($G62,cases!$G$4:$G$2494,0),FALSE)),"",HLOOKUP(CaseName,CaseData,MATCH($G62,cases!$G$4:$G$2494,0),FALSE))</f>
        <v/>
      </c>
      <c r="K62" s="435">
        <f>L64/L9</f>
        <v>1.660022737657995E-11</v>
      </c>
      <c r="L62" s="298">
        <f t="shared" si="3"/>
        <v>1.660022737657995E-11</v>
      </c>
      <c r="M62" s="17" t="s">
        <v>1041</v>
      </c>
      <c r="N62" s="17"/>
    </row>
    <row r="63" spans="1:14" ht="12.75" customHeight="1" x14ac:dyDescent="0.3">
      <c r="A63" s="38" t="s">
        <v>2002</v>
      </c>
      <c r="B63" s="17"/>
      <c r="C63" s="17"/>
      <c r="D63" s="17"/>
      <c r="E63" s="17"/>
      <c r="F63" s="17"/>
      <c r="G63" s="38" t="s">
        <v>2003</v>
      </c>
      <c r="H63" s="38" t="s">
        <v>617</v>
      </c>
      <c r="I63" s="276"/>
      <c r="J63" s="294" t="str">
        <f>IF(ISBLANK(HLOOKUP(CaseName,CaseData,MATCH($G63,cases!$G$4:$G$2494,0),FALSE)),"",HLOOKUP(CaseName,CaseData,MATCH($G63,cases!$G$4:$G$2494,0),FALSE))</f>
        <v/>
      </c>
      <c r="K63" s="435">
        <f>L65/L9</f>
        <v>3.1691347286679496E-8</v>
      </c>
      <c r="L63" s="298">
        <f t="shared" si="3"/>
        <v>3.1691347286679496E-8</v>
      </c>
      <c r="M63" s="17" t="s">
        <v>1041</v>
      </c>
      <c r="N63" s="17"/>
    </row>
    <row r="64" spans="1:14" ht="12.75" customHeight="1" x14ac:dyDescent="0.3">
      <c r="A64" s="38"/>
      <c r="B64" s="38" t="s">
        <v>2004</v>
      </c>
      <c r="C64" s="17"/>
      <c r="D64" s="17"/>
      <c r="E64" s="17"/>
      <c r="F64" s="17"/>
      <c r="G64" s="146" t="s">
        <v>2005</v>
      </c>
      <c r="H64" s="17" t="s">
        <v>1058</v>
      </c>
      <c r="I64" s="281"/>
      <c r="J64" s="294" t="str">
        <f>IF(ISBLANK(HLOOKUP(CaseName,CaseData,MATCH($G64,cases!$G$4:$G$2494,0),FALSE)),"",HLOOKUP(CaseName,CaseData,MATCH($G64,cases!$G$4:$G$2494,0),FALSE))</f>
        <v/>
      </c>
      <c r="K64" s="435">
        <f>(10-1)*WATERflow.w1R.w2R</f>
        <v>12328.69006849315</v>
      </c>
      <c r="L64" s="298">
        <f t="shared" si="3"/>
        <v>12328.69006849315</v>
      </c>
      <c r="M64" s="17" t="s">
        <v>1059</v>
      </c>
      <c r="N64" s="17"/>
    </row>
    <row r="65" spans="1:14" ht="12.75" customHeight="1" x14ac:dyDescent="0.3">
      <c r="A65" s="38"/>
      <c r="B65" s="38" t="s">
        <v>2006</v>
      </c>
      <c r="C65" s="17"/>
      <c r="D65" s="17"/>
      <c r="E65" s="146"/>
      <c r="F65" s="146"/>
      <c r="G65" s="146" t="s">
        <v>2007</v>
      </c>
      <c r="H65" s="17" t="s">
        <v>1058</v>
      </c>
      <c r="I65" s="281"/>
      <c r="J65" s="294" t="str">
        <f>IF(ISBLANK(HLOOKUP(CaseName,CaseData,MATCH($G65,cases!$G$4:$G$2494,0),FALSE)),"",HLOOKUP(CaseName,CaseData,MATCH($G65,cases!$G$4:$G$2494,0),FALSE))</f>
        <v/>
      </c>
      <c r="K65" s="435">
        <f>(L9/L66)-WATERflow.w2R.w2C</f>
        <v>23536593.185565703</v>
      </c>
      <c r="L65" s="298">
        <f t="shared" si="3"/>
        <v>23536593.185565703</v>
      </c>
      <c r="M65" s="17" t="s">
        <v>1059</v>
      </c>
      <c r="N65" s="17"/>
    </row>
    <row r="66" spans="1:14" ht="12.75" customHeight="1" x14ac:dyDescent="0.3">
      <c r="A66" s="38"/>
      <c r="B66" s="38"/>
      <c r="C66" s="38" t="s">
        <v>2008</v>
      </c>
      <c r="D66" s="17"/>
      <c r="E66" s="17"/>
      <c r="F66" s="17"/>
      <c r="G66" s="38" t="s">
        <v>2009</v>
      </c>
      <c r="H66" s="38" t="s">
        <v>1044</v>
      </c>
      <c r="I66" s="274"/>
      <c r="J66" s="294" t="str">
        <f>IF(ISBLANK(HLOOKUP(CaseName,CaseData,MATCH($G66,cases!$G$4:$G$2494,0),FALSE)),"",HLOOKUP(CaseName,CaseData,MATCH($G66,cases!$G$4:$G$2494,0),FALSE))</f>
        <v/>
      </c>
      <c r="K66" s="428">
        <v>365</v>
      </c>
      <c r="L66" s="298">
        <f>IF(ISBLANK(I66),IF(ISNUMBER(J66)=FALSE,K66*(3600*24),J66*(3600*24)),I66*(3600*24))</f>
        <v>31536000</v>
      </c>
      <c r="M66" s="38" t="s">
        <v>1045</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2010</v>
      </c>
      <c r="B68" s="147"/>
      <c r="C68" s="147"/>
      <c r="D68" s="147"/>
      <c r="E68" s="147"/>
      <c r="F68" s="147"/>
      <c r="G68" s="148" t="s">
        <v>258</v>
      </c>
      <c r="H68" s="148" t="s">
        <v>274</v>
      </c>
      <c r="I68" s="147" t="s">
        <v>259</v>
      </c>
      <c r="J68" s="150" t="s">
        <v>275</v>
      </c>
      <c r="K68" s="331" t="s">
        <v>260</v>
      </c>
      <c r="L68" s="331" t="s">
        <v>261</v>
      </c>
      <c r="M68" s="147"/>
      <c r="N68" s="148" t="s">
        <v>262</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2011</v>
      </c>
      <c r="C70" s="38"/>
      <c r="D70" s="38"/>
      <c r="E70" s="38"/>
      <c r="F70" s="38"/>
      <c r="G70" s="38" t="s">
        <v>2012</v>
      </c>
      <c r="H70" s="38" t="s">
        <v>291</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292</v>
      </c>
      <c r="N70" s="17"/>
    </row>
    <row r="71" spans="1:14" ht="12.75" customHeight="1" x14ac:dyDescent="0.3">
      <c r="A71" s="17"/>
      <c r="B71" s="17" t="s">
        <v>2013</v>
      </c>
      <c r="C71" s="17"/>
      <c r="D71" s="17"/>
      <c r="E71" s="17"/>
      <c r="F71" s="17"/>
      <c r="G71" s="17" t="s">
        <v>2014</v>
      </c>
      <c r="H71" s="17" t="s">
        <v>291</v>
      </c>
      <c r="I71" s="277"/>
      <c r="J71" s="294" t="str">
        <f>IF(ISBLANK(HLOOKUP(CaseName,CaseData,MATCH($G71,cases!$G$4:$G$2494,0),FALSE)),"",HLOOKUP(CaseName,CaseData,MATCH($G71,cases!$G$4:$G$2494,0),FALSE))</f>
        <v/>
      </c>
      <c r="K71" s="986">
        <f>L35*L74/(1+L35*L74+L34*L75)</f>
        <v>0.74854509595646335</v>
      </c>
      <c r="L71" s="298">
        <f t="shared" si="4"/>
        <v>0.74854509595646335</v>
      </c>
      <c r="M71" s="38" t="s">
        <v>292</v>
      </c>
      <c r="N71" s="17" t="s">
        <v>1073</v>
      </c>
    </row>
    <row r="72" spans="1:14" ht="12.75" customHeight="1" x14ac:dyDescent="0.3">
      <c r="A72" s="17"/>
      <c r="B72" s="17" t="s">
        <v>2015</v>
      </c>
      <c r="C72" s="17"/>
      <c r="D72" s="17"/>
      <c r="E72" s="17"/>
      <c r="F72" s="17"/>
      <c r="G72" s="17" t="s">
        <v>2016</v>
      </c>
      <c r="H72" s="17" t="s">
        <v>291</v>
      </c>
      <c r="I72" s="277"/>
      <c r="J72" s="294" t="str">
        <f>IF(ISBLANK(HLOOKUP(CaseName,CaseData,MATCH($G72,cases!$G$4:$G$2494,0),FALSE)),"",HLOOKUP(CaseName,CaseData,MATCH($G72,cases!$G$4:$G$2494,0),FALSE))</f>
        <v/>
      </c>
      <c r="K72" s="986">
        <f>L34*L75/(1+L35*L74+L34*L75)</f>
        <v>0.25145490404311338</v>
      </c>
      <c r="L72" s="298">
        <f t="shared" si="4"/>
        <v>0.25145490404311338</v>
      </c>
      <c r="M72" s="38" t="s">
        <v>292</v>
      </c>
      <c r="N72" s="17" t="s">
        <v>1073</v>
      </c>
    </row>
    <row r="73" spans="1:14" ht="12.75" customHeight="1" x14ac:dyDescent="0.3">
      <c r="A73" s="17"/>
      <c r="B73" s="17"/>
      <c r="C73" s="38" t="s">
        <v>2017</v>
      </c>
      <c r="D73" s="38"/>
      <c r="E73" s="38"/>
      <c r="F73" s="38"/>
      <c r="G73" s="38" t="s">
        <v>2018</v>
      </c>
      <c r="H73" s="38" t="s">
        <v>291</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292</v>
      </c>
      <c r="N73" s="17"/>
    </row>
    <row r="74" spans="1:14" ht="12.75" customHeight="1" x14ac:dyDescent="0.4">
      <c r="A74" s="17"/>
      <c r="B74" s="17"/>
      <c r="C74" s="17" t="s">
        <v>2019</v>
      </c>
      <c r="D74" s="17"/>
      <c r="E74" s="17"/>
      <c r="F74" s="17"/>
      <c r="G74" s="17" t="s">
        <v>2020</v>
      </c>
      <c r="H74" s="17" t="s">
        <v>1081</v>
      </c>
      <c r="I74" s="277"/>
      <c r="J74" s="294" t="str">
        <f>IF(ISBLANK(HLOOKUP(CaseName,CaseData,MATCH($G74,cases!$G$4:$G$2494,0),FALSE)),"",HLOOKUP(CaseName,CaseData,MATCH($G74,cases!$G$4:$G$2494,0),FALSE))</f>
        <v/>
      </c>
      <c r="K74" s="986">
        <f>1/(L73*FRorig.aerw)</f>
        <v>8.8412629829224543E+22</v>
      </c>
      <c r="L74" s="298">
        <f t="shared" si="4"/>
        <v>8.8412629829224543E+22</v>
      </c>
      <c r="M74" s="38" t="s">
        <v>292</v>
      </c>
      <c r="N74" s="17"/>
    </row>
    <row r="75" spans="1:14" ht="12.75" customHeight="1" x14ac:dyDescent="0.4">
      <c r="A75" s="17"/>
      <c r="B75" s="17"/>
      <c r="C75" s="17" t="s">
        <v>2021</v>
      </c>
      <c r="D75" s="17"/>
      <c r="E75" s="17"/>
      <c r="F75" s="17"/>
      <c r="G75" s="17" t="s">
        <v>2022</v>
      </c>
      <c r="H75" s="17" t="s">
        <v>1084</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292</v>
      </c>
      <c r="N75" s="17" t="s">
        <v>1085</v>
      </c>
    </row>
    <row r="76" spans="1:14" ht="12.75" customHeight="1" x14ac:dyDescent="0.3">
      <c r="A76" s="38"/>
      <c r="B76" s="38" t="s">
        <v>2023</v>
      </c>
      <c r="C76" s="146"/>
      <c r="D76" s="17"/>
      <c r="E76" s="17"/>
      <c r="F76" s="17"/>
      <c r="G76" s="146" t="s">
        <v>2024</v>
      </c>
      <c r="H76" s="38" t="s">
        <v>291</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292</v>
      </c>
      <c r="N76" s="17"/>
    </row>
    <row r="77" spans="1:14" ht="12.75" customHeight="1" x14ac:dyDescent="0.3">
      <c r="A77" s="38"/>
      <c r="B77" s="17"/>
      <c r="C77" s="38" t="s">
        <v>1088</v>
      </c>
      <c r="D77" s="17"/>
      <c r="E77" s="17"/>
      <c r="F77" s="17"/>
      <c r="G77" s="146" t="s">
        <v>2025</v>
      </c>
      <c r="H77" s="38" t="s">
        <v>1090</v>
      </c>
      <c r="I77" s="274"/>
      <c r="J77" s="294" t="str">
        <f>IF(ISBLANK(HLOOKUP(CaseName,CaseData,MATCH($G77,cases!$G$4:$G$2494,0),FALSE)),"",HLOOKUP(CaseName,CaseData,MATCH($G77,cases!$G$4:$G$2494,0),FALSE))</f>
        <v/>
      </c>
      <c r="K77" s="987">
        <f>(FRorig.w1*Ksw+(1-FRorig.w1)*Ksw.alt)*(1000/RHOsolid/CORG)*L78</f>
        <v>95000</v>
      </c>
      <c r="L77" s="298">
        <f t="shared" si="4"/>
        <v>95000</v>
      </c>
      <c r="M77" s="38" t="s">
        <v>1091</v>
      </c>
      <c r="N77" s="17"/>
    </row>
    <row r="78" spans="1:14" ht="12.75" customHeight="1" x14ac:dyDescent="0.3">
      <c r="A78" s="38"/>
      <c r="B78" s="17"/>
      <c r="C78" s="38" t="s">
        <v>1092</v>
      </c>
      <c r="D78" s="17"/>
      <c r="E78" s="17"/>
      <c r="F78" s="17"/>
      <c r="G78" s="146" t="s">
        <v>2026</v>
      </c>
      <c r="H78" s="38" t="s">
        <v>291</v>
      </c>
      <c r="I78" s="274"/>
      <c r="J78" s="294" t="str">
        <f>IF(ISBLANK(HLOOKUP(CaseName,CaseData,MATCH($G78,cases!$G$4:$G$2494,0),FALSE)),"",HLOOKUP(CaseName,CaseData,MATCH($G78,cases!$G$4:$G$2494,0),FALSE))</f>
        <v/>
      </c>
      <c r="K78" s="988">
        <v>0.1</v>
      </c>
      <c r="L78" s="298">
        <f t="shared" si="4"/>
        <v>0.1</v>
      </c>
      <c r="M78" s="38" t="s">
        <v>292</v>
      </c>
      <c r="N78" s="17"/>
    </row>
    <row r="79" spans="1:14" ht="12.75" customHeight="1" x14ac:dyDescent="0.3">
      <c r="A79" s="38"/>
      <c r="B79" s="17"/>
      <c r="C79" s="38" t="s">
        <v>1094</v>
      </c>
      <c r="D79" s="17"/>
      <c r="E79" s="17"/>
      <c r="F79" s="17"/>
      <c r="G79" s="146" t="s">
        <v>2027</v>
      </c>
      <c r="H79" s="38" t="s">
        <v>1096</v>
      </c>
      <c r="I79" s="274"/>
      <c r="J79" s="294" t="str">
        <f>IF(ISBLANK(HLOOKUP(CaseName,CaseData,MATCH($G79,cases!$G$4:$G$2494,0),FALSE)),"",HLOOKUP(CaseName,CaseData,MATCH($G79,cases!$G$4:$G$2494,0),FALSE))</f>
        <v/>
      </c>
      <c r="K79" s="988">
        <f>0.08*D</f>
        <v>220</v>
      </c>
      <c r="L79" s="298">
        <f t="shared" si="4"/>
        <v>220</v>
      </c>
      <c r="M79" s="38" t="s">
        <v>1091</v>
      </c>
      <c r="N79" s="17"/>
    </row>
    <row r="80" spans="1:14" ht="12.75" customHeight="1" x14ac:dyDescent="0.3">
      <c r="A80" s="38"/>
      <c r="B80" s="38" t="s">
        <v>2028</v>
      </c>
      <c r="C80" s="146"/>
      <c r="D80" s="17"/>
      <c r="E80" s="17"/>
      <c r="F80" s="17"/>
      <c r="G80" s="146" t="s">
        <v>2029</v>
      </c>
      <c r="H80" s="38" t="s">
        <v>291</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292</v>
      </c>
      <c r="N80" s="17"/>
    </row>
    <row r="81" spans="1:14" ht="12.75" customHeight="1" x14ac:dyDescent="0.3">
      <c r="A81" s="38"/>
      <c r="B81" s="17"/>
      <c r="C81" s="38" t="s">
        <v>1088</v>
      </c>
      <c r="D81" s="17"/>
      <c r="E81" s="17"/>
      <c r="F81" s="17"/>
      <c r="G81" s="146" t="s">
        <v>2030</v>
      </c>
      <c r="H81" s="38" t="s">
        <v>1096</v>
      </c>
      <c r="I81" s="281"/>
      <c r="J81" s="294" t="str">
        <f>IF(ISBLANK(HLOOKUP(CaseName,CaseData,MATCH($G81,cases!$G$4:$G$2494,0),FALSE)),"",HLOOKUP(CaseName,CaseData,MATCH($G81,cases!$G$4:$G$2494,0),FALSE))</f>
        <v/>
      </c>
      <c r="K81" s="988">
        <f>(FRorig.w1*Ksw+(1-FRorig.w1)*Ksw.alt)*(1000/RHOsolid/CORG)*L82</f>
        <v>95000</v>
      </c>
      <c r="L81" s="298">
        <f t="shared" si="4"/>
        <v>95000</v>
      </c>
      <c r="M81" s="38" t="s">
        <v>1091</v>
      </c>
      <c r="N81" s="17"/>
    </row>
    <row r="82" spans="1:14" ht="12.75" customHeight="1" x14ac:dyDescent="0.3">
      <c r="A82" s="38"/>
      <c r="B82" s="17"/>
      <c r="C82" s="38" t="s">
        <v>1092</v>
      </c>
      <c r="D82" s="17"/>
      <c r="E82" s="17"/>
      <c r="F82" s="17"/>
      <c r="G82" s="146" t="s">
        <v>2031</v>
      </c>
      <c r="H82" s="38" t="s">
        <v>291</v>
      </c>
      <c r="I82" s="281"/>
      <c r="J82" s="294" t="str">
        <f>IF(ISBLANK(HLOOKUP(CaseName,CaseData,MATCH($G82,cases!$G$4:$G$2494,0),FALSE)),"",HLOOKUP(CaseName,CaseData,MATCH($G82,cases!$G$4:$G$2494,0),FALSE))</f>
        <v/>
      </c>
      <c r="K82" s="988">
        <v>0.1</v>
      </c>
      <c r="L82" s="298">
        <f t="shared" si="4"/>
        <v>0.1</v>
      </c>
      <c r="M82" s="38" t="s">
        <v>292</v>
      </c>
      <c r="N82" s="17"/>
    </row>
    <row r="83" spans="1:14" ht="12.75" customHeight="1" x14ac:dyDescent="0.3">
      <c r="A83" s="38"/>
      <c r="B83" s="17"/>
      <c r="C83" s="38" t="s">
        <v>1094</v>
      </c>
      <c r="D83" s="17"/>
      <c r="E83" s="17"/>
      <c r="F83" s="17"/>
      <c r="G83" s="146" t="s">
        <v>2032</v>
      </c>
      <c r="H83" s="38" t="s">
        <v>1096</v>
      </c>
      <c r="I83" s="274"/>
      <c r="J83" s="294" t="str">
        <f>IF(ISBLANK(HLOOKUP(CaseName,CaseData,MATCH($G83,cases!$G$4:$G$2494,0),FALSE)),"",HLOOKUP(CaseName,CaseData,MATCH($G83,cases!$G$4:$G$2494,0),FALSE))</f>
        <v/>
      </c>
      <c r="K83" s="988">
        <f>0.08*D</f>
        <v>220</v>
      </c>
      <c r="L83" s="298">
        <f t="shared" si="4"/>
        <v>220</v>
      </c>
      <c r="M83" s="38" t="s">
        <v>1091</v>
      </c>
      <c r="N83" s="17"/>
    </row>
    <row r="84" spans="1:14" ht="12.75" customHeight="1" x14ac:dyDescent="0.3">
      <c r="A84" s="38"/>
      <c r="B84" s="38" t="s">
        <v>2033</v>
      </c>
      <c r="C84" s="146"/>
      <c r="D84" s="17"/>
      <c r="E84" s="17"/>
      <c r="F84" s="17"/>
      <c r="G84" s="146" t="s">
        <v>2034</v>
      </c>
      <c r="H84" s="38" t="s">
        <v>291</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292</v>
      </c>
      <c r="N84" s="17"/>
    </row>
    <row r="85" spans="1:14" ht="12.75" customHeight="1" x14ac:dyDescent="0.3">
      <c r="A85" s="38"/>
      <c r="B85" s="17"/>
      <c r="C85" s="38" t="s">
        <v>1088</v>
      </c>
      <c r="D85" s="17"/>
      <c r="E85" s="17"/>
      <c r="F85" s="17"/>
      <c r="G85" s="146" t="s">
        <v>2035</v>
      </c>
      <c r="H85" s="38" t="s">
        <v>1096</v>
      </c>
      <c r="I85" s="281"/>
      <c r="J85" s="294" t="str">
        <f>IF(ISBLANK(HLOOKUP(CaseName,CaseData,MATCH($G85,cases!$G$4:$G$2494,0),FALSE)),"",HLOOKUP(CaseName,CaseData,MATCH($G85,cases!$G$4:$G$2494,0),FALSE))</f>
        <v/>
      </c>
      <c r="K85" s="988">
        <f>(FRorig.w2*Ksw+(1-FRorig.w2)*Ksw.alt)*(1000/RHOsolid/CORG)*L86</f>
        <v>95000</v>
      </c>
      <c r="L85" s="298">
        <f t="shared" si="4"/>
        <v>95000</v>
      </c>
      <c r="M85" s="38" t="s">
        <v>1091</v>
      </c>
      <c r="N85" s="17"/>
    </row>
    <row r="86" spans="1:14" ht="12.75" customHeight="1" x14ac:dyDescent="0.3">
      <c r="A86" s="38"/>
      <c r="B86" s="17"/>
      <c r="C86" s="38" t="s">
        <v>1092</v>
      </c>
      <c r="D86" s="17"/>
      <c r="E86" s="17"/>
      <c r="F86" s="17"/>
      <c r="G86" s="146" t="s">
        <v>2036</v>
      </c>
      <c r="H86" s="38" t="s">
        <v>291</v>
      </c>
      <c r="I86" s="281"/>
      <c r="J86" s="294" t="str">
        <f>IF(ISBLANK(HLOOKUP(CaseName,CaseData,MATCH($G86,cases!$G$4:$G$2494,0),FALSE)),"",HLOOKUP(CaseName,CaseData,MATCH($G86,cases!$G$4:$G$2494,0),FALSE))</f>
        <v/>
      </c>
      <c r="K86" s="988">
        <v>0.1</v>
      </c>
      <c r="L86" s="298">
        <f t="shared" si="4"/>
        <v>0.1</v>
      </c>
      <c r="M86" s="38" t="s">
        <v>292</v>
      </c>
      <c r="N86" s="17"/>
    </row>
    <row r="87" spans="1:14" ht="12.75" customHeight="1" x14ac:dyDescent="0.3">
      <c r="A87" s="38"/>
      <c r="B87" s="17"/>
      <c r="C87" s="38" t="s">
        <v>1094</v>
      </c>
      <c r="D87" s="17"/>
      <c r="E87" s="17"/>
      <c r="F87" s="17"/>
      <c r="G87" s="146" t="s">
        <v>2037</v>
      </c>
      <c r="H87" s="38" t="s">
        <v>1096</v>
      </c>
      <c r="I87" s="274"/>
      <c r="J87" s="294" t="str">
        <f>IF(ISBLANK(HLOOKUP(CaseName,CaseData,MATCH($G87,cases!$G$4:$G$2494,0),FALSE)),"",HLOOKUP(CaseName,CaseData,MATCH($G87,cases!$G$4:$G$2494,0),FALSE))</f>
        <v/>
      </c>
      <c r="K87" s="988">
        <f>0.08*D</f>
        <v>220</v>
      </c>
      <c r="L87" s="298">
        <f t="shared" si="4"/>
        <v>220</v>
      </c>
      <c r="M87" s="38" t="s">
        <v>1091</v>
      </c>
      <c r="N87" s="17"/>
    </row>
    <row r="88" spans="1:14" s="386" customFormat="1" ht="12.75" customHeight="1" x14ac:dyDescent="0.3">
      <c r="A88" s="567"/>
      <c r="B88" s="567" t="s">
        <v>1107</v>
      </c>
      <c r="C88" s="679"/>
      <c r="D88" s="566"/>
      <c r="E88" s="566"/>
      <c r="F88" s="566"/>
      <c r="G88" s="679" t="s">
        <v>2038</v>
      </c>
      <c r="H88" s="567" t="s">
        <v>291</v>
      </c>
      <c r="I88" s="704"/>
      <c r="J88" s="294" t="str">
        <f>IF(ISBLANK(HLOOKUP(CaseName,CaseData,MATCH($G88,cases!$G$4:$G$2494,0),FALSE)),"",HLOOKUP(CaseName,CaseData,MATCH($G88,cases!$G$4:$G$2494,0),FALSE))</f>
        <v/>
      </c>
      <c r="K88" s="988">
        <f>L45+L46*L89*RHOsolid/1000</f>
        <v>23750.799999999996</v>
      </c>
      <c r="L88" s="298">
        <f t="shared" si="4"/>
        <v>23750.799999999996</v>
      </c>
      <c r="M88" s="567" t="s">
        <v>292</v>
      </c>
      <c r="N88" s="577"/>
    </row>
    <row r="89" spans="1:14" s="386" customFormat="1" ht="12.75" customHeight="1" x14ac:dyDescent="0.3">
      <c r="A89" s="567"/>
      <c r="B89" s="566"/>
      <c r="C89" s="567" t="s">
        <v>1109</v>
      </c>
      <c r="D89" s="566"/>
      <c r="E89" s="566"/>
      <c r="F89" s="566"/>
      <c r="G89" s="679" t="s">
        <v>2039</v>
      </c>
      <c r="H89" s="567" t="s">
        <v>1096</v>
      </c>
      <c r="I89" s="704"/>
      <c r="J89" s="294" t="str">
        <f>IF(ISBLANK(HLOOKUP(CaseName,CaseData,MATCH($G89,cases!$G$4:$G$2494,0),FALSE)),"",HLOOKUP(CaseName,CaseData,MATCH($G89,cases!$G$4:$G$2494,0),FALSE))</f>
        <v/>
      </c>
      <c r="K89" s="988">
        <f>(FRorig.sd1*Ksw+(1-FRorig.sd1)*Ksw.alt)*(1000/RHOsolid/CORG)*L90</f>
        <v>47500</v>
      </c>
      <c r="L89" s="298">
        <f t="shared" si="4"/>
        <v>47500</v>
      </c>
      <c r="M89" s="567" t="s">
        <v>1091</v>
      </c>
      <c r="N89" s="577"/>
    </row>
    <row r="90" spans="1:14" s="386" customFormat="1" ht="12.75" customHeight="1" x14ac:dyDescent="0.3">
      <c r="A90" s="567"/>
      <c r="B90" s="566"/>
      <c r="C90" s="567" t="s">
        <v>1111</v>
      </c>
      <c r="D90" s="566"/>
      <c r="E90" s="566"/>
      <c r="F90" s="566"/>
      <c r="G90" s="679" t="s">
        <v>2040</v>
      </c>
      <c r="H90" s="567" t="s">
        <v>291</v>
      </c>
      <c r="I90" s="704"/>
      <c r="J90" s="294" t="str">
        <f>IF(ISBLANK(HLOOKUP(CaseName,CaseData,MATCH($G90,cases!$G$4:$G$2494,0),FALSE)),"",HLOOKUP(CaseName,CaseData,MATCH($G90,cases!$G$4:$G$2494,0),FALSE))</f>
        <v/>
      </c>
      <c r="K90" s="988">
        <v>0.05</v>
      </c>
      <c r="L90" s="298">
        <f t="shared" si="4"/>
        <v>0.05</v>
      </c>
      <c r="M90" s="566" t="s">
        <v>292</v>
      </c>
      <c r="N90" s="577"/>
    </row>
    <row r="91" spans="1:14" ht="12.75" customHeight="1" x14ac:dyDescent="0.3">
      <c r="A91" s="38"/>
      <c r="B91" s="38" t="s">
        <v>1113</v>
      </c>
      <c r="C91" s="146"/>
      <c r="D91" s="17"/>
      <c r="E91" s="17"/>
      <c r="F91" s="17"/>
      <c r="G91" s="146" t="s">
        <v>2041</v>
      </c>
      <c r="H91" s="38" t="s">
        <v>291</v>
      </c>
      <c r="I91" s="281"/>
      <c r="J91" s="294" t="str">
        <f>IF(ISBLANK(HLOOKUP(CaseName,CaseData,MATCH($G91,cases!$G$4:$G$2494,0),FALSE)),"",HLOOKUP(CaseName,CaseData,MATCH($G91,cases!$G$4:$G$2494,0),FALSE))</f>
        <v/>
      </c>
      <c r="K91" s="988">
        <f>L45+L46*L92*RHOsolid/1000</f>
        <v>23750.799999999996</v>
      </c>
      <c r="L91" s="298">
        <f t="shared" si="4"/>
        <v>23750.799999999996</v>
      </c>
      <c r="M91" s="38" t="s">
        <v>292</v>
      </c>
      <c r="N91" s="17"/>
    </row>
    <row r="92" spans="1:14" ht="12.75" customHeight="1" x14ac:dyDescent="0.3">
      <c r="A92" s="38"/>
      <c r="B92" s="17"/>
      <c r="C92" s="38" t="s">
        <v>1115</v>
      </c>
      <c r="D92" s="17"/>
      <c r="E92" s="17"/>
      <c r="F92" s="17"/>
      <c r="G92" s="146" t="s">
        <v>2042</v>
      </c>
      <c r="H92" s="38" t="s">
        <v>1096</v>
      </c>
      <c r="I92" s="281"/>
      <c r="J92" s="294" t="str">
        <f>IF(ISBLANK(HLOOKUP(CaseName,CaseData,MATCH($G92,cases!$G$4:$G$2494,0),FALSE)),"",HLOOKUP(CaseName,CaseData,MATCH($G92,cases!$G$4:$G$2494,0),FALSE))</f>
        <v/>
      </c>
      <c r="K92" s="988">
        <f>(FRorig.sd1*Ksw+(1-FRorig.sd1)*Ksw.alt)*(1000/RHOsolid/CORG)*L93</f>
        <v>47500</v>
      </c>
      <c r="L92" s="298">
        <f t="shared" si="4"/>
        <v>47500</v>
      </c>
      <c r="M92" s="38" t="s">
        <v>1091</v>
      </c>
      <c r="N92" s="17"/>
    </row>
    <row r="93" spans="1:14" ht="12.75" customHeight="1" x14ac:dyDescent="0.3">
      <c r="A93" s="38"/>
      <c r="B93" s="17"/>
      <c r="C93" s="38" t="s">
        <v>1117</v>
      </c>
      <c r="D93" s="17"/>
      <c r="E93" s="17"/>
      <c r="F93" s="17"/>
      <c r="G93" s="146" t="s">
        <v>2043</v>
      </c>
      <c r="H93" s="38" t="s">
        <v>291</v>
      </c>
      <c r="I93" s="281"/>
      <c r="J93" s="294" t="str">
        <f>IF(ISBLANK(HLOOKUP(CaseName,CaseData,MATCH($G93,cases!$G$4:$G$2494,0),FALSE)),"",HLOOKUP(CaseName,CaseData,MATCH($G93,cases!$G$4:$G$2494,0),FALSE))</f>
        <v/>
      </c>
      <c r="K93" s="988">
        <v>0.05</v>
      </c>
      <c r="L93" s="298">
        <f t="shared" si="4"/>
        <v>0.05</v>
      </c>
      <c r="M93" s="17" t="s">
        <v>292</v>
      </c>
      <c r="N93" s="17"/>
    </row>
    <row r="94" spans="1:14" ht="12.75" customHeight="1" x14ac:dyDescent="0.3">
      <c r="A94" s="38"/>
      <c r="B94" s="38" t="s">
        <v>1119</v>
      </c>
      <c r="C94" s="146"/>
      <c r="D94" s="17"/>
      <c r="E94" s="17"/>
      <c r="F94" s="17"/>
      <c r="G94" s="146" t="s">
        <v>2044</v>
      </c>
      <c r="H94" s="38" t="s">
        <v>291</v>
      </c>
      <c r="I94" s="281"/>
      <c r="J94" s="294" t="str">
        <f>IF(ISBLANK(HLOOKUP(CaseName,CaseData,MATCH($G94,cases!$G$4:$G$2494,0),FALSE)),"",HLOOKUP(CaseName,CaseData,MATCH($G94,cases!$G$4:$G$2494,0),FALSE))</f>
        <v/>
      </c>
      <c r="K94" s="988">
        <f>L45+L46*L95*RHOsolid/1000</f>
        <v>23750.799999999996</v>
      </c>
      <c r="L94" s="298">
        <f t="shared" si="4"/>
        <v>23750.799999999996</v>
      </c>
      <c r="M94" s="17" t="s">
        <v>292</v>
      </c>
      <c r="N94" s="17"/>
    </row>
    <row r="95" spans="1:14" ht="12.75" customHeight="1" x14ac:dyDescent="0.3">
      <c r="A95" s="38"/>
      <c r="B95" s="17"/>
      <c r="C95" s="38" t="s">
        <v>1121</v>
      </c>
      <c r="D95" s="17"/>
      <c r="E95" s="17"/>
      <c r="F95" s="17"/>
      <c r="G95" s="146" t="s">
        <v>2045</v>
      </c>
      <c r="H95" s="38" t="s">
        <v>1096</v>
      </c>
      <c r="I95" s="281"/>
      <c r="J95" s="294" t="str">
        <f>IF(ISBLANK(HLOOKUP(CaseName,CaseData,MATCH($G95,cases!$G$4:$G$2494,0),FALSE)),"",HLOOKUP(CaseName,CaseData,MATCH($G95,cases!$G$4:$G$2494,0),FALSE))</f>
        <v/>
      </c>
      <c r="K95" s="988">
        <f>(FRorig.sd2*Ksw+(1-FRorig.sd2)*Ksw.alt)*(1000/RHOsolid/CORG)*L96</f>
        <v>47500</v>
      </c>
      <c r="L95" s="298">
        <f t="shared" si="4"/>
        <v>47500</v>
      </c>
      <c r="M95" s="38" t="s">
        <v>1091</v>
      </c>
      <c r="N95" s="17"/>
    </row>
    <row r="96" spans="1:14" ht="12.75" customHeight="1" x14ac:dyDescent="0.3">
      <c r="A96" s="38"/>
      <c r="B96" s="17"/>
      <c r="C96" s="38" t="s">
        <v>1123</v>
      </c>
      <c r="D96" s="17"/>
      <c r="E96" s="17"/>
      <c r="F96" s="17"/>
      <c r="G96" s="146" t="s">
        <v>2046</v>
      </c>
      <c r="H96" s="38" t="s">
        <v>291</v>
      </c>
      <c r="I96" s="281"/>
      <c r="J96" s="294" t="str">
        <f>IF(ISBLANK(HLOOKUP(CaseName,CaseData,MATCH($G96,cases!$G$4:$G$2494,0),FALSE)),"",HLOOKUP(CaseName,CaseData,MATCH($G96,cases!$G$4:$G$2494,0),FALSE))</f>
        <v/>
      </c>
      <c r="K96" s="988">
        <v>0.05</v>
      </c>
      <c r="L96" s="298">
        <f t="shared" si="4"/>
        <v>0.05</v>
      </c>
      <c r="M96" s="17" t="s">
        <v>292</v>
      </c>
      <c r="N96" s="17"/>
    </row>
    <row r="97" spans="1:14" ht="12.75" customHeight="1" x14ac:dyDescent="0.3">
      <c r="A97" s="38"/>
      <c r="B97" s="38" t="s">
        <v>1125</v>
      </c>
      <c r="C97" s="146"/>
      <c r="D97" s="17"/>
      <c r="E97" s="17"/>
      <c r="F97" s="17"/>
      <c r="G97" s="146" t="s">
        <v>2047</v>
      </c>
      <c r="H97" s="38" t="s">
        <v>291</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292</v>
      </c>
      <c r="N97" s="17"/>
    </row>
    <row r="98" spans="1:14" ht="12.75" customHeight="1" x14ac:dyDescent="0.3">
      <c r="A98" s="38"/>
      <c r="B98" s="38" t="s">
        <v>2048</v>
      </c>
      <c r="C98" s="146"/>
      <c r="D98" s="17"/>
      <c r="E98" s="17"/>
      <c r="F98" s="17"/>
      <c r="G98" s="146" t="s">
        <v>2049</v>
      </c>
      <c r="H98" s="38" t="s">
        <v>291</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292</v>
      </c>
      <c r="N98" s="17"/>
    </row>
    <row r="99" spans="1:14" ht="12.75" customHeight="1" x14ac:dyDescent="0.3">
      <c r="A99" s="38"/>
      <c r="B99" s="38" t="s">
        <v>2050</v>
      </c>
      <c r="C99" s="146"/>
      <c r="D99" s="17"/>
      <c r="E99" s="17"/>
      <c r="F99" s="17"/>
      <c r="G99" s="146" t="s">
        <v>2051</v>
      </c>
      <c r="H99" s="38" t="s">
        <v>291</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292</v>
      </c>
      <c r="N99" s="17"/>
    </row>
    <row r="100" spans="1:14" ht="12.75" customHeight="1" x14ac:dyDescent="0.3">
      <c r="A100" s="38"/>
      <c r="B100" s="17"/>
      <c r="C100" s="38" t="s">
        <v>1131</v>
      </c>
      <c r="D100" s="17"/>
      <c r="E100" s="17"/>
      <c r="F100" s="17"/>
      <c r="G100" s="146" t="s">
        <v>2052</v>
      </c>
      <c r="H100" s="38" t="s">
        <v>1096</v>
      </c>
      <c r="I100" s="281"/>
      <c r="J100" s="294" t="str">
        <f>IF(ISBLANK(HLOOKUP(CaseName,CaseData,MATCH($G100,cases!$G$4:$G$2494,0),FALSE)),"",HLOOKUP(CaseName,CaseData,MATCH($G100,cases!$G$4:$G$2494,0),FALSE))</f>
        <v/>
      </c>
      <c r="K100" s="988">
        <f>(FRorig.s1*Ksw+(1-FRorig.s1)*Ksw.alt)*(1000/RHOsolid/CORG)*L101</f>
        <v>19000</v>
      </c>
      <c r="L100" s="298">
        <f t="shared" si="4"/>
        <v>19000</v>
      </c>
      <c r="M100" s="38" t="s">
        <v>1091</v>
      </c>
      <c r="N100" s="17"/>
    </row>
    <row r="101" spans="1:14" ht="12.75" customHeight="1" x14ac:dyDescent="0.3">
      <c r="A101" s="38"/>
      <c r="B101" s="17"/>
      <c r="C101" s="38" t="s">
        <v>1133</v>
      </c>
      <c r="D101" s="17"/>
      <c r="E101" s="17"/>
      <c r="F101" s="17"/>
      <c r="G101" s="146" t="s">
        <v>2053</v>
      </c>
      <c r="H101" s="38" t="s">
        <v>291</v>
      </c>
      <c r="I101" s="281"/>
      <c r="J101" s="294" t="str">
        <f>IF(ISBLANK(HLOOKUP(CaseName,CaseData,MATCH($G101,cases!$G$4:$G$2494,0),FALSE)),"",HLOOKUP(CaseName,CaseData,MATCH($G101,cases!$G$4:$G$2494,0),FALSE))</f>
        <v/>
      </c>
      <c r="K101" s="988">
        <v>0.02</v>
      </c>
      <c r="L101" s="298">
        <f t="shared" si="4"/>
        <v>0.02</v>
      </c>
      <c r="M101" s="17" t="s">
        <v>292</v>
      </c>
      <c r="N101" s="17"/>
    </row>
    <row r="102" spans="1:14" ht="12.75" customHeight="1" x14ac:dyDescent="0.3">
      <c r="A102" s="38"/>
      <c r="B102" s="38" t="s">
        <v>1135</v>
      </c>
      <c r="C102" s="146"/>
      <c r="D102" s="17"/>
      <c r="E102" s="17"/>
      <c r="F102" s="17"/>
      <c r="G102" s="146" t="s">
        <v>2054</v>
      </c>
      <c r="H102" s="38" t="s">
        <v>291</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292</v>
      </c>
      <c r="N102" s="17"/>
    </row>
    <row r="103" spans="1:14" ht="12.75" customHeight="1" x14ac:dyDescent="0.3">
      <c r="A103" s="38"/>
      <c r="B103" s="38" t="s">
        <v>2055</v>
      </c>
      <c r="C103" s="146"/>
      <c r="D103" s="17"/>
      <c r="E103" s="17"/>
      <c r="F103" s="17"/>
      <c r="G103" s="146" t="s">
        <v>2056</v>
      </c>
      <c r="H103" s="38" t="s">
        <v>291</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292</v>
      </c>
      <c r="N103" s="17"/>
    </row>
    <row r="104" spans="1:14" ht="12.75" customHeight="1" x14ac:dyDescent="0.3">
      <c r="A104" s="38"/>
      <c r="B104" s="38" t="s">
        <v>2057</v>
      </c>
      <c r="C104" s="146"/>
      <c r="D104" s="17"/>
      <c r="E104" s="17"/>
      <c r="F104" s="17"/>
      <c r="G104" s="146" t="s">
        <v>2058</v>
      </c>
      <c r="H104" s="38" t="s">
        <v>291</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292</v>
      </c>
      <c r="N104" s="17"/>
    </row>
    <row r="105" spans="1:14" ht="12.75" customHeight="1" x14ac:dyDescent="0.3">
      <c r="A105" s="38"/>
      <c r="B105" s="17"/>
      <c r="C105" s="38" t="s">
        <v>1141</v>
      </c>
      <c r="D105" s="17"/>
      <c r="E105" s="17"/>
      <c r="F105" s="17"/>
      <c r="G105" s="146" t="s">
        <v>2059</v>
      </c>
      <c r="H105" s="38" t="s">
        <v>1096</v>
      </c>
      <c r="I105" s="281"/>
      <c r="J105" s="294" t="str">
        <f>IF(ISBLANK(HLOOKUP(CaseName,CaseData,MATCH($G105,cases!$G$4:$G$2494,0),FALSE)),"",HLOOKUP(CaseName,CaseData,MATCH($G105,cases!$G$4:$G$2494,0),FALSE))</f>
        <v/>
      </c>
      <c r="K105" s="988">
        <f>(FRorig.s2*Ksw+(1-FRorig.s2)*Ksw.alt)*(1000/RHOsolid/CORG)*L106</f>
        <v>19000</v>
      </c>
      <c r="L105" s="298">
        <f t="shared" si="4"/>
        <v>19000</v>
      </c>
      <c r="M105" s="38" t="s">
        <v>1091</v>
      </c>
      <c r="N105" s="17"/>
    </row>
    <row r="106" spans="1:14" ht="12.75" customHeight="1" x14ac:dyDescent="0.3">
      <c r="A106" s="38"/>
      <c r="B106" s="17"/>
      <c r="C106" s="38" t="s">
        <v>1143</v>
      </c>
      <c r="D106" s="17"/>
      <c r="E106" s="17"/>
      <c r="F106" s="17"/>
      <c r="G106" s="146" t="s">
        <v>2060</v>
      </c>
      <c r="H106" s="38" t="s">
        <v>291</v>
      </c>
      <c r="I106" s="281"/>
      <c r="J106" s="294" t="str">
        <f>IF(ISBLANK(HLOOKUP(CaseName,CaseData,MATCH($G106,cases!$G$4:$G$2494,0),FALSE)),"",HLOOKUP(CaseName,CaseData,MATCH($G106,cases!$G$4:$G$2494,0),FALSE))</f>
        <v/>
      </c>
      <c r="K106" s="988">
        <v>0.02</v>
      </c>
      <c r="L106" s="298">
        <f t="shared" si="4"/>
        <v>0.02</v>
      </c>
      <c r="M106" s="17" t="s">
        <v>292</v>
      </c>
      <c r="N106" s="17"/>
    </row>
    <row r="107" spans="1:14" ht="12.75" customHeight="1" x14ac:dyDescent="0.3">
      <c r="A107" s="38"/>
      <c r="B107" s="38" t="s">
        <v>1145</v>
      </c>
      <c r="C107" s="146"/>
      <c r="D107" s="17"/>
      <c r="E107" s="17"/>
      <c r="F107" s="17"/>
      <c r="G107" s="146" t="s">
        <v>2061</v>
      </c>
      <c r="H107" s="38" t="s">
        <v>291</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292</v>
      </c>
      <c r="N107" s="17"/>
    </row>
    <row r="108" spans="1:14" ht="12.75" customHeight="1" x14ac:dyDescent="0.3">
      <c r="A108" s="38"/>
      <c r="B108" s="38" t="s">
        <v>2062</v>
      </c>
      <c r="C108" s="146"/>
      <c r="D108" s="17"/>
      <c r="E108" s="17"/>
      <c r="F108" s="17"/>
      <c r="G108" s="146" t="s">
        <v>2063</v>
      </c>
      <c r="H108" s="38" t="s">
        <v>291</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292</v>
      </c>
      <c r="N108" s="17"/>
    </row>
    <row r="109" spans="1:14" ht="12.75" customHeight="1" x14ac:dyDescent="0.3">
      <c r="A109" s="38"/>
      <c r="B109" s="38" t="s">
        <v>2064</v>
      </c>
      <c r="C109" s="146"/>
      <c r="D109" s="17"/>
      <c r="E109" s="17"/>
      <c r="F109" s="17"/>
      <c r="G109" s="146" t="s">
        <v>2065</v>
      </c>
      <c r="H109" s="38" t="s">
        <v>291</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292</v>
      </c>
      <c r="N109" s="17"/>
    </row>
    <row r="110" spans="1:14" ht="12.75" customHeight="1" x14ac:dyDescent="0.3">
      <c r="A110" s="38"/>
      <c r="B110" s="17"/>
      <c r="C110" s="38" t="s">
        <v>1151</v>
      </c>
      <c r="D110" s="17"/>
      <c r="E110" s="17"/>
      <c r="F110" s="17"/>
      <c r="G110" s="146" t="s">
        <v>2066</v>
      </c>
      <c r="H110" s="38" t="s">
        <v>1096</v>
      </c>
      <c r="I110" s="281"/>
      <c r="J110" s="294" t="str">
        <f>IF(ISBLANK(HLOOKUP(CaseName,CaseData,MATCH($G110,cases!$G$4:$G$2494,0),FALSE)),"",HLOOKUP(CaseName,CaseData,MATCH($G110,cases!$G$4:$G$2494,0),FALSE))</f>
        <v/>
      </c>
      <c r="K110" s="988">
        <f>(FRorig.s3*Ksw+(1-FRorig.s3)*Ksw.alt)*(1000/RHOsolid/CORG)*L111</f>
        <v>19000</v>
      </c>
      <c r="L110" s="298">
        <f t="shared" si="4"/>
        <v>19000</v>
      </c>
      <c r="M110" s="38" t="s">
        <v>1091</v>
      </c>
      <c r="N110" s="17"/>
    </row>
    <row r="111" spans="1:14" ht="12.75" customHeight="1" x14ac:dyDescent="0.3">
      <c r="A111" s="38"/>
      <c r="B111" s="17"/>
      <c r="C111" s="38" t="s">
        <v>1153</v>
      </c>
      <c r="D111" s="17"/>
      <c r="E111" s="17"/>
      <c r="F111" s="17"/>
      <c r="G111" s="146" t="s">
        <v>2067</v>
      </c>
      <c r="H111" s="38" t="s">
        <v>291</v>
      </c>
      <c r="I111" s="281"/>
      <c r="J111" s="294" t="str">
        <f>IF(ISBLANK(HLOOKUP(CaseName,CaseData,MATCH($G111,cases!$G$4:$G$2494,0),FALSE)),"",HLOOKUP(CaseName,CaseData,MATCH($G111,cases!$G$4:$G$2494,0),FALSE))</f>
        <v/>
      </c>
      <c r="K111" s="988">
        <v>0.02</v>
      </c>
      <c r="L111" s="298">
        <f t="shared" si="4"/>
        <v>0.02</v>
      </c>
      <c r="M111" s="17" t="s">
        <v>292</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1155</v>
      </c>
      <c r="B113" s="147"/>
      <c r="C113" s="147"/>
      <c r="D113" s="147"/>
      <c r="E113" s="147"/>
      <c r="F113" s="147"/>
      <c r="G113" s="148" t="s">
        <v>258</v>
      </c>
      <c r="H113" s="148" t="s">
        <v>274</v>
      </c>
      <c r="I113" s="147" t="s">
        <v>259</v>
      </c>
      <c r="J113" s="150" t="s">
        <v>275</v>
      </c>
      <c r="K113" s="331" t="s">
        <v>260</v>
      </c>
      <c r="L113" s="331" t="s">
        <v>261</v>
      </c>
      <c r="M113" s="147"/>
      <c r="N113" s="148" t="s">
        <v>262</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2068</v>
      </c>
      <c r="B115" s="17"/>
      <c r="C115" s="17"/>
      <c r="D115" s="17"/>
      <c r="E115" s="17"/>
      <c r="F115" s="17"/>
      <c r="G115" s="38" t="s">
        <v>2069</v>
      </c>
      <c r="H115" s="38" t="s">
        <v>617</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1041</v>
      </c>
      <c r="N115" s="17"/>
    </row>
    <row r="116" spans="1:14" ht="12.75" customHeight="1" x14ac:dyDescent="0.3">
      <c r="A116" s="38" t="s">
        <v>2070</v>
      </c>
      <c r="B116" s="17"/>
      <c r="C116" s="17"/>
      <c r="D116" s="17"/>
      <c r="E116" s="17"/>
      <c r="F116" s="17"/>
      <c r="G116" s="38" t="s">
        <v>2071</v>
      </c>
      <c r="H116" s="38" t="s">
        <v>617</v>
      </c>
      <c r="I116" s="276"/>
      <c r="J116" s="294" t="str">
        <f>IF(ISBLANK(HLOOKUP(CaseName,CaseData,MATCH($G116,cases!$G$4:$G$2494,0),FALSE)),"",HLOOKUP(CaseName,CaseData,MATCH($G116,cases!$G$4:$G$2494,0),FALSE))</f>
        <v/>
      </c>
      <c r="K116" s="428">
        <f>(L127+L138/L23)*L18</f>
        <v>1.038214773608975E-7</v>
      </c>
      <c r="L116" s="298">
        <f t="shared" si="5"/>
        <v>1.038214773608975E-7</v>
      </c>
      <c r="M116" s="17" t="s">
        <v>1041</v>
      </c>
      <c r="N116" s="17"/>
    </row>
    <row r="117" spans="1:14" ht="12.75" customHeight="1" x14ac:dyDescent="0.3">
      <c r="A117" s="38" t="s">
        <v>2072</v>
      </c>
      <c r="B117" s="17"/>
      <c r="C117" s="17"/>
      <c r="D117" s="17"/>
      <c r="E117" s="17"/>
      <c r="F117" s="17"/>
      <c r="G117" s="38" t="s">
        <v>2073</v>
      </c>
      <c r="H117" s="38" t="s">
        <v>617</v>
      </c>
      <c r="I117" s="276"/>
      <c r="J117" s="294" t="str">
        <f>IF(ISBLANK(HLOOKUP(CaseName,CaseData,MATCH($G117,cases!$G$4:$G$2494,0),FALSE)),"",HLOOKUP(CaseName,CaseData,MATCH($G117,cases!$G$4:$G$2494,0),FALSE))</f>
        <v/>
      </c>
      <c r="K117" s="428">
        <f>(L127+L138/L23)*L22</f>
        <v>4.0217953178545758E-6</v>
      </c>
      <c r="L117" s="298">
        <f t="shared" si="5"/>
        <v>4.0217953178545758E-6</v>
      </c>
      <c r="M117" s="17" t="s">
        <v>1041</v>
      </c>
      <c r="N117" s="17"/>
    </row>
    <row r="118" spans="1:14" ht="12.75" customHeight="1" x14ac:dyDescent="0.3">
      <c r="A118" s="38" t="s">
        <v>2074</v>
      </c>
      <c r="B118" s="17"/>
      <c r="C118" s="17"/>
      <c r="D118" s="17"/>
      <c r="E118" s="17"/>
      <c r="F118" s="17"/>
      <c r="G118" s="38" t="s">
        <v>2075</v>
      </c>
      <c r="H118" s="38" t="s">
        <v>617</v>
      </c>
      <c r="I118" s="276"/>
      <c r="J118" s="294" t="str">
        <f>IF(ISBLANK(HLOOKUP(CaseName,CaseData,MATCH($G118,cases!$G$4:$G$2494,0),FALSE)),"",HLOOKUP(CaseName,CaseData,MATCH($G118,cases!$G$4:$G$2494,0),FALSE))</f>
        <v/>
      </c>
      <c r="K118" s="428">
        <f>(L127+L139/L23)*L19</f>
        <v>1.019338141361324E-6</v>
      </c>
      <c r="L118" s="298">
        <f t="shared" si="5"/>
        <v>1.019338141361324E-6</v>
      </c>
      <c r="M118" s="17" t="s">
        <v>1041</v>
      </c>
      <c r="N118" s="17"/>
    </row>
    <row r="119" spans="1:14" ht="12.75" customHeight="1" x14ac:dyDescent="0.3">
      <c r="A119" s="38" t="s">
        <v>2076</v>
      </c>
      <c r="B119" s="17"/>
      <c r="C119" s="17"/>
      <c r="D119" s="17"/>
      <c r="E119" s="17"/>
      <c r="F119" s="17"/>
      <c r="G119" s="38" t="s">
        <v>2077</v>
      </c>
      <c r="H119" s="38" t="s">
        <v>617</v>
      </c>
      <c r="I119" s="276"/>
      <c r="J119" s="294" t="str">
        <f>IF(ISBLANK(HLOOKUP(CaseName,CaseData,MATCH($G119,cases!$G$4:$G$2494,0),FALSE)),"",HLOOKUP(CaseName,CaseData,MATCH($G119,cases!$G$4:$G$2494,0),FALSE))</f>
        <v/>
      </c>
      <c r="K119" s="428">
        <f>(L127+L139/L23)*L20</f>
        <v>2.2651958696918308E-6</v>
      </c>
      <c r="L119" s="298">
        <f t="shared" si="5"/>
        <v>2.2651958696918308E-6</v>
      </c>
      <c r="M119" s="17" t="s">
        <v>1041</v>
      </c>
      <c r="N119" s="17"/>
    </row>
    <row r="120" spans="1:14" ht="12.75" customHeight="1" x14ac:dyDescent="0.3">
      <c r="A120" s="38" t="s">
        <v>2078</v>
      </c>
      <c r="B120" s="17"/>
      <c r="C120" s="17"/>
      <c r="D120" s="17"/>
      <c r="E120" s="17"/>
      <c r="F120" s="17"/>
      <c r="G120" s="38" t="s">
        <v>2079</v>
      </c>
      <c r="H120" s="38" t="s">
        <v>617</v>
      </c>
      <c r="I120" s="276"/>
      <c r="J120" s="294" t="str">
        <f>IF(ISBLANK(HLOOKUP(CaseName,CaseData,MATCH($G120,cases!$G$4:$G$2494,0),FALSE)),"",HLOOKUP(CaseName,CaseData,MATCH($G120,cases!$G$4:$G$2494,0),FALSE))</f>
        <v/>
      </c>
      <c r="K120" s="428">
        <f>(L127+L139/L23)*L21</f>
        <v>3.7753264494863839E-7</v>
      </c>
      <c r="L120" s="298">
        <f t="shared" si="5"/>
        <v>3.7753264494863839E-7</v>
      </c>
      <c r="M120" s="17" t="s">
        <v>1041</v>
      </c>
      <c r="N120" s="17"/>
    </row>
    <row r="121" spans="1:14" ht="12.75" customHeight="1" x14ac:dyDescent="0.3">
      <c r="A121" s="38" t="s">
        <v>2080</v>
      </c>
      <c r="B121" s="17"/>
      <c r="C121" s="17"/>
      <c r="D121" s="17"/>
      <c r="E121" s="17"/>
      <c r="F121" s="17"/>
      <c r="G121" s="38" t="s">
        <v>2081</v>
      </c>
      <c r="H121" s="38" t="s">
        <v>617</v>
      </c>
      <c r="I121" s="276"/>
      <c r="J121" s="294" t="str">
        <f>IF(ISBLANK(HLOOKUP(CaseName,CaseData,MATCH($G121,cases!$G$4:$G$2494,0),FALSE)),"",HLOOKUP(CaseName,CaseData,MATCH($G121,cases!$G$4:$G$2494,0),FALSE))</f>
        <v/>
      </c>
      <c r="K121" s="428">
        <f>L140/L24</f>
        <v>5.3330729970194079E-28</v>
      </c>
      <c r="L121" s="298">
        <f t="shared" si="5"/>
        <v>5.3330729970194079E-28</v>
      </c>
      <c r="M121" s="17" t="s">
        <v>1041</v>
      </c>
      <c r="N121" s="17"/>
    </row>
    <row r="122" spans="1:14" ht="12.75" customHeight="1" x14ac:dyDescent="0.3">
      <c r="A122" s="38" t="s">
        <v>2080</v>
      </c>
      <c r="B122" s="17"/>
      <c r="C122" s="17"/>
      <c r="D122" s="17"/>
      <c r="E122" s="17"/>
      <c r="F122" s="17"/>
      <c r="G122" s="38" t="s">
        <v>2082</v>
      </c>
      <c r="H122" s="38" t="s">
        <v>617</v>
      </c>
      <c r="I122" s="276"/>
      <c r="J122" s="294" t="str">
        <f>IF(ISBLANK(HLOOKUP(CaseName,CaseData,MATCH($G122,cases!$G$4:$G$2494,0),FALSE)),"",HLOOKUP(CaseName,CaseData,MATCH($G122,cases!$G$4:$G$2494,0),FALSE))</f>
        <v/>
      </c>
      <c r="K122" s="428">
        <f>L141/L25</f>
        <v>7.6798080729956804E-27</v>
      </c>
      <c r="L122" s="298">
        <f t="shared" si="5"/>
        <v>7.6798080729956804E-27</v>
      </c>
      <c r="M122" s="17" t="s">
        <v>1041</v>
      </c>
      <c r="N122" s="17"/>
    </row>
    <row r="123" spans="1:14" ht="12.75" customHeight="1" x14ac:dyDescent="0.3">
      <c r="A123" s="38" t="s">
        <v>2083</v>
      </c>
      <c r="B123" s="17"/>
      <c r="C123" s="17"/>
      <c r="D123" s="17"/>
      <c r="E123" s="17"/>
      <c r="F123" s="17"/>
      <c r="G123" s="38" t="s">
        <v>2084</v>
      </c>
      <c r="H123" s="38" t="s">
        <v>617</v>
      </c>
      <c r="I123" s="276"/>
      <c r="J123" s="294" t="str">
        <f>IF(ISBLANK(HLOOKUP(CaseName,CaseData,MATCH($G123,cases!$G$4:$G$2494,0),FALSE)),"",HLOOKUP(CaseName,CaseData,MATCH($G123,cases!$G$4:$G$2494,0),FALSE))</f>
        <v/>
      </c>
      <c r="K123" s="428">
        <f>L142/L26</f>
        <v>1.8938081236822895E-28</v>
      </c>
      <c r="L123" s="298">
        <f t="shared" si="5"/>
        <v>1.8938081236822895E-28</v>
      </c>
      <c r="M123" s="17" t="s">
        <v>1041</v>
      </c>
      <c r="N123" s="17"/>
    </row>
    <row r="124" spans="1:14" ht="12.75" customHeight="1" x14ac:dyDescent="0.3">
      <c r="A124" s="38" t="s">
        <v>2085</v>
      </c>
      <c r="B124" s="17"/>
      <c r="C124" s="17"/>
      <c r="D124" s="17"/>
      <c r="E124" s="17"/>
      <c r="F124" s="17"/>
      <c r="G124" s="38" t="s">
        <v>2086</v>
      </c>
      <c r="H124" s="38" t="s">
        <v>617</v>
      </c>
      <c r="I124" s="276"/>
      <c r="J124" s="294" t="str">
        <f>IF(ISBLANK(HLOOKUP(CaseName,CaseData,MATCH($G124,cases!$G$4:$G$2494,0),FALSE)),"",HLOOKUP(CaseName,CaseData,MATCH($G124,cases!$G$4:$G$2494,0),FALSE))</f>
        <v/>
      </c>
      <c r="K124" s="428">
        <f>L145/L30</f>
        <v>1.0567882828234127E-29</v>
      </c>
      <c r="L124" s="298">
        <f t="shared" si="5"/>
        <v>1.0567882828234127E-29</v>
      </c>
      <c r="M124" s="17" t="s">
        <v>1041</v>
      </c>
      <c r="N124" s="17"/>
    </row>
    <row r="125" spans="1:14" ht="12.75" customHeight="1" x14ac:dyDescent="0.3">
      <c r="A125" s="38" t="s">
        <v>2087</v>
      </c>
      <c r="B125" s="17"/>
      <c r="C125" s="17"/>
      <c r="D125" s="17"/>
      <c r="E125" s="17"/>
      <c r="F125" s="17"/>
      <c r="G125" s="38" t="s">
        <v>2088</v>
      </c>
      <c r="H125" s="38" t="s">
        <v>617</v>
      </c>
      <c r="I125" s="276"/>
      <c r="J125" s="294" t="str">
        <f>IF(ISBLANK(HLOOKUP(CaseName,CaseData,MATCH($G125,cases!$G$4:$G$2494,0),FALSE)),"",HLOOKUP(CaseName,CaseData,MATCH($G125,cases!$G$4:$G$2494,0),FALSE))</f>
        <v/>
      </c>
      <c r="K125" s="428">
        <f>L146/L31</f>
        <v>4.8089598245944533E-30</v>
      </c>
      <c r="L125" s="298">
        <f t="shared" si="5"/>
        <v>4.8089598245944533E-30</v>
      </c>
      <c r="M125" s="17" t="s">
        <v>1041</v>
      </c>
      <c r="N125" s="17"/>
    </row>
    <row r="126" spans="1:14" ht="12.75" customHeight="1" x14ac:dyDescent="0.3">
      <c r="A126" s="38" t="s">
        <v>2089</v>
      </c>
      <c r="B126" s="17"/>
      <c r="C126" s="17"/>
      <c r="D126" s="17"/>
      <c r="E126" s="17"/>
      <c r="F126" s="17"/>
      <c r="G126" s="38" t="s">
        <v>2090</v>
      </c>
      <c r="H126" s="38" t="s">
        <v>617</v>
      </c>
      <c r="I126" s="276"/>
      <c r="J126" s="294" t="str">
        <f>IF(ISBLANK(HLOOKUP(CaseName,CaseData,MATCH($G126,cases!$G$4:$G$2494,0),FALSE)),"",HLOOKUP(CaseName,CaseData,MATCH($G126,cases!$G$4:$G$2494,0),FALSE))</f>
        <v/>
      </c>
      <c r="K126" s="428">
        <f>L147/L32</f>
        <v>1.0567882828234127E-29</v>
      </c>
      <c r="L126" s="298">
        <f t="shared" si="5"/>
        <v>1.0567882828234127E-29</v>
      </c>
      <c r="M126" s="17" t="s">
        <v>1041</v>
      </c>
      <c r="N126" s="17"/>
    </row>
    <row r="127" spans="1:14" ht="12.75" customHeight="1" x14ac:dyDescent="0.3">
      <c r="A127" s="38"/>
      <c r="B127" s="17" t="s">
        <v>2091</v>
      </c>
      <c r="C127" s="17"/>
      <c r="D127" s="17"/>
      <c r="E127" s="17"/>
      <c r="F127" s="17"/>
      <c r="G127" s="38" t="s">
        <v>2092</v>
      </c>
      <c r="H127" s="38" t="s">
        <v>335</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1041</v>
      </c>
      <c r="N127" s="17"/>
    </row>
    <row r="128" spans="1:14" ht="12.75" customHeight="1" x14ac:dyDescent="0.3">
      <c r="A128" s="38"/>
      <c r="B128" s="17"/>
      <c r="C128" s="17" t="s">
        <v>2093</v>
      </c>
      <c r="D128" s="17"/>
      <c r="E128" s="17"/>
      <c r="F128" s="17"/>
      <c r="G128" s="38" t="s">
        <v>2094</v>
      </c>
      <c r="H128" s="38" t="s">
        <v>335</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1041</v>
      </c>
      <c r="N128" s="17"/>
    </row>
    <row r="129" spans="1:14" ht="12.75" customHeight="1" x14ac:dyDescent="0.3">
      <c r="A129" s="38"/>
      <c r="B129" s="17"/>
      <c r="C129" s="17"/>
      <c r="D129" s="17" t="s">
        <v>2095</v>
      </c>
      <c r="E129" s="17"/>
      <c r="F129" s="17"/>
      <c r="G129" s="38" t="s">
        <v>2096</v>
      </c>
      <c r="H129" s="38" t="s">
        <v>335</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1041</v>
      </c>
      <c r="N129" s="17"/>
    </row>
    <row r="130" spans="1:14" ht="12.75" customHeight="1" x14ac:dyDescent="0.3">
      <c r="A130" s="38"/>
      <c r="B130" s="17"/>
      <c r="C130" s="17"/>
      <c r="D130" s="17" t="s">
        <v>2097</v>
      </c>
      <c r="E130" s="17"/>
      <c r="F130" s="17"/>
      <c r="G130" s="38" t="s">
        <v>2098</v>
      </c>
      <c r="H130" s="38" t="s">
        <v>335</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1041</v>
      </c>
      <c r="N130" s="17"/>
    </row>
    <row r="131" spans="1:14" ht="12.75" customHeight="1" x14ac:dyDescent="0.3">
      <c r="A131" s="38"/>
      <c r="B131" s="17" t="s">
        <v>1188</v>
      </c>
      <c r="C131" s="17"/>
      <c r="D131" s="17"/>
      <c r="E131" s="17"/>
      <c r="F131" s="17"/>
      <c r="G131" s="38" t="s">
        <v>2099</v>
      </c>
      <c r="H131" s="38" t="s">
        <v>1190</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1045</v>
      </c>
      <c r="N131" s="17"/>
    </row>
    <row r="132" spans="1:14" ht="12.75" customHeight="1" x14ac:dyDescent="0.3">
      <c r="A132" s="38"/>
      <c r="B132" s="17" t="s">
        <v>1191</v>
      </c>
      <c r="C132" s="17"/>
      <c r="D132" s="17"/>
      <c r="E132" s="17"/>
      <c r="F132" s="17"/>
      <c r="G132" s="38" t="s">
        <v>2100</v>
      </c>
      <c r="H132" s="38" t="s">
        <v>1190</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1045</v>
      </c>
      <c r="N132" s="17"/>
    </row>
    <row r="133" spans="1:14" ht="12.75" customHeight="1" x14ac:dyDescent="0.3">
      <c r="A133" s="38"/>
      <c r="B133" s="17" t="s">
        <v>1193</v>
      </c>
      <c r="C133" s="17"/>
      <c r="D133" s="17"/>
      <c r="E133" s="17"/>
      <c r="F133" s="17"/>
      <c r="G133" s="38" t="s">
        <v>2101</v>
      </c>
      <c r="H133" s="38" t="s">
        <v>866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690</v>
      </c>
      <c r="N133" s="17"/>
    </row>
    <row r="134" spans="1:14" ht="12.75" customHeight="1" x14ac:dyDescent="0.3">
      <c r="A134" s="38"/>
      <c r="B134" s="17" t="s">
        <v>1196</v>
      </c>
      <c r="C134" s="17"/>
      <c r="D134" s="17"/>
      <c r="E134" s="17"/>
      <c r="F134" s="17"/>
      <c r="G134" s="38" t="s">
        <v>2102</v>
      </c>
      <c r="H134" s="38" t="s">
        <v>866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690</v>
      </c>
      <c r="N134" s="17"/>
    </row>
    <row r="135" spans="1:14" ht="12.75" customHeight="1" x14ac:dyDescent="0.3">
      <c r="A135" s="38"/>
      <c r="B135" s="17" t="s">
        <v>2103</v>
      </c>
      <c r="C135" s="17"/>
      <c r="D135" s="17"/>
      <c r="E135" s="17"/>
      <c r="F135" s="17"/>
      <c r="G135" s="38" t="s">
        <v>2104</v>
      </c>
      <c r="H135" s="38" t="s">
        <v>866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690</v>
      </c>
      <c r="N135" s="17"/>
    </row>
    <row r="136" spans="1:14" ht="12.75" customHeight="1" x14ac:dyDescent="0.3">
      <c r="A136" s="38"/>
      <c r="B136" s="17"/>
      <c r="C136" s="17" t="s">
        <v>1200</v>
      </c>
      <c r="D136" s="17"/>
      <c r="E136" s="17"/>
      <c r="F136" s="17"/>
      <c r="G136" s="38" t="s">
        <v>2105</v>
      </c>
      <c r="H136" s="38" t="s">
        <v>866</v>
      </c>
      <c r="I136" s="276"/>
      <c r="J136" s="294" t="str">
        <f>IF(ISBLANK(HLOOKUP(CaseName,CaseData,MATCH($G136,cases!$G$4:$G$2494,0),FALSE)),"",HLOOKUP(CaseName,CaseData,MATCH($G136,cases!$G$4:$G$2494,0),FALSE))</f>
        <v/>
      </c>
      <c r="K136" s="428">
        <v>1E-3</v>
      </c>
      <c r="L136" s="298">
        <f t="shared" si="6"/>
        <v>1E-3</v>
      </c>
      <c r="M136" s="17" t="s">
        <v>690</v>
      </c>
      <c r="N136" s="17"/>
    </row>
    <row r="137" spans="1:14" ht="12.75" customHeight="1" x14ac:dyDescent="0.3">
      <c r="A137" s="38"/>
      <c r="B137" s="17"/>
      <c r="C137" s="17" t="s">
        <v>1202</v>
      </c>
      <c r="D137" s="17"/>
      <c r="E137" s="17"/>
      <c r="F137" s="17"/>
      <c r="G137" s="38" t="s">
        <v>2106</v>
      </c>
      <c r="H137" s="38" t="s">
        <v>291</v>
      </c>
      <c r="I137" s="276"/>
      <c r="J137" s="294" t="str">
        <f>IF(ISBLANK(HLOOKUP(CaseName,CaseData,MATCH($G137,cases!$G$4:$G$2494,0),FALSE)),"",HLOOKUP(CaseName,CaseData,MATCH($G137,cases!$G$4:$G$2494,0),FALSE))</f>
        <v/>
      </c>
      <c r="K137" s="428">
        <v>200000</v>
      </c>
      <c r="L137" s="298">
        <f t="shared" si="6"/>
        <v>200000</v>
      </c>
      <c r="M137" s="38" t="s">
        <v>292</v>
      </c>
      <c r="N137" s="17"/>
    </row>
    <row r="138" spans="1:14" ht="12.75" customHeight="1" x14ac:dyDescent="0.3">
      <c r="A138" s="38"/>
      <c r="B138" s="17" t="s">
        <v>1204</v>
      </c>
      <c r="C138" s="17"/>
      <c r="D138" s="17"/>
      <c r="E138" s="17"/>
      <c r="F138" s="17"/>
      <c r="G138" s="38" t="s">
        <v>2107</v>
      </c>
      <c r="H138" s="38" t="s">
        <v>866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2108</v>
      </c>
      <c r="N138" s="17"/>
    </row>
    <row r="139" spans="1:14" ht="12.75" customHeight="1" x14ac:dyDescent="0.3">
      <c r="A139" s="38"/>
      <c r="B139" s="17" t="s">
        <v>1206</v>
      </c>
      <c r="C139" s="17"/>
      <c r="D139" s="17"/>
      <c r="E139" s="17"/>
      <c r="F139" s="17"/>
      <c r="G139" s="38" t="s">
        <v>2109</v>
      </c>
      <c r="H139" s="38" t="s">
        <v>866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2108</v>
      </c>
      <c r="N139" s="17"/>
    </row>
    <row r="140" spans="1:14" ht="12.75" customHeight="1" x14ac:dyDescent="0.3">
      <c r="A140" s="38"/>
      <c r="B140" s="17" t="s">
        <v>1208</v>
      </c>
      <c r="C140" s="17"/>
      <c r="D140" s="17"/>
      <c r="E140" s="17"/>
      <c r="F140" s="17"/>
      <c r="G140" s="38" t="s">
        <v>2110</v>
      </c>
      <c r="H140" s="38" t="s">
        <v>866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2108</v>
      </c>
      <c r="N140" s="17"/>
    </row>
    <row r="141" spans="1:14" ht="12.75" customHeight="1" x14ac:dyDescent="0.3">
      <c r="A141" s="38"/>
      <c r="B141" s="17" t="s">
        <v>1211</v>
      </c>
      <c r="C141" s="17"/>
      <c r="D141" s="17"/>
      <c r="E141" s="17"/>
      <c r="F141" s="17"/>
      <c r="G141" s="38" t="s">
        <v>2111</v>
      </c>
      <c r="H141" s="38" t="s">
        <v>866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2108</v>
      </c>
      <c r="N141" s="17"/>
    </row>
    <row r="142" spans="1:14" ht="12.75" customHeight="1" x14ac:dyDescent="0.3">
      <c r="A142" s="38"/>
      <c r="B142" s="17" t="s">
        <v>1213</v>
      </c>
      <c r="C142" s="17"/>
      <c r="D142" s="17"/>
      <c r="E142" s="17"/>
      <c r="F142" s="17"/>
      <c r="G142" s="38" t="s">
        <v>2112</v>
      </c>
      <c r="H142" s="38" t="s">
        <v>866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2108</v>
      </c>
      <c r="N142" s="17"/>
    </row>
    <row r="143" spans="1:14" ht="12.75" customHeight="1" x14ac:dyDescent="0.3">
      <c r="A143" s="38"/>
      <c r="B143" s="17"/>
      <c r="C143" s="17" t="s">
        <v>1215</v>
      </c>
      <c r="D143" s="17"/>
      <c r="E143" s="17"/>
      <c r="F143" s="17"/>
      <c r="G143" s="38" t="s">
        <v>2113</v>
      </c>
      <c r="H143" s="38" t="s">
        <v>866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690</v>
      </c>
      <c r="N143" s="17"/>
    </row>
    <row r="144" spans="1:14" ht="12.75" customHeight="1" x14ac:dyDescent="0.3">
      <c r="A144" s="38"/>
      <c r="B144" s="17"/>
      <c r="C144" s="17" t="s">
        <v>1217</v>
      </c>
      <c r="D144" s="17"/>
      <c r="E144" s="17"/>
      <c r="F144" s="17"/>
      <c r="G144" s="38" t="s">
        <v>2114</v>
      </c>
      <c r="H144" s="38" t="s">
        <v>866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690</v>
      </c>
      <c r="N144" s="17"/>
    </row>
    <row r="145" spans="1:14" ht="12.75" customHeight="1" x14ac:dyDescent="0.3">
      <c r="A145" s="38"/>
      <c r="B145" s="17" t="s">
        <v>2115</v>
      </c>
      <c r="C145" s="17"/>
      <c r="D145" s="17"/>
      <c r="E145" s="17"/>
      <c r="F145" s="17"/>
      <c r="G145" s="38" t="s">
        <v>2116</v>
      </c>
      <c r="H145" s="38" t="s">
        <v>866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2108</v>
      </c>
      <c r="N145" s="165"/>
    </row>
    <row r="146" spans="1:14" ht="12.75" customHeight="1" x14ac:dyDescent="0.3">
      <c r="A146" s="38"/>
      <c r="B146" s="17" t="s">
        <v>2117</v>
      </c>
      <c r="C146" s="17"/>
      <c r="D146" s="17"/>
      <c r="E146" s="17"/>
      <c r="F146" s="17"/>
      <c r="G146" s="38" t="s">
        <v>2118</v>
      </c>
      <c r="H146" s="38" t="s">
        <v>866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2108</v>
      </c>
      <c r="N146" s="17"/>
    </row>
    <row r="147" spans="1:14" ht="12.75" customHeight="1" x14ac:dyDescent="0.3">
      <c r="A147" s="38"/>
      <c r="B147" s="17" t="s">
        <v>2119</v>
      </c>
      <c r="C147" s="17"/>
      <c r="D147" s="17"/>
      <c r="E147" s="17"/>
      <c r="F147" s="17"/>
      <c r="G147" s="38" t="s">
        <v>2120</v>
      </c>
      <c r="H147" s="38" t="s">
        <v>866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2108</v>
      </c>
      <c r="N147" s="17"/>
    </row>
    <row r="148" spans="1:14" ht="12.75" customHeight="1" x14ac:dyDescent="0.3">
      <c r="A148" s="38"/>
      <c r="B148" s="17"/>
      <c r="C148" s="17" t="s">
        <v>1225</v>
      </c>
      <c r="D148" s="17"/>
      <c r="E148" s="17"/>
      <c r="F148" s="17"/>
      <c r="G148" s="38" t="s">
        <v>2121</v>
      </c>
      <c r="H148" s="38" t="s">
        <v>866</v>
      </c>
      <c r="I148" s="276"/>
      <c r="J148" s="294" t="str">
        <f>IF(ISBLANK(HLOOKUP(CaseName,CaseData,MATCH($G148,cases!$G$4:$G$2494,0),FALSE)),"",HLOOKUP(CaseName,CaseData,MATCH($G148,cases!$G$4:$G$2494,0),FALSE))</f>
        <v/>
      </c>
      <c r="K148" s="428">
        <f>0.43/(24*3600)/0.00475</f>
        <v>1.0477582846003899E-3</v>
      </c>
      <c r="L148" s="298">
        <f t="shared" si="6"/>
        <v>1.0477582846003899E-3</v>
      </c>
      <c r="M148" s="17" t="s">
        <v>690</v>
      </c>
      <c r="N148" s="17"/>
    </row>
    <row r="149" spans="1:14" ht="12.75" customHeight="1" x14ac:dyDescent="0.3">
      <c r="A149" s="38"/>
      <c r="B149" s="17"/>
      <c r="C149" s="17" t="s">
        <v>1227</v>
      </c>
      <c r="D149" s="17"/>
      <c r="E149" s="17"/>
      <c r="F149" s="17"/>
      <c r="G149" s="38" t="s">
        <v>2122</v>
      </c>
      <c r="H149" s="38" t="s">
        <v>866</v>
      </c>
      <c r="I149" s="276"/>
      <c r="J149" s="294" t="str">
        <f>IF(ISBLANK(HLOOKUP(CaseName,CaseData,MATCH($G149,cases!$G$4:$G$2494,0),FALSE)),"",HLOOKUP(CaseName,CaseData,MATCH($G149,cases!$G$4:$G$2494,0),FALSE))</f>
        <v/>
      </c>
      <c r="K149" s="428">
        <f>0.1*L224</f>
        <v>4.0612619817811774E-22</v>
      </c>
      <c r="L149" s="298">
        <f t="shared" si="6"/>
        <v>4.0612619817811774E-22</v>
      </c>
      <c r="M149" s="17" t="s">
        <v>690</v>
      </c>
      <c r="N149" s="17" t="s">
        <v>2123</v>
      </c>
    </row>
    <row r="150" spans="1:14" ht="12.75" customHeight="1" x14ac:dyDescent="0.3">
      <c r="A150" s="38"/>
      <c r="B150" s="17"/>
      <c r="C150" s="17" t="s">
        <v>1229</v>
      </c>
      <c r="D150" s="17"/>
      <c r="E150" s="17"/>
      <c r="F150" s="17"/>
      <c r="G150" s="38" t="s">
        <v>2124</v>
      </c>
      <c r="H150" s="38" t="s">
        <v>291</v>
      </c>
      <c r="I150" s="276"/>
      <c r="J150" s="294" t="str">
        <f>IF(ISBLANK(HLOOKUP(CaseName,CaseData,MATCH($G150,cases!$G$4:$G$2494,0),FALSE)),"",HLOOKUP(CaseName,CaseData,MATCH($G150,cases!$G$4:$G$2494,0),FALSE))</f>
        <v/>
      </c>
      <c r="K150" s="428">
        <f>(EXP((-1/0.1)*0)*(1/0.1)*L30/(1-EXP((-1/0.1)*L30)))</f>
        <v>1.2707470412683992</v>
      </c>
      <c r="L150" s="298">
        <f t="shared" si="6"/>
        <v>1.2707470412683992</v>
      </c>
      <c r="M150" s="17" t="s">
        <v>292</v>
      </c>
      <c r="N150" s="17" t="s">
        <v>1231</v>
      </c>
    </row>
    <row r="151" spans="1:14" ht="12.75" customHeight="1" x14ac:dyDescent="0.3">
      <c r="A151" s="38"/>
      <c r="B151" s="17"/>
      <c r="C151" s="17" t="s">
        <v>1229</v>
      </c>
      <c r="D151" s="17"/>
      <c r="E151" s="17"/>
      <c r="F151" s="17"/>
      <c r="G151" s="38" t="s">
        <v>2125</v>
      </c>
      <c r="H151" s="38" t="s">
        <v>291</v>
      </c>
      <c r="I151" s="276"/>
      <c r="J151" s="294" t="str">
        <f>IF(ISBLANK(HLOOKUP(CaseName,CaseData,MATCH($G151,cases!$G$4:$G$2494,0),FALSE)),"",HLOOKUP(CaseName,CaseData,MATCH($G151,cases!$G$4:$G$2494,0),FALSE))</f>
        <v/>
      </c>
      <c r="K151" s="428">
        <f>(EXP((-1/0.1)*0)*(1/0.1)*L31/(1-EXP((-1/0.1)*L31)))</f>
        <v>2.3130352854993315</v>
      </c>
      <c r="L151" s="298">
        <f t="shared" si="6"/>
        <v>2.3130352854993315</v>
      </c>
      <c r="M151" s="17" t="s">
        <v>292</v>
      </c>
      <c r="N151" s="17" t="s">
        <v>1231</v>
      </c>
    </row>
    <row r="152" spans="1:14" ht="12.75" customHeight="1" x14ac:dyDescent="0.3">
      <c r="A152" s="38"/>
      <c r="B152" s="17"/>
      <c r="C152" s="17" t="s">
        <v>1229</v>
      </c>
      <c r="D152" s="17"/>
      <c r="E152" s="17"/>
      <c r="F152" s="17"/>
      <c r="G152" s="38" t="s">
        <v>2126</v>
      </c>
      <c r="H152" s="38" t="s">
        <v>291</v>
      </c>
      <c r="I152" s="276"/>
      <c r="J152" s="294" t="str">
        <f>IF(ISBLANK(HLOOKUP(CaseName,CaseData,MATCH($G152,cases!$G$4:$G$2494,0),FALSE)),"",HLOOKUP(CaseName,CaseData,MATCH($G152,cases!$G$4:$G$2494,0),FALSE))</f>
        <v/>
      </c>
      <c r="K152" s="428">
        <f>(EXP((-1/0.1)*0)*(1/0.1)*L32/(1-EXP((-1/0.1)*L32)))</f>
        <v>1.2707470412683992</v>
      </c>
      <c r="L152" s="298">
        <f t="shared" si="6"/>
        <v>1.2707470412683992</v>
      </c>
      <c r="M152" s="17" t="s">
        <v>292</v>
      </c>
      <c r="N152" s="17" t="s">
        <v>1231</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1234</v>
      </c>
      <c r="B154" s="566"/>
      <c r="C154" s="566"/>
      <c r="D154" s="566"/>
      <c r="E154" s="566"/>
      <c r="F154" s="566"/>
      <c r="G154" s="567" t="s">
        <v>2127</v>
      </c>
      <c r="H154" s="567" t="s">
        <v>617</v>
      </c>
      <c r="I154" s="703"/>
      <c r="J154" s="294" t="str">
        <f>IF(ISBLANK(HLOOKUP(CaseName,CaseData,MATCH($G154,cases!$G$4:$G$2494,0),FALSE)),"",HLOOKUP(CaseName,CaseData,MATCH($G154,cases!$G$4:$G$2494,0),FALSE))</f>
        <v/>
      </c>
      <c r="K154" s="435">
        <f>(L160)/L24</f>
        <v>1.3178969925524387E-8</v>
      </c>
      <c r="L154" s="298">
        <f t="shared" ref="L154:L172" si="7">IF(ISBLANK(I154),IF(ISNUMBER(J154)=FALSE,K154,J154),I154)</f>
        <v>1.3178969925524387E-8</v>
      </c>
      <c r="M154" s="566" t="s">
        <v>1041</v>
      </c>
      <c r="N154" s="566"/>
    </row>
    <row r="155" spans="1:14" ht="12.75" customHeight="1" x14ac:dyDescent="0.3">
      <c r="A155" s="38" t="s">
        <v>1237</v>
      </c>
      <c r="B155" s="17"/>
      <c r="C155" s="17"/>
      <c r="D155" s="17"/>
      <c r="E155" s="17"/>
      <c r="F155" s="17"/>
      <c r="G155" s="38" t="s">
        <v>2128</v>
      </c>
      <c r="H155" s="38" t="s">
        <v>617</v>
      </c>
      <c r="I155" s="276"/>
      <c r="J155" s="294" t="str">
        <f>IF(ISBLANK(HLOOKUP(CaseName,CaseData,MATCH($G155,cases!$G$4:$G$2494,0),FALSE)),"",HLOOKUP(CaseName,CaseData,MATCH($G155,cases!$G$4:$G$2494,0),FALSE))</f>
        <v/>
      </c>
      <c r="K155" s="435">
        <f>(L162+L175)/L25</f>
        <v>5.6718578905727698E-6</v>
      </c>
      <c r="L155" s="298">
        <f t="shared" si="7"/>
        <v>5.6718578905727698E-6</v>
      </c>
      <c r="M155" s="17" t="s">
        <v>1041</v>
      </c>
      <c r="N155" s="17"/>
    </row>
    <row r="156" spans="1:14" ht="12.75" customHeight="1" x14ac:dyDescent="0.3">
      <c r="A156" s="38" t="s">
        <v>1239</v>
      </c>
      <c r="B156" s="17"/>
      <c r="C156" s="17"/>
      <c r="D156" s="17"/>
      <c r="E156" s="17"/>
      <c r="F156" s="17"/>
      <c r="G156" s="38" t="s">
        <v>2129</v>
      </c>
      <c r="H156" s="38" t="s">
        <v>617</v>
      </c>
      <c r="I156" s="276"/>
      <c r="J156" s="294" t="str">
        <f>IF(ISBLANK(HLOOKUP(CaseName,CaseData,MATCH($G156,cases!$G$4:$G$2494,0),FALSE)),"",HLOOKUP(CaseName,CaseData,MATCH($G156,cases!$G$4:$G$2494,0),FALSE))</f>
        <v/>
      </c>
      <c r="K156" s="435">
        <f>(L164+L177)/L26</f>
        <v>4.6698403133765672E-8</v>
      </c>
      <c r="L156" s="298">
        <f t="shared" si="7"/>
        <v>4.6698403133765672E-8</v>
      </c>
      <c r="M156" s="17" t="s">
        <v>1041</v>
      </c>
      <c r="N156" s="17"/>
    </row>
    <row r="157" spans="1:14" s="386" customFormat="1" ht="12.75" customHeight="1" x14ac:dyDescent="0.3">
      <c r="A157" s="567" t="s">
        <v>1241</v>
      </c>
      <c r="B157" s="566"/>
      <c r="C157" s="566"/>
      <c r="D157" s="566"/>
      <c r="E157" s="566"/>
      <c r="F157" s="566"/>
      <c r="G157" s="567" t="s">
        <v>2130</v>
      </c>
      <c r="H157" s="567" t="s">
        <v>617</v>
      </c>
      <c r="I157" s="703"/>
      <c r="J157" s="294" t="str">
        <f>IF(ISBLANK(HLOOKUP(CaseName,CaseData,MATCH($G157,cases!$G$4:$G$2494,0),FALSE)),"",HLOOKUP(CaseName,CaseData,MATCH($G157,cases!$G$4:$G$2494,0),FALSE))</f>
        <v/>
      </c>
      <c r="K157" s="435">
        <f>(L161)/L27</f>
        <v>0</v>
      </c>
      <c r="L157" s="298">
        <f t="shared" si="7"/>
        <v>0</v>
      </c>
      <c r="M157" s="566" t="s">
        <v>1041</v>
      </c>
      <c r="N157" s="577"/>
    </row>
    <row r="158" spans="1:14" ht="12.75" customHeight="1" x14ac:dyDescent="0.3">
      <c r="A158" s="38" t="s">
        <v>1244</v>
      </c>
      <c r="B158" s="17"/>
      <c r="C158" s="17"/>
      <c r="D158" s="17"/>
      <c r="E158" s="17"/>
      <c r="F158" s="17"/>
      <c r="G158" s="38" t="s">
        <v>2131</v>
      </c>
      <c r="H158" s="38" t="s">
        <v>617</v>
      </c>
      <c r="I158" s="276"/>
      <c r="J158" s="294" t="str">
        <f>IF(ISBLANK(HLOOKUP(CaseName,CaseData,MATCH($G158,cases!$G$4:$G$2494,0),FALSE)),"",HLOOKUP(CaseName,CaseData,MATCH($G158,cases!$G$4:$G$2494,0),FALSE))</f>
        <v/>
      </c>
      <c r="K158" s="435">
        <f>(L163+L176)/L28</f>
        <v>2.6099558929040355E-8</v>
      </c>
      <c r="L158" s="298">
        <f t="shared" si="7"/>
        <v>2.6099558929040355E-8</v>
      </c>
      <c r="M158" s="17" t="s">
        <v>1041</v>
      </c>
      <c r="N158" s="17"/>
    </row>
    <row r="159" spans="1:14" ht="12.75" customHeight="1" x14ac:dyDescent="0.3">
      <c r="A159" s="38" t="s">
        <v>1246</v>
      </c>
      <c r="B159" s="17"/>
      <c r="C159" s="17"/>
      <c r="D159" s="17"/>
      <c r="E159" s="17"/>
      <c r="F159" s="17"/>
      <c r="G159" s="38" t="s">
        <v>2132</v>
      </c>
      <c r="H159" s="38" t="s">
        <v>617</v>
      </c>
      <c r="I159" s="276"/>
      <c r="J159" s="294" t="str">
        <f>IF(ISBLANK(HLOOKUP(CaseName,CaseData,MATCH($G159,cases!$G$4:$G$2494,0),FALSE)),"",HLOOKUP(CaseName,CaseData,MATCH($G159,cases!$G$4:$G$2494,0),FALSE))</f>
        <v/>
      </c>
      <c r="K159" s="435">
        <f>(L165+L178)/L29</f>
        <v>8.7703305340704523E-9</v>
      </c>
      <c r="L159" s="298">
        <f t="shared" si="7"/>
        <v>8.7703305340704523E-9</v>
      </c>
      <c r="M159" s="17" t="s">
        <v>1041</v>
      </c>
      <c r="N159" s="17"/>
    </row>
    <row r="160" spans="1:14" s="386" customFormat="1" ht="12.75" customHeight="1" x14ac:dyDescent="0.3">
      <c r="A160" s="567"/>
      <c r="B160" s="566" t="s">
        <v>1248</v>
      </c>
      <c r="C160" s="566"/>
      <c r="D160" s="566"/>
      <c r="E160" s="566"/>
      <c r="F160" s="566"/>
      <c r="G160" s="567" t="s">
        <v>2133</v>
      </c>
      <c r="H160" s="567" t="s">
        <v>866</v>
      </c>
      <c r="I160" s="703"/>
      <c r="J160" s="294" t="str">
        <f>IF(ISBLANK(HLOOKUP(CaseName,CaseData,MATCH($G160,cases!$G$4:$G$2494,0),FALSE)),"",HLOOKUP(CaseName,CaseData,MATCH($G160,cases!$G$4:$G$2494,0),FALSE))</f>
        <v/>
      </c>
      <c r="K160" s="435">
        <f>L169*(1-L76)</f>
        <v>1.3178969925524387E-6</v>
      </c>
      <c r="L160" s="298">
        <f t="shared" si="7"/>
        <v>1.3178969925524387E-6</v>
      </c>
      <c r="M160" s="566"/>
      <c r="N160" s="577"/>
    </row>
    <row r="161" spans="1:14" s="386" customFormat="1" ht="12.75" customHeight="1" x14ac:dyDescent="0.3">
      <c r="A161" s="567"/>
      <c r="B161" s="566" t="s">
        <v>1251</v>
      </c>
      <c r="C161" s="566"/>
      <c r="D161" s="566"/>
      <c r="E161" s="566"/>
      <c r="F161" s="566"/>
      <c r="G161" s="567" t="s">
        <v>2134</v>
      </c>
      <c r="H161" s="567" t="s">
        <v>866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1248</v>
      </c>
      <c r="C162" s="228"/>
      <c r="D162" s="228"/>
      <c r="E162" s="228"/>
      <c r="F162" s="228"/>
      <c r="G162" s="641" t="s">
        <v>2135</v>
      </c>
      <c r="H162" s="216" t="s">
        <v>1210</v>
      </c>
      <c r="I162" s="276"/>
      <c r="J162" s="294" t="str">
        <f>IF(ISBLANK(HLOOKUP(CaseName,CaseData,MATCH($G162,cases!$G$4:$G$2494,0),FALSE)),"",HLOOKUP(CaseName,CaseData,MATCH($G162,cases!$G$4:$G$2494,0),FALSE))</f>
        <v/>
      </c>
      <c r="K162" s="435">
        <f>L169*(1-L80)</f>
        <v>1.7004232452985556E-5</v>
      </c>
      <c r="L162" s="298">
        <f t="shared" si="7"/>
        <v>1.7004232452985556E-5</v>
      </c>
      <c r="M162" s="228"/>
      <c r="N162" s="384"/>
    </row>
    <row r="163" spans="1:14" s="386" customFormat="1" ht="12.75" customHeight="1" x14ac:dyDescent="0.3">
      <c r="A163" s="216"/>
      <c r="B163" s="216" t="s">
        <v>1251</v>
      </c>
      <c r="C163" s="228"/>
      <c r="D163" s="228"/>
      <c r="E163" s="228"/>
      <c r="F163" s="228"/>
      <c r="G163" s="641" t="s">
        <v>2136</v>
      </c>
      <c r="H163" s="216" t="s">
        <v>1210</v>
      </c>
      <c r="I163" s="276"/>
      <c r="J163" s="294" t="str">
        <f>IF(ISBLANK(HLOOKUP(CaseName,CaseData,MATCH($G163,cases!$G$4:$G$2494,0),FALSE)),"",HLOOKUP(CaseName,CaseData,MATCH($G163,cases!$G$4:$G$2494,0),FALSE))</f>
        <v/>
      </c>
      <c r="K163" s="435">
        <f>L167-L171</f>
        <v>7.8182870370094893E-10</v>
      </c>
      <c r="L163" s="298">
        <f t="shared" si="7"/>
        <v>7.8182870370094893E-10</v>
      </c>
      <c r="M163" s="228"/>
      <c r="N163" s="384"/>
    </row>
    <row r="164" spans="1:14" s="386" customFormat="1" ht="12.75" customHeight="1" x14ac:dyDescent="0.3">
      <c r="A164" s="216"/>
      <c r="B164" s="216" t="s">
        <v>1255</v>
      </c>
      <c r="C164" s="228"/>
      <c r="D164" s="228"/>
      <c r="E164" s="228"/>
      <c r="F164" s="228"/>
      <c r="G164" s="641" t="s">
        <v>2137</v>
      </c>
      <c r="H164" s="216" t="s">
        <v>1210</v>
      </c>
      <c r="I164" s="276"/>
      <c r="J164" s="294" t="str">
        <f>IF(ISBLANK(HLOOKUP(CaseName,CaseData,MATCH($G164,cases!$G$4:$G$2494,0),FALSE)),"",HLOOKUP(CaseName,CaseData,MATCH($G164,cases!$G$4:$G$2494,0),FALSE))</f>
        <v/>
      </c>
      <c r="K164" s="435">
        <f>L169*(1-L84)</f>
        <v>9.321035983584623E-6</v>
      </c>
      <c r="L164" s="298">
        <f t="shared" si="7"/>
        <v>9.321035983584623E-6</v>
      </c>
      <c r="M164" s="228"/>
      <c r="N164" s="384"/>
    </row>
    <row r="165" spans="1:14" s="386" customFormat="1" ht="12.75" customHeight="1" x14ac:dyDescent="0.3">
      <c r="A165" s="216"/>
      <c r="B165" s="216" t="s">
        <v>1257</v>
      </c>
      <c r="C165" s="228"/>
      <c r="D165" s="228"/>
      <c r="E165" s="228"/>
      <c r="F165" s="228"/>
      <c r="G165" s="641" t="s">
        <v>2138</v>
      </c>
      <c r="H165" s="216" t="s">
        <v>1210</v>
      </c>
      <c r="I165" s="276"/>
      <c r="J165" s="294" t="str">
        <f>IF(ISBLANK(HLOOKUP(CaseName,CaseData,MATCH($G165,cases!$G$4:$G$2494,0),FALSE)),"",HLOOKUP(CaseName,CaseData,MATCH($G165,cases!$G$4:$G$2494,0),FALSE))</f>
        <v/>
      </c>
      <c r="K165" s="435">
        <f>L168-L172</f>
        <v>2.6195185185185192E-10</v>
      </c>
      <c r="L165" s="298">
        <f t="shared" si="7"/>
        <v>2.6195185185185192E-10</v>
      </c>
      <c r="M165" s="228"/>
      <c r="N165" s="384"/>
    </row>
    <row r="166" spans="1:14" s="386" customFormat="1" ht="12.75" customHeight="1" x14ac:dyDescent="0.3">
      <c r="A166" s="567"/>
      <c r="B166" s="567"/>
      <c r="C166" s="567" t="s">
        <v>1259</v>
      </c>
      <c r="D166" s="566"/>
      <c r="E166" s="566"/>
      <c r="F166" s="566"/>
      <c r="G166" s="752" t="s">
        <v>2139</v>
      </c>
      <c r="H166" s="679" t="s">
        <v>1195</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1261</v>
      </c>
      <c r="D167" s="228"/>
      <c r="E167" s="228"/>
      <c r="F167" s="228"/>
      <c r="G167" s="701" t="s">
        <v>2140</v>
      </c>
      <c r="H167" s="578" t="s">
        <v>1195</v>
      </c>
      <c r="I167" s="276"/>
      <c r="J167" s="294" t="str">
        <f>IF(ISBLANK(HLOOKUP(CaseName,CaseData,MATCH($G167,cases!$G$4:$G$2494,0),FALSE)),"",HLOOKUP(CaseName,CaseData,MATCH($G167,cases!$G$4:$G$2494,0),FALSE))</f>
        <v/>
      </c>
      <c r="K167" s="435">
        <f>IF(L169*input!L312/(L46*RHOsolid)&gt;L171,L169*input!L312/(L46*RHOsolid),L171)</f>
        <v>8.6805555555555575E-10</v>
      </c>
      <c r="L167" s="298">
        <f t="shared" si="7"/>
        <v>8.6805555555555575E-10</v>
      </c>
      <c r="M167" s="228"/>
      <c r="N167" s="384"/>
    </row>
    <row r="168" spans="1:14" s="386" customFormat="1" ht="12.75" customHeight="1" x14ac:dyDescent="0.3">
      <c r="A168" s="216"/>
      <c r="B168" s="216"/>
      <c r="C168" s="216" t="s">
        <v>1263</v>
      </c>
      <c r="D168" s="228"/>
      <c r="E168" s="228"/>
      <c r="F168" s="228"/>
      <c r="G168" s="701" t="s">
        <v>2141</v>
      </c>
      <c r="H168" s="578" t="s">
        <v>1195</v>
      </c>
      <c r="I168" s="276"/>
      <c r="J168" s="294" t="str">
        <f>IF(ISBLANK(HLOOKUP(CaseName,CaseData,MATCH($G168,cases!$G$4:$G$2494,0),FALSE)),"",HLOOKUP(CaseName,CaseData,MATCH($G168,cases!$G$4:$G$2494,0),FALSE))</f>
        <v/>
      </c>
      <c r="K168" s="435">
        <f>IF(L169*input!L313/(L46*RHOsolid)&gt;L172,L169*input!L313/(L46*RHOsolid),L172)</f>
        <v>2.893518518518519E-10</v>
      </c>
      <c r="L168" s="298">
        <f t="shared" si="7"/>
        <v>2.893518518518519E-10</v>
      </c>
      <c r="M168" s="228"/>
      <c r="N168" s="384"/>
    </row>
    <row r="169" spans="1:14" s="386" customFormat="1" ht="12.75" customHeight="1" x14ac:dyDescent="0.3">
      <c r="A169" s="216"/>
      <c r="B169" s="216"/>
      <c r="C169" s="228"/>
      <c r="D169" s="216" t="s">
        <v>1265</v>
      </c>
      <c r="E169" s="578"/>
      <c r="F169" s="578"/>
      <c r="G169" s="701" t="s">
        <v>2142</v>
      </c>
      <c r="H169" s="578" t="s">
        <v>1195</v>
      </c>
      <c r="I169" s="276"/>
      <c r="J169" s="294" t="str">
        <f>IF(ISBLANK(HLOOKUP(CaseName,CaseData,MATCH($G169,cases!$G$4:$G$2494,0),FALSE)),"",HLOOKUP(CaseName,CaseData,MATCH($G169,cases!$G$4:$G$2494,0),FALSE))</f>
        <v/>
      </c>
      <c r="K169" s="435">
        <f>2.5/(24*3600)</f>
        <v>2.8935185185185186E-5</v>
      </c>
      <c r="L169" s="298">
        <f t="shared" si="7"/>
        <v>2.8935185185185186E-5</v>
      </c>
      <c r="M169" s="228"/>
      <c r="N169" s="384"/>
    </row>
    <row r="170" spans="1:14" s="386" customFormat="1" ht="12.75" customHeight="1" x14ac:dyDescent="0.3">
      <c r="A170" s="567"/>
      <c r="B170" s="567"/>
      <c r="C170" s="566"/>
      <c r="D170" s="567" t="s">
        <v>1268</v>
      </c>
      <c r="E170" s="679"/>
      <c r="F170" s="679"/>
      <c r="G170" s="752" t="s">
        <v>2143</v>
      </c>
      <c r="H170" s="679" t="s">
        <v>1195</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1270</v>
      </c>
      <c r="E171" s="578"/>
      <c r="F171" s="578"/>
      <c r="G171" s="701" t="s">
        <v>2144</v>
      </c>
      <c r="H171" s="578" t="s">
        <v>1195</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1273</v>
      </c>
      <c r="E172" s="578"/>
      <c r="F172" s="578"/>
      <c r="G172" s="701" t="s">
        <v>2145</v>
      </c>
      <c r="H172" s="578" t="s">
        <v>1195</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1275</v>
      </c>
      <c r="F173" s="216"/>
      <c r="G173" s="701" t="s">
        <v>2146</v>
      </c>
      <c r="H173" s="216" t="s">
        <v>1277</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1279</v>
      </c>
      <c r="F174" s="216"/>
      <c r="G174" s="701" t="s">
        <v>2147</v>
      </c>
      <c r="H174" s="216" t="s">
        <v>1277</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1281</v>
      </c>
      <c r="C175" s="578"/>
      <c r="D175" s="578"/>
      <c r="E175" s="228"/>
      <c r="F175" s="228"/>
      <c r="G175" s="641" t="s">
        <v>2148</v>
      </c>
      <c r="H175" s="216" t="s">
        <v>1210</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3">
      <c r="A176" s="228"/>
      <c r="B176" s="228" t="s">
        <v>1283</v>
      </c>
      <c r="C176" s="578"/>
      <c r="D176" s="578"/>
      <c r="E176" s="228"/>
      <c r="F176" s="228"/>
      <c r="G176" s="641" t="s">
        <v>2149</v>
      </c>
      <c r="H176" s="216" t="s">
        <v>1210</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3">
      <c r="A177" s="228"/>
      <c r="B177" s="228" t="s">
        <v>1285</v>
      </c>
      <c r="C177" s="578"/>
      <c r="D177" s="578"/>
      <c r="E177" s="228"/>
      <c r="F177" s="578"/>
      <c r="G177" s="641" t="s">
        <v>2150</v>
      </c>
      <c r="H177" s="216" t="s">
        <v>1210</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3">
      <c r="A178" s="228"/>
      <c r="B178" s="228" t="s">
        <v>1287</v>
      </c>
      <c r="C178" s="578"/>
      <c r="D178" s="578"/>
      <c r="E178" s="228"/>
      <c r="F178" s="578"/>
      <c r="G178" s="641" t="s">
        <v>2151</v>
      </c>
      <c r="H178" s="216" t="s">
        <v>1210</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3">
      <c r="A179" s="216"/>
      <c r="B179" s="216"/>
      <c r="C179" s="228" t="s">
        <v>1289</v>
      </c>
      <c r="D179" s="228"/>
      <c r="E179" s="578"/>
      <c r="F179" s="578"/>
      <c r="G179" s="228" t="s">
        <v>2152</v>
      </c>
      <c r="H179" s="578" t="s">
        <v>1195</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1291</v>
      </c>
      <c r="D180" s="228"/>
      <c r="E180" s="578"/>
      <c r="F180" s="578"/>
      <c r="G180" s="228" t="s">
        <v>2153</v>
      </c>
      <c r="H180" s="578" t="s">
        <v>1195</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2154</v>
      </c>
      <c r="B182" s="17"/>
      <c r="C182" s="17"/>
      <c r="D182" s="17"/>
      <c r="E182" s="17"/>
      <c r="F182" s="17"/>
      <c r="G182" s="38" t="s">
        <v>4751</v>
      </c>
      <c r="H182" s="38" t="s">
        <v>617</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336</v>
      </c>
      <c r="N182" s="17"/>
    </row>
    <row r="183" spans="1:14" ht="12.75" customHeight="1" x14ac:dyDescent="0.3">
      <c r="A183" s="38" t="s">
        <v>2156</v>
      </c>
      <c r="B183" s="17"/>
      <c r="C183" s="17"/>
      <c r="D183" s="17"/>
      <c r="E183" s="17"/>
      <c r="F183" s="17"/>
      <c r="G183" s="38" t="s">
        <v>4752</v>
      </c>
      <c r="H183" s="38" t="s">
        <v>617</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336</v>
      </c>
      <c r="N183" s="17"/>
    </row>
    <row r="184" spans="1:14" ht="12.75" customHeight="1" x14ac:dyDescent="0.3">
      <c r="A184" s="38" t="s">
        <v>2158</v>
      </c>
      <c r="B184" s="17"/>
      <c r="C184" s="17"/>
      <c r="D184" s="17"/>
      <c r="E184" s="17"/>
      <c r="F184" s="17"/>
      <c r="G184" s="38" t="s">
        <v>4753</v>
      </c>
      <c r="H184" s="38" t="s">
        <v>617</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336</v>
      </c>
      <c r="N184" s="17"/>
    </row>
    <row r="185" spans="1:14" ht="12.75" customHeight="1" x14ac:dyDescent="0.3">
      <c r="A185" s="38" t="s">
        <v>2154</v>
      </c>
      <c r="B185" s="17"/>
      <c r="C185" s="17"/>
      <c r="D185" s="17"/>
      <c r="E185" s="17"/>
      <c r="F185" s="17"/>
      <c r="G185" s="173" t="s">
        <v>4754</v>
      </c>
      <c r="H185" s="38" t="s">
        <v>335</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336</v>
      </c>
      <c r="N185" s="17"/>
    </row>
    <row r="186" spans="1:14" ht="12.75" customHeight="1" x14ac:dyDescent="0.3">
      <c r="A186" s="38" t="s">
        <v>2156</v>
      </c>
      <c r="B186" s="17"/>
      <c r="C186" s="17"/>
      <c r="D186" s="17"/>
      <c r="E186" s="17"/>
      <c r="F186" s="17"/>
      <c r="G186" s="173" t="s">
        <v>4755</v>
      </c>
      <c r="H186" s="38" t="s">
        <v>335</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336</v>
      </c>
      <c r="N186" s="17"/>
    </row>
    <row r="187" spans="1:14" ht="12.75" customHeight="1" x14ac:dyDescent="0.3">
      <c r="A187" s="38" t="s">
        <v>2158</v>
      </c>
      <c r="B187" s="17"/>
      <c r="C187" s="17"/>
      <c r="D187" s="17"/>
      <c r="E187" s="17"/>
      <c r="F187" s="17"/>
      <c r="G187" s="173" t="s">
        <v>4756</v>
      </c>
      <c r="H187" s="38" t="s">
        <v>335</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336</v>
      </c>
      <c r="N187" s="17"/>
    </row>
    <row r="188" spans="1:14" ht="12.75" customHeight="1" x14ac:dyDescent="0.3">
      <c r="A188" s="38"/>
      <c r="B188" s="146" t="s">
        <v>1299</v>
      </c>
      <c r="C188" s="17"/>
      <c r="D188" s="146"/>
      <c r="E188" s="146"/>
      <c r="F188" s="146"/>
      <c r="G188" s="539" t="s">
        <v>2160</v>
      </c>
      <c r="H188" s="146" t="s">
        <v>1195</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1301</v>
      </c>
      <c r="C189" s="17"/>
      <c r="D189" s="146"/>
      <c r="E189" s="146"/>
      <c r="F189" s="146"/>
      <c r="G189" s="539" t="s">
        <v>2161</v>
      </c>
      <c r="H189" s="146" t="s">
        <v>1195</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1303</v>
      </c>
      <c r="C190" s="17"/>
      <c r="D190" s="146"/>
      <c r="E190" s="146"/>
      <c r="F190" s="146"/>
      <c r="G190" s="539" t="s">
        <v>2162</v>
      </c>
      <c r="H190" s="146" t="s">
        <v>1195</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1305</v>
      </c>
      <c r="C191" s="17"/>
      <c r="D191" s="146"/>
      <c r="E191" s="146"/>
      <c r="F191" s="146"/>
      <c r="G191" s="539" t="s">
        <v>2163</v>
      </c>
      <c r="H191" s="38" t="s">
        <v>291</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1307</v>
      </c>
      <c r="C192" s="17"/>
      <c r="D192" s="146"/>
      <c r="E192" s="146"/>
      <c r="F192" s="146"/>
      <c r="G192" s="539" t="s">
        <v>2164</v>
      </c>
      <c r="H192" s="38" t="s">
        <v>291</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1309</v>
      </c>
      <c r="C193" s="17"/>
      <c r="D193" s="146"/>
      <c r="E193" s="146"/>
      <c r="F193" s="146"/>
      <c r="G193" s="539" t="s">
        <v>2165</v>
      </c>
      <c r="H193" s="38" t="s">
        <v>291</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1229</v>
      </c>
      <c r="C194" s="17"/>
      <c r="D194" s="146"/>
      <c r="E194" s="146"/>
      <c r="F194" s="146"/>
      <c r="G194" s="540" t="s">
        <v>2166</v>
      </c>
      <c r="H194" s="17" t="s">
        <v>291</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1229</v>
      </c>
      <c r="C195" s="17"/>
      <c r="D195" s="146"/>
      <c r="E195" s="146"/>
      <c r="F195" s="146"/>
      <c r="G195" s="540" t="s">
        <v>2167</v>
      </c>
      <c r="H195" s="17" t="s">
        <v>291</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1229</v>
      </c>
      <c r="C196" s="17"/>
      <c r="D196" s="146"/>
      <c r="E196" s="146"/>
      <c r="F196" s="146"/>
      <c r="G196" s="540" t="s">
        <v>2168</v>
      </c>
      <c r="H196" s="17" t="s">
        <v>291</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1314</v>
      </c>
      <c r="B198" s="147"/>
      <c r="C198" s="147"/>
      <c r="D198" s="147"/>
      <c r="E198" s="147"/>
      <c r="F198" s="147"/>
      <c r="G198" s="148" t="s">
        <v>258</v>
      </c>
      <c r="H198" s="148" t="s">
        <v>274</v>
      </c>
      <c r="I198" s="147" t="s">
        <v>259</v>
      </c>
      <c r="J198" s="150" t="s">
        <v>275</v>
      </c>
      <c r="K198" s="331" t="s">
        <v>260</v>
      </c>
      <c r="L198" s="331" t="s">
        <v>261</v>
      </c>
      <c r="M198" s="147"/>
      <c r="N198" s="148" t="s">
        <v>262</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1315</v>
      </c>
      <c r="B200" s="17"/>
      <c r="C200" s="17"/>
      <c r="D200" s="17"/>
      <c r="E200" s="17"/>
      <c r="F200" s="17"/>
      <c r="G200" s="38" t="s">
        <v>2169</v>
      </c>
      <c r="H200" s="38" t="s">
        <v>617</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1041</v>
      </c>
      <c r="N200" s="17"/>
    </row>
    <row r="201" spans="1:14" ht="12.75" customHeight="1" x14ac:dyDescent="0.3">
      <c r="A201" s="38" t="s">
        <v>1317</v>
      </c>
      <c r="B201" s="17"/>
      <c r="C201" s="17"/>
      <c r="D201" s="17"/>
      <c r="E201" s="17"/>
      <c r="F201" s="17"/>
      <c r="G201" s="38" t="s">
        <v>2170</v>
      </c>
      <c r="H201" s="38" t="s">
        <v>617</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1041</v>
      </c>
      <c r="N201" s="17"/>
    </row>
    <row r="202" spans="1:14" ht="12.75" customHeight="1" x14ac:dyDescent="0.3">
      <c r="A202" s="38" t="s">
        <v>1319</v>
      </c>
      <c r="B202" s="17"/>
      <c r="C202" s="17"/>
      <c r="D202" s="17"/>
      <c r="E202" s="17"/>
      <c r="F202" s="17"/>
      <c r="G202" s="38" t="s">
        <v>2171</v>
      </c>
      <c r="H202" s="38" t="s">
        <v>617</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1041</v>
      </c>
      <c r="N202" s="17"/>
    </row>
    <row r="203" spans="1:14" ht="12.75" customHeight="1" x14ac:dyDescent="0.3">
      <c r="A203" s="38" t="s">
        <v>1321</v>
      </c>
      <c r="B203" s="17"/>
      <c r="C203" s="17"/>
      <c r="D203" s="17"/>
      <c r="E203" s="17"/>
      <c r="F203" s="17"/>
      <c r="G203" s="38" t="s">
        <v>2172</v>
      </c>
      <c r="H203" s="38" t="s">
        <v>617</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1041</v>
      </c>
      <c r="N203" s="17"/>
    </row>
    <row r="204" spans="1:14" s="386" customFormat="1" ht="12.75" customHeight="1" x14ac:dyDescent="0.3">
      <c r="A204" s="38" t="s">
        <v>1323</v>
      </c>
      <c r="B204" s="17"/>
      <c r="C204" s="17"/>
      <c r="D204" s="17"/>
      <c r="E204" s="17"/>
      <c r="F204" s="17"/>
      <c r="G204" s="38" t="s">
        <v>2173</v>
      </c>
      <c r="H204" s="38" t="s">
        <v>617</v>
      </c>
      <c r="I204" s="276"/>
      <c r="J204" s="294" t="str">
        <f>IF(ISBLANK(HLOOKUP(CaseName,CaseData,MATCH($G204,cases!$G$4:$G$2494,0),FALSE)),"",HLOOKUP(CaseName,CaseData,MATCH($G204,cases!$G$4:$G$2494,0),FALSE))</f>
        <v/>
      </c>
      <c r="K204" s="616">
        <f>L221+L170/L27</f>
        <v>2.8742283951576208E-9</v>
      </c>
      <c r="L204" s="298">
        <f t="shared" si="10"/>
        <v>2.8742283951576208E-9</v>
      </c>
      <c r="M204" s="17" t="s">
        <v>1041</v>
      </c>
      <c r="N204" s="141"/>
    </row>
    <row r="205" spans="1:14" ht="12.75" customHeight="1" x14ac:dyDescent="0.3">
      <c r="A205" s="38" t="s">
        <v>1325</v>
      </c>
      <c r="B205" s="17"/>
      <c r="C205" s="17"/>
      <c r="D205" s="17"/>
      <c r="E205" s="17"/>
      <c r="F205" s="17"/>
      <c r="G205" s="38" t="s">
        <v>2174</v>
      </c>
      <c r="H205" s="38" t="s">
        <v>617</v>
      </c>
      <c r="I205" s="276"/>
      <c r="J205" s="294" t="str">
        <f>IF(ISBLANK(HLOOKUP(CaseName,CaseData,MATCH($G205,cases!$G$4:$G$2494,0),FALSE)),"",HLOOKUP(CaseName,CaseData,MATCH($G205,cases!$G$4:$G$2494,0),FALSE))</f>
        <v/>
      </c>
      <c r="K205" s="616">
        <f>L222+L171/L28</f>
        <v>2.8742283951576208E-9</v>
      </c>
      <c r="L205" s="298">
        <f t="shared" si="10"/>
        <v>2.8742283951576208E-9</v>
      </c>
      <c r="M205" s="17" t="s">
        <v>1041</v>
      </c>
      <c r="N205" s="17"/>
    </row>
    <row r="206" spans="1:14" ht="12.75" customHeight="1" x14ac:dyDescent="0.3">
      <c r="A206" s="38" t="s">
        <v>1327</v>
      </c>
      <c r="B206" s="17"/>
      <c r="C206" s="17"/>
      <c r="D206" s="17"/>
      <c r="E206" s="17"/>
      <c r="F206" s="17"/>
      <c r="G206" s="38" t="s">
        <v>2175</v>
      </c>
      <c r="H206" s="38" t="s">
        <v>617</v>
      </c>
      <c r="I206" s="276"/>
      <c r="J206" s="294" t="str">
        <f>IF(ISBLANK(HLOOKUP(CaseName,CaseData,MATCH($G206,cases!$G$4:$G$2494,0),FALSE)),"",HLOOKUP(CaseName,CaseData,MATCH($G206,cases!$G$4:$G$2494,0),FALSE))</f>
        <v/>
      </c>
      <c r="K206" s="616">
        <f>L223+L172/L29</f>
        <v>9.1333333333739463E-10</v>
      </c>
      <c r="L206" s="298">
        <f t="shared" si="10"/>
        <v>9.1333333333739463E-10</v>
      </c>
      <c r="M206" s="17" t="s">
        <v>1041</v>
      </c>
      <c r="N206" s="17"/>
    </row>
    <row r="207" spans="1:14" ht="12.75" customHeight="1" x14ac:dyDescent="0.3">
      <c r="A207" s="38" t="s">
        <v>1329</v>
      </c>
      <c r="B207" s="17"/>
      <c r="C207" s="17"/>
      <c r="D207" s="17"/>
      <c r="E207" s="17"/>
      <c r="F207" s="17"/>
      <c r="G207" s="38" t="s">
        <v>2176</v>
      </c>
      <c r="H207" s="38" t="s">
        <v>617</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1041</v>
      </c>
      <c r="N207" s="17"/>
    </row>
    <row r="208" spans="1:14" ht="12.75" customHeight="1" x14ac:dyDescent="0.3">
      <c r="A208" s="38" t="s">
        <v>1329</v>
      </c>
      <c r="B208" s="17"/>
      <c r="C208" s="17"/>
      <c r="D208" s="17"/>
      <c r="E208" s="17"/>
      <c r="F208" s="17"/>
      <c r="G208" s="38" t="s">
        <v>2177</v>
      </c>
      <c r="H208" s="38" t="s">
        <v>617</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1041</v>
      </c>
      <c r="N208" s="17"/>
    </row>
    <row r="209" spans="1:14" ht="12.75" customHeight="1" x14ac:dyDescent="0.3">
      <c r="A209" s="38" t="s">
        <v>1329</v>
      </c>
      <c r="B209" s="17"/>
      <c r="C209" s="17"/>
      <c r="D209" s="17"/>
      <c r="E209" s="17"/>
      <c r="F209" s="17"/>
      <c r="G209" s="38" t="s">
        <v>2178</v>
      </c>
      <c r="H209" s="38" t="s">
        <v>617</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1041</v>
      </c>
      <c r="N209" s="17"/>
    </row>
    <row r="210" spans="1:14" ht="12.75" customHeight="1" x14ac:dyDescent="0.3">
      <c r="A210" s="38"/>
      <c r="B210" s="38" t="s">
        <v>1335</v>
      </c>
      <c r="C210" s="146"/>
      <c r="D210" s="17"/>
      <c r="E210" s="17"/>
      <c r="F210" s="17"/>
      <c r="G210" s="146" t="s">
        <v>2179</v>
      </c>
      <c r="H210" s="38" t="s">
        <v>617</v>
      </c>
      <c r="I210" s="281"/>
      <c r="J210" s="294" t="str">
        <f>IF(ISBLANK(HLOOKUP(CaseName,CaseData,MATCH($G210,cases!$G$4:$G$2494,0),FALSE)),"",HLOOKUP(CaseName,CaseData,MATCH($G210,cases!$G$4:$G$2494,0),FALSE))</f>
        <v/>
      </c>
      <c r="K210" s="428">
        <f>LN(2)/(60*365*24*3600)</f>
        <v>3.663258818281463E-10</v>
      </c>
      <c r="L210" s="298">
        <f t="shared" si="10"/>
        <v>3.663258818281463E-10</v>
      </c>
      <c r="M210" s="38" t="s">
        <v>1041</v>
      </c>
      <c r="N210" s="17"/>
    </row>
    <row r="211" spans="1:14" ht="12.75" customHeight="1" x14ac:dyDescent="0.3">
      <c r="A211" s="38"/>
      <c r="B211" s="38" t="s">
        <v>1337</v>
      </c>
      <c r="C211" s="17"/>
      <c r="D211" s="17"/>
      <c r="E211" s="17"/>
      <c r="F211" s="17"/>
      <c r="G211" s="38" t="s">
        <v>2180</v>
      </c>
      <c r="H211" s="38" t="s">
        <v>617</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1041</v>
      </c>
      <c r="N211" s="17"/>
    </row>
    <row r="212" spans="1:14" ht="12.75" customHeight="1" x14ac:dyDescent="0.3">
      <c r="A212" s="146"/>
      <c r="B212" s="146"/>
      <c r="C212" s="38" t="s">
        <v>2181</v>
      </c>
      <c r="D212" s="17"/>
      <c r="E212" s="17"/>
      <c r="F212" s="17"/>
      <c r="G212" s="38" t="s">
        <v>2182</v>
      </c>
      <c r="H212" s="38" t="s">
        <v>620</v>
      </c>
      <c r="I212" s="281"/>
      <c r="J212" s="294" t="str">
        <f>IF(ISBLANK(HLOOKUP(CaseName,CaseData,MATCH($G212,cases!$G$4:$G$2494,0),FALSE)),"",HLOOKUP(CaseName,CaseData,MATCH($G212,cases!$G$4:$G$2494,0),FALSE))</f>
        <v/>
      </c>
      <c r="K212" s="428">
        <v>500000</v>
      </c>
      <c r="L212" s="298">
        <f t="shared" si="10"/>
        <v>500000</v>
      </c>
      <c r="M212" s="38" t="s">
        <v>1341</v>
      </c>
      <c r="N212" s="17"/>
    </row>
    <row r="213" spans="1:14" ht="12.75" customHeight="1" x14ac:dyDescent="0.3">
      <c r="A213" s="146"/>
      <c r="B213" s="146"/>
      <c r="C213" s="38" t="s">
        <v>2183</v>
      </c>
      <c r="D213" s="17"/>
      <c r="E213" s="17"/>
      <c r="F213" s="17"/>
      <c r="G213" s="38" t="s">
        <v>2184</v>
      </c>
      <c r="H213" s="38" t="s">
        <v>291</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292</v>
      </c>
      <c r="N213" s="17"/>
    </row>
    <row r="214" spans="1:14" ht="12.75" customHeight="1" x14ac:dyDescent="0.3">
      <c r="A214" s="38"/>
      <c r="B214" s="38" t="s">
        <v>1344</v>
      </c>
      <c r="C214" s="17"/>
      <c r="D214" s="17"/>
      <c r="E214" s="17"/>
      <c r="F214" s="17"/>
      <c r="G214" s="38" t="s">
        <v>2185</v>
      </c>
      <c r="H214" s="38" t="s">
        <v>617</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1041</v>
      </c>
      <c r="N214" s="17"/>
    </row>
    <row r="215" spans="1:14" ht="12.75" customHeight="1" x14ac:dyDescent="0.3">
      <c r="A215" s="38"/>
      <c r="B215" s="38" t="s">
        <v>1346</v>
      </c>
      <c r="C215" s="17"/>
      <c r="D215" s="17"/>
      <c r="E215" s="17"/>
      <c r="F215" s="17"/>
      <c r="G215" s="38" t="s">
        <v>2186</v>
      </c>
      <c r="H215" s="38" t="s">
        <v>617</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1041</v>
      </c>
      <c r="N215" s="17"/>
    </row>
    <row r="216" spans="1:14" ht="12.75" customHeight="1" x14ac:dyDescent="0.3">
      <c r="A216" s="38"/>
      <c r="B216" s="38" t="s">
        <v>1348</v>
      </c>
      <c r="C216" s="17"/>
      <c r="D216" s="17"/>
      <c r="E216" s="17"/>
      <c r="F216" s="17"/>
      <c r="G216" s="38" t="s">
        <v>2187</v>
      </c>
      <c r="H216" s="38" t="s">
        <v>617</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1041</v>
      </c>
      <c r="N216" s="17"/>
    </row>
    <row r="217" spans="1:14" ht="12.75" customHeight="1" x14ac:dyDescent="0.3">
      <c r="A217" s="38"/>
      <c r="B217" s="38"/>
      <c r="C217" s="38" t="s">
        <v>1350</v>
      </c>
      <c r="D217" s="17"/>
      <c r="E217" s="17"/>
      <c r="F217" s="17"/>
      <c r="G217" s="146" t="s">
        <v>2188</v>
      </c>
      <c r="H217" s="38" t="s">
        <v>1352</v>
      </c>
      <c r="I217" s="274"/>
      <c r="J217" s="294" t="str">
        <f>IF(ISBLANK(HLOOKUP(CaseName,CaseData,MATCH($G217,cases!$G$4:$G$2494,0),FALSE)),"",HLOOKUP(CaseName,CaseData,MATCH($G217,cases!$G$4:$G$2494,0),FALSE))</f>
        <v/>
      </c>
      <c r="K217" s="428">
        <v>40000</v>
      </c>
      <c r="L217" s="298">
        <f t="shared" si="10"/>
        <v>40000</v>
      </c>
      <c r="M217" s="38" t="s">
        <v>1353</v>
      </c>
      <c r="N217" s="17"/>
    </row>
    <row r="218" spans="1:14" ht="12.75" customHeight="1" x14ac:dyDescent="0.3">
      <c r="A218" s="38"/>
      <c r="B218" s="38"/>
      <c r="C218" s="38" t="s">
        <v>1354</v>
      </c>
      <c r="D218" s="17"/>
      <c r="E218" s="17"/>
      <c r="F218" s="17"/>
      <c r="G218" s="146" t="s">
        <v>2189</v>
      </c>
      <c r="H218" s="38" t="s">
        <v>1352</v>
      </c>
      <c r="I218" s="281"/>
      <c r="J218" s="294" t="str">
        <f>IF(ISBLANK(HLOOKUP(CaseName,CaseData,MATCH($G218,cases!$G$4:$G$2494,0),FALSE)),"",HLOOKUP(CaseName,CaseData,MATCH($G218,cases!$G$4:$G$2494,0),FALSE))</f>
        <v/>
      </c>
      <c r="K218" s="428">
        <v>40000</v>
      </c>
      <c r="L218" s="298">
        <f t="shared" si="10"/>
        <v>40000</v>
      </c>
      <c r="M218" s="38" t="s">
        <v>638</v>
      </c>
      <c r="N218" s="17"/>
    </row>
    <row r="219" spans="1:14" ht="12.75" customHeight="1" x14ac:dyDescent="0.3">
      <c r="A219" s="38"/>
      <c r="B219" s="38"/>
      <c r="C219" s="38" t="s">
        <v>1356</v>
      </c>
      <c r="D219" s="17"/>
      <c r="E219" s="17"/>
      <c r="F219" s="17"/>
      <c r="G219" s="146" t="s">
        <v>2190</v>
      </c>
      <c r="H219" s="38" t="s">
        <v>1352</v>
      </c>
      <c r="I219" s="281"/>
      <c r="J219" s="294" t="str">
        <f>IF(ISBLANK(HLOOKUP(CaseName,CaseData,MATCH($G219,cases!$G$4:$G$2494,0),FALSE)),"",HLOOKUP(CaseName,CaseData,MATCH($G219,cases!$G$4:$G$2494,0),FALSE))</f>
        <v/>
      </c>
      <c r="K219" s="428">
        <v>40000</v>
      </c>
      <c r="L219" s="298">
        <f t="shared" si="10"/>
        <v>40000</v>
      </c>
      <c r="M219" s="38" t="s">
        <v>638</v>
      </c>
      <c r="N219" s="17"/>
    </row>
    <row r="220" spans="1:14" ht="12.75" customHeight="1" x14ac:dyDescent="0.3">
      <c r="A220" s="146"/>
      <c r="B220" s="146"/>
      <c r="C220" s="38" t="s">
        <v>1358</v>
      </c>
      <c r="D220" s="17"/>
      <c r="E220" s="17"/>
      <c r="F220" s="17"/>
      <c r="G220" s="38" t="s">
        <v>2191</v>
      </c>
      <c r="H220" s="38" t="s">
        <v>291</v>
      </c>
      <c r="I220" s="281"/>
      <c r="J220" s="294" t="str">
        <f>IF(ISBLANK(HLOOKUP(CaseName,CaseData,MATCH($G220,cases!$G$4:$G$2494,0),FALSE)),"",HLOOKUP(CaseName,CaseData,MATCH($G220,cases!$G$4:$G$2494,0),FALSE))</f>
        <v/>
      </c>
      <c r="K220" s="428">
        <f>Q.10^((TEMP.C-298)/10)</f>
        <v>0.40612619817811774</v>
      </c>
      <c r="L220" s="298">
        <f t="shared" si="10"/>
        <v>0.40612619817811774</v>
      </c>
      <c r="M220" s="38" t="s">
        <v>292</v>
      </c>
      <c r="N220" s="17"/>
    </row>
    <row r="221" spans="1:14" ht="12.75" customHeight="1" x14ac:dyDescent="0.3">
      <c r="A221" s="146"/>
      <c r="B221" s="38" t="s">
        <v>2192</v>
      </c>
      <c r="C221" s="17"/>
      <c r="D221" s="17"/>
      <c r="E221" s="17"/>
      <c r="F221" s="17"/>
      <c r="G221" s="38" t="s">
        <v>2193</v>
      </c>
      <c r="H221" s="38" t="s">
        <v>617</v>
      </c>
      <c r="I221" s="281"/>
      <c r="J221" s="294" t="str">
        <f>IF(ISBLANK(HLOOKUP(CaseName,CaseData,MATCH($G221,cases!$G$4:$G$2494,0),FALSE)),"",HLOOKUP(CaseName,CaseData,MATCH($G221,cases!$G$4:$G$2494,0),FALSE))</f>
        <v/>
      </c>
      <c r="K221" s="436">
        <f>L220*kdeg.sed</f>
        <v>4.0612619817811774E-21</v>
      </c>
      <c r="L221" s="298">
        <f t="shared" si="10"/>
        <v>4.0612619817811774E-21</v>
      </c>
      <c r="M221" s="38" t="s">
        <v>1041</v>
      </c>
      <c r="N221" s="17"/>
    </row>
    <row r="222" spans="1:14" ht="12.75" customHeight="1" x14ac:dyDescent="0.3">
      <c r="A222" s="38"/>
      <c r="B222" s="38" t="s">
        <v>1362</v>
      </c>
      <c r="C222" s="17"/>
      <c r="D222" s="17"/>
      <c r="E222" s="17"/>
      <c r="F222" s="17"/>
      <c r="G222" s="38" t="s">
        <v>2194</v>
      </c>
      <c r="H222" s="38" t="s">
        <v>617</v>
      </c>
      <c r="I222" s="281"/>
      <c r="J222" s="294" t="str">
        <f>IF(ISBLANK(HLOOKUP(CaseName,CaseData,MATCH($G222,cases!$G$4:$G$2494,0),FALSE)),"",HLOOKUP(CaseName,CaseData,MATCH($G222,cases!$G$4:$G$2494,0),FALSE))</f>
        <v/>
      </c>
      <c r="K222" s="436">
        <f>L220*kdeg.sed</f>
        <v>4.0612619817811774E-21</v>
      </c>
      <c r="L222" s="298">
        <f t="shared" si="10"/>
        <v>4.0612619817811774E-21</v>
      </c>
      <c r="M222" s="38" t="s">
        <v>1041</v>
      </c>
      <c r="N222" s="17"/>
    </row>
    <row r="223" spans="1:14" ht="12.75" customHeight="1" x14ac:dyDescent="0.3">
      <c r="A223" s="38"/>
      <c r="B223" s="38" t="s">
        <v>1364</v>
      </c>
      <c r="C223" s="17"/>
      <c r="D223" s="17"/>
      <c r="E223" s="17"/>
      <c r="F223" s="17"/>
      <c r="G223" s="38" t="s">
        <v>2195</v>
      </c>
      <c r="H223" s="38" t="s">
        <v>617</v>
      </c>
      <c r="I223" s="281"/>
      <c r="J223" s="294" t="str">
        <f>IF(ISBLANK(HLOOKUP(CaseName,CaseData,MATCH($G223,cases!$G$4:$G$2494,0),FALSE)),"",HLOOKUP(CaseName,CaseData,MATCH($G223,cases!$G$4:$G$2494,0),FALSE))</f>
        <v/>
      </c>
      <c r="K223" s="436">
        <f>L220*kdeg.sed</f>
        <v>4.0612619817811774E-21</v>
      </c>
      <c r="L223" s="298">
        <f t="shared" si="10"/>
        <v>4.0612619817811774E-21</v>
      </c>
      <c r="M223" s="38" t="s">
        <v>1041</v>
      </c>
      <c r="N223" s="17"/>
    </row>
    <row r="224" spans="1:14" ht="12.75" customHeight="1" x14ac:dyDescent="0.3">
      <c r="A224" s="38"/>
      <c r="B224" s="38" t="s">
        <v>1366</v>
      </c>
      <c r="C224" s="17"/>
      <c r="D224" s="17"/>
      <c r="E224" s="17"/>
      <c r="F224" s="17"/>
      <c r="G224" s="38" t="s">
        <v>2196</v>
      </c>
      <c r="H224" s="38" t="s">
        <v>617</v>
      </c>
      <c r="I224" s="281"/>
      <c r="J224" s="294" t="str">
        <f>IF(ISBLANK(HLOOKUP(CaseName,CaseData,MATCH($G224,cases!$G$4:$G$2494,0),FALSE)),"",HLOOKUP(CaseName,CaseData,MATCH($G224,cases!$G$4:$G$2494,0),FALSE))</f>
        <v/>
      </c>
      <c r="K224" s="436">
        <f>L220*kdeg.soil</f>
        <v>4.0612619817811774E-21</v>
      </c>
      <c r="L224" s="298">
        <f t="shared" si="10"/>
        <v>4.0612619817811774E-21</v>
      </c>
      <c r="M224" s="38" t="s">
        <v>1041</v>
      </c>
      <c r="N224" s="17"/>
    </row>
    <row r="225" spans="1:16" ht="12.75" customHeight="1" x14ac:dyDescent="0.3">
      <c r="A225" s="38"/>
      <c r="B225" s="38" t="s">
        <v>1368</v>
      </c>
      <c r="C225" s="17"/>
      <c r="D225" s="17"/>
      <c r="E225" s="17"/>
      <c r="F225" s="17"/>
      <c r="G225" s="38" t="s">
        <v>2197</v>
      </c>
      <c r="H225" s="38" t="s">
        <v>617</v>
      </c>
      <c r="I225" s="281"/>
      <c r="J225" s="294" t="str">
        <f>IF(ISBLANK(HLOOKUP(CaseName,CaseData,MATCH($G225,cases!$G$4:$G$2494,0),FALSE)),"",HLOOKUP(CaseName,CaseData,MATCH($G225,cases!$G$4:$G$2494,0),FALSE))</f>
        <v/>
      </c>
      <c r="K225" s="436">
        <f>L220*kdeg.soil</f>
        <v>4.0612619817811774E-21</v>
      </c>
      <c r="L225" s="298">
        <f t="shared" si="10"/>
        <v>4.0612619817811774E-21</v>
      </c>
      <c r="M225" s="38" t="s">
        <v>1041</v>
      </c>
      <c r="N225" s="17"/>
    </row>
    <row r="226" spans="1:16" ht="12.75" customHeight="1" x14ac:dyDescent="0.3">
      <c r="A226" s="38"/>
      <c r="B226" s="38" t="s">
        <v>1370</v>
      </c>
      <c r="C226" s="17"/>
      <c r="D226" s="17"/>
      <c r="E226" s="17"/>
      <c r="F226" s="17"/>
      <c r="G226" s="38" t="s">
        <v>2198</v>
      </c>
      <c r="H226" s="38" t="s">
        <v>617</v>
      </c>
      <c r="I226" s="281"/>
      <c r="J226" s="294" t="str">
        <f>IF(ISBLANK(HLOOKUP(CaseName,CaseData,MATCH($G226,cases!$G$4:$G$2494,0),FALSE)),"",HLOOKUP(CaseName,CaseData,MATCH($G226,cases!$G$4:$G$2494,0),FALSE))</f>
        <v/>
      </c>
      <c r="K226" s="436">
        <f>L220*kdeg.soil</f>
        <v>4.0612619817811774E-21</v>
      </c>
      <c r="L226" s="298">
        <f t="shared" si="10"/>
        <v>4.0612619817811774E-21</v>
      </c>
      <c r="M226" s="38" t="s">
        <v>1041</v>
      </c>
      <c r="N226" s="17"/>
    </row>
    <row r="227" spans="1:16" ht="12.75" customHeight="1" x14ac:dyDescent="0.3">
      <c r="A227" s="38"/>
      <c r="B227" s="38"/>
      <c r="C227" s="38" t="s">
        <v>1372</v>
      </c>
      <c r="D227" s="17"/>
      <c r="E227" s="17"/>
      <c r="F227" s="17"/>
      <c r="G227" s="146" t="s">
        <v>2199</v>
      </c>
      <c r="H227" s="38" t="s">
        <v>291</v>
      </c>
      <c r="I227" s="281"/>
      <c r="J227" s="294" t="str">
        <f>IF(ISBLANK(HLOOKUP(CaseName,CaseData,MATCH($G227,cases!$G$4:$G$2494,0),FALSE)),"",HLOOKUP(CaseName,CaseData,MATCH($G227,cases!$G$4:$G$2494,0),FALSE))</f>
        <v/>
      </c>
      <c r="K227" s="428">
        <f>FRACinf.C</f>
        <v>0.25</v>
      </c>
      <c r="L227" s="298">
        <f t="shared" si="10"/>
        <v>0.25</v>
      </c>
      <c r="M227" s="38" t="s">
        <v>292</v>
      </c>
      <c r="N227" s="17"/>
    </row>
    <row r="228" spans="1:16" ht="12.75" customHeight="1" x14ac:dyDescent="0.3">
      <c r="A228" s="38"/>
      <c r="B228" s="38"/>
      <c r="C228" s="38" t="s">
        <v>1374</v>
      </c>
      <c r="D228" s="17"/>
      <c r="E228" s="17"/>
      <c r="F228" s="17"/>
      <c r="G228" s="146" t="s">
        <v>2200</v>
      </c>
      <c r="H228" s="38" t="s">
        <v>291</v>
      </c>
      <c r="I228" s="281"/>
      <c r="J228" s="294" t="str">
        <f>IF(ISBLANK(HLOOKUP(CaseName,CaseData,MATCH($G228,cases!$G$4:$G$2494,0),FALSE)),"",HLOOKUP(CaseName,CaseData,MATCH($G228,cases!$G$4:$G$2494,0),FALSE))</f>
        <v/>
      </c>
      <c r="K228" s="428">
        <f>FRACinf.C</f>
        <v>0.25</v>
      </c>
      <c r="L228" s="298">
        <f t="shared" si="10"/>
        <v>0.25</v>
      </c>
      <c r="M228" s="38" t="s">
        <v>292</v>
      </c>
      <c r="N228" s="17"/>
      <c r="O228" s="11"/>
      <c r="P228" s="11"/>
    </row>
    <row r="229" spans="1:16" ht="12.75" customHeight="1" x14ac:dyDescent="0.3">
      <c r="A229" s="17"/>
      <c r="B229" s="17"/>
      <c r="C229" s="38" t="s">
        <v>1376</v>
      </c>
      <c r="D229" s="17"/>
      <c r="E229" s="17"/>
      <c r="F229" s="17"/>
      <c r="G229" s="146" t="s">
        <v>2201</v>
      </c>
      <c r="H229" s="38" t="s">
        <v>291</v>
      </c>
      <c r="I229" s="281"/>
      <c r="J229" s="294" t="str">
        <f>IF(ISBLANK(HLOOKUP(CaseName,CaseData,MATCH($G229,cases!$G$4:$G$2494,0),FALSE)),"",HLOOKUP(CaseName,CaseData,MATCH($G229,cases!$G$4:$G$2494,0),FALSE))</f>
        <v/>
      </c>
      <c r="K229" s="428">
        <f>FRACinf.C</f>
        <v>0.25</v>
      </c>
      <c r="L229" s="298">
        <f t="shared" si="10"/>
        <v>0.25</v>
      </c>
      <c r="M229" s="38" t="s">
        <v>292</v>
      </c>
      <c r="N229" s="17"/>
      <c r="O229" s="11"/>
      <c r="P229" s="11"/>
    </row>
    <row r="230" spans="1:16" ht="12.75" customHeight="1" x14ac:dyDescent="0.3">
      <c r="A230" s="38"/>
      <c r="B230" s="38"/>
      <c r="C230" s="17" t="s">
        <v>1229</v>
      </c>
      <c r="D230" s="17"/>
      <c r="E230" s="146"/>
      <c r="F230" s="146"/>
      <c r="G230" s="38" t="s">
        <v>2202</v>
      </c>
      <c r="H230" s="17" t="s">
        <v>291</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292</v>
      </c>
      <c r="N230" s="17" t="s">
        <v>1231</v>
      </c>
      <c r="O230" s="11"/>
      <c r="P230" s="11"/>
    </row>
    <row r="231" spans="1:16" ht="12.75" customHeight="1" x14ac:dyDescent="0.3">
      <c r="A231" s="38"/>
      <c r="B231" s="38"/>
      <c r="C231" s="17" t="s">
        <v>1229</v>
      </c>
      <c r="D231" s="17"/>
      <c r="E231" s="146"/>
      <c r="F231" s="146"/>
      <c r="G231" s="38" t="s">
        <v>2203</v>
      </c>
      <c r="H231" s="17" t="s">
        <v>291</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292</v>
      </c>
      <c r="N231" s="17" t="s">
        <v>1231</v>
      </c>
      <c r="O231" s="11"/>
      <c r="P231" s="11"/>
    </row>
    <row r="232" spans="1:16" ht="12.75" customHeight="1" x14ac:dyDescent="0.3">
      <c r="A232" s="38"/>
      <c r="B232" s="38"/>
      <c r="C232" s="17" t="s">
        <v>1229</v>
      </c>
      <c r="D232" s="17"/>
      <c r="E232" s="146"/>
      <c r="F232" s="146"/>
      <c r="G232" s="38" t="s">
        <v>2204</v>
      </c>
      <c r="H232" s="17" t="s">
        <v>291</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292</v>
      </c>
      <c r="N232" s="17" t="s">
        <v>1231</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1382</v>
      </c>
      <c r="G235" s="630" t="s">
        <v>258</v>
      </c>
      <c r="H235" s="630" t="s">
        <v>274</v>
      </c>
      <c r="I235" s="413" t="s">
        <v>259</v>
      </c>
      <c r="J235" s="498" t="s">
        <v>275</v>
      </c>
      <c r="K235" s="647" t="s">
        <v>260</v>
      </c>
      <c r="L235" s="648" t="s">
        <v>261</v>
      </c>
      <c r="N235" s="630" t="s">
        <v>262</v>
      </c>
      <c r="O235" s="209" t="s">
        <v>1383</v>
      </c>
      <c r="P235" s="413" t="s">
        <v>1384</v>
      </c>
    </row>
    <row r="236" spans="1:16" s="410" customFormat="1" ht="12.75" customHeight="1" x14ac:dyDescent="0.3">
      <c r="A236" s="410" t="s">
        <v>1385</v>
      </c>
      <c r="G236" s="654"/>
      <c r="H236" s="654"/>
      <c r="J236" s="656"/>
      <c r="K236" s="657"/>
      <c r="L236" s="658"/>
      <c r="O236" s="417"/>
    </row>
    <row r="237" spans="1:16" customFormat="1" ht="12.75" customHeight="1" x14ac:dyDescent="0.3">
      <c r="A237" s="566" t="s">
        <v>1386</v>
      </c>
      <c r="B237" s="566"/>
      <c r="C237" s="566"/>
      <c r="D237" s="566"/>
      <c r="E237" s="566"/>
      <c r="F237" s="566"/>
      <c r="G237" s="566" t="s">
        <v>2205</v>
      </c>
      <c r="H237" s="567" t="s">
        <v>335</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335</v>
      </c>
      <c r="N237" s="566"/>
      <c r="O237" s="604">
        <v>2</v>
      </c>
      <c r="P237" s="566" t="s">
        <v>1388</v>
      </c>
    </row>
    <row r="238" spans="1:16" customFormat="1" ht="12.75" customHeight="1" x14ac:dyDescent="0.3">
      <c r="A238" s="566"/>
      <c r="B238" s="566" t="s">
        <v>1389</v>
      </c>
      <c r="C238" s="566"/>
      <c r="D238" s="566"/>
      <c r="E238" s="566"/>
      <c r="F238" s="566"/>
      <c r="G238" s="566" t="s">
        <v>2206</v>
      </c>
      <c r="H238" s="566" t="s">
        <v>335</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335</v>
      </c>
      <c r="N238" s="566"/>
      <c r="O238" s="604">
        <v>10</v>
      </c>
      <c r="P238" s="566" t="s">
        <v>908</v>
      </c>
    </row>
    <row r="239" spans="1:16" customFormat="1" ht="12.75" customHeight="1" x14ac:dyDescent="0.3">
      <c r="A239" s="566"/>
      <c r="B239" s="566"/>
      <c r="C239" s="566" t="s">
        <v>1396</v>
      </c>
      <c r="D239" s="566"/>
      <c r="E239" s="566"/>
      <c r="F239" s="566"/>
      <c r="G239" s="567" t="s">
        <v>2207</v>
      </c>
      <c r="H239" s="567" t="s">
        <v>866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866</v>
      </c>
      <c r="N239" s="566"/>
      <c r="O239" s="604"/>
      <c r="P239" s="566"/>
    </row>
    <row r="240" spans="1:16" customFormat="1" ht="12.75" customHeight="1" x14ac:dyDescent="0.3">
      <c r="A240" s="566"/>
      <c r="B240" s="566"/>
      <c r="C240" s="566" t="s">
        <v>1394</v>
      </c>
      <c r="D240" s="566"/>
      <c r="E240" s="566"/>
      <c r="F240" s="566"/>
      <c r="G240" s="566" t="s">
        <v>2208</v>
      </c>
      <c r="H240" s="566" t="s">
        <v>900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900</v>
      </c>
      <c r="N240" s="566"/>
      <c r="O240" s="604"/>
      <c r="P240" s="566"/>
    </row>
    <row r="241" spans="1:16" customFormat="1" ht="12.75" customHeight="1" x14ac:dyDescent="0.3">
      <c r="A241" s="566"/>
      <c r="B241" s="566"/>
      <c r="C241" s="566" t="s">
        <v>1391</v>
      </c>
      <c r="D241" s="566"/>
      <c r="E241" s="566"/>
      <c r="F241" s="566"/>
      <c r="G241" s="567" t="s">
        <v>2209</v>
      </c>
      <c r="H241" s="567" t="s">
        <v>291</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291</v>
      </c>
      <c r="N241" s="566"/>
      <c r="O241" s="675" t="s">
        <v>1393</v>
      </c>
      <c r="P241" s="566"/>
    </row>
    <row r="242" spans="1:16" customFormat="1" ht="12.75" customHeight="1" x14ac:dyDescent="0.3">
      <c r="A242" s="566" t="s">
        <v>1398</v>
      </c>
      <c r="B242" s="566"/>
      <c r="C242" s="566"/>
      <c r="D242" s="566"/>
      <c r="E242" s="566"/>
      <c r="F242" s="566"/>
      <c r="G242" s="566" t="s">
        <v>2210</v>
      </c>
      <c r="H242" s="566" t="s">
        <v>335</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335</v>
      </c>
      <c r="N242" s="566"/>
      <c r="O242" s="604"/>
      <c r="P242" s="566"/>
    </row>
    <row r="243" spans="1:16" customFormat="1" ht="12.75" customHeight="1" x14ac:dyDescent="0.3">
      <c r="A243" s="566"/>
      <c r="B243" s="566"/>
      <c r="C243" s="566" t="s">
        <v>1400</v>
      </c>
      <c r="D243" s="566"/>
      <c r="E243" s="566"/>
      <c r="F243" s="566"/>
      <c r="G243" s="567" t="s">
        <v>2211</v>
      </c>
      <c r="H243" s="567" t="s">
        <v>866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866</v>
      </c>
      <c r="N243" s="566"/>
      <c r="O243" s="604"/>
      <c r="P243" s="566"/>
    </row>
    <row r="244" spans="1:16" customFormat="1" ht="12.75" customHeight="1" x14ac:dyDescent="0.3">
      <c r="A244" s="566"/>
      <c r="B244" s="566"/>
      <c r="C244" s="566" t="s">
        <v>1402</v>
      </c>
      <c r="D244" s="566"/>
      <c r="E244" s="566"/>
      <c r="F244" s="566"/>
      <c r="G244" s="566" t="s">
        <v>2212</v>
      </c>
      <c r="H244" s="566" t="s">
        <v>900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900</v>
      </c>
      <c r="N244" s="566"/>
      <c r="O244" s="604"/>
      <c r="P244" s="566"/>
    </row>
    <row r="245" spans="1:16" customFormat="1" ht="12.75" customHeight="1" x14ac:dyDescent="0.3">
      <c r="A245" s="566"/>
      <c r="B245" s="566"/>
      <c r="C245" s="566" t="s">
        <v>1404</v>
      </c>
      <c r="D245" s="566"/>
      <c r="E245" s="566"/>
      <c r="F245" s="566"/>
      <c r="G245" s="567" t="s">
        <v>2213</v>
      </c>
      <c r="H245" s="567" t="s">
        <v>291</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291</v>
      </c>
      <c r="N245" s="566"/>
      <c r="O245" s="604"/>
      <c r="P245" s="566"/>
    </row>
    <row r="246" spans="1:16" customFormat="1" ht="12.75" customHeight="1" x14ac:dyDescent="0.3">
      <c r="A246" s="566" t="s">
        <v>1406</v>
      </c>
      <c r="B246" s="566"/>
      <c r="C246" s="566"/>
      <c r="D246" s="566"/>
      <c r="E246" s="566"/>
      <c r="F246" s="566"/>
      <c r="G246" s="567" t="s">
        <v>2214</v>
      </c>
      <c r="H246" s="567" t="s">
        <v>335</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335</v>
      </c>
      <c r="N246" s="566"/>
      <c r="O246" s="604"/>
      <c r="P246" s="566"/>
    </row>
    <row r="247" spans="1:16" customFormat="1" ht="12.75" customHeight="1" x14ac:dyDescent="0.3">
      <c r="A247" s="566"/>
      <c r="B247" s="566" t="s">
        <v>1408</v>
      </c>
      <c r="C247" s="566"/>
      <c r="D247" s="566"/>
      <c r="E247" s="566"/>
      <c r="F247" s="566"/>
      <c r="G247" s="567" t="s">
        <v>2215</v>
      </c>
      <c r="H247" s="567" t="s">
        <v>866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866</v>
      </c>
      <c r="N247" s="566"/>
      <c r="O247" s="604"/>
      <c r="P247" s="566"/>
    </row>
    <row r="248" spans="1:16" customFormat="1" ht="12.75" customHeight="1" x14ac:dyDescent="0.3">
      <c r="A248" s="566"/>
      <c r="B248" s="566" t="s">
        <v>1410</v>
      </c>
      <c r="C248" s="566"/>
      <c r="D248" s="566"/>
      <c r="E248" s="566"/>
      <c r="F248" s="566"/>
      <c r="G248" s="566" t="s">
        <v>2216</v>
      </c>
      <c r="H248" s="566" t="s">
        <v>900</v>
      </c>
      <c r="I248" s="708"/>
      <c r="J248" s="294"/>
      <c r="K248" s="989">
        <f>(kboltz*TEMP.C*(1+(66*10^-9/RadCP.a)*(1.142+0.558*EXP(-0.999/(66*10^-9/RadCP.a)))))/(6*PI()*DYNVISC.a*RadCP.a)</f>
        <v>1.3887806825099405E-11</v>
      </c>
      <c r="L248" s="298">
        <f t="shared" si="11"/>
        <v>1.3887806825099405E-11</v>
      </c>
      <c r="M248" s="566" t="s">
        <v>900</v>
      </c>
      <c r="N248" s="566"/>
      <c r="O248" s="604"/>
      <c r="P248" s="566"/>
    </row>
    <row r="249" spans="1:16" customFormat="1" ht="12.75" customHeight="1" x14ac:dyDescent="0.3">
      <c r="A249" s="566"/>
      <c r="B249" s="566" t="s">
        <v>1412</v>
      </c>
      <c r="C249" s="566"/>
      <c r="D249" s="566"/>
      <c r="E249" s="566"/>
      <c r="F249" s="566"/>
      <c r="G249" s="567" t="s">
        <v>2217</v>
      </c>
      <c r="H249" s="567" t="s">
        <v>291</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291</v>
      </c>
      <c r="N249" s="566"/>
      <c r="O249" s="604"/>
      <c r="P249" s="566"/>
    </row>
    <row r="250" spans="1:16" s="410" customFormat="1" ht="12.75" customHeight="1" x14ac:dyDescent="0.3">
      <c r="A250" s="410" t="s">
        <v>1414</v>
      </c>
      <c r="G250" s="654"/>
      <c r="H250" s="654"/>
      <c r="J250" s="656"/>
      <c r="K250" s="657"/>
      <c r="L250" s="658"/>
      <c r="O250" s="417"/>
    </row>
    <row r="251" spans="1:16" customFormat="1" ht="12.75" customHeight="1" x14ac:dyDescent="0.3">
      <c r="A251" s="566" t="s">
        <v>1415</v>
      </c>
      <c r="B251" s="566"/>
      <c r="C251" s="566"/>
      <c r="D251" s="566"/>
      <c r="E251" s="566"/>
      <c r="F251" s="566"/>
      <c r="G251" s="566" t="s">
        <v>2218</v>
      </c>
      <c r="H251" s="566" t="s">
        <v>335</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335</v>
      </c>
      <c r="N251" s="566"/>
      <c r="O251" s="604"/>
      <c r="P251" s="566"/>
    </row>
    <row r="252" spans="1:16" customFormat="1" ht="12.75" customHeight="1" x14ac:dyDescent="0.3">
      <c r="A252" s="566"/>
      <c r="B252" s="566" t="s">
        <v>1417</v>
      </c>
      <c r="C252" s="566"/>
      <c r="D252" s="566"/>
      <c r="E252" s="566"/>
      <c r="F252" s="566"/>
      <c r="G252" s="566" t="s">
        <v>2219</v>
      </c>
      <c r="H252" s="566" t="s">
        <v>708</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708</v>
      </c>
      <c r="N252" s="566"/>
      <c r="O252" s="604"/>
      <c r="P252" s="566"/>
    </row>
    <row r="253" spans="1:16" customFormat="1" ht="12.75" customHeight="1" x14ac:dyDescent="0.3">
      <c r="A253" s="566"/>
      <c r="B253" s="566" t="s">
        <v>1419</v>
      </c>
      <c r="C253" s="566"/>
      <c r="D253" s="566"/>
      <c r="E253" s="566"/>
      <c r="F253" s="566"/>
      <c r="G253" s="566" t="s">
        <v>2220</v>
      </c>
      <c r="H253" s="566" t="s">
        <v>335</v>
      </c>
      <c r="I253" s="708"/>
      <c r="J253" s="294" t="str">
        <f>IF(ISBLANK(HLOOKUP(CaseName,CaseData,MATCH($G253,cases!$G$4:$G$2494,0),FALSE)),"",HLOOKUP(CaseName,CaseData,MATCH($G253,cases!$G$4:$G$2494,0),FALSE))</f>
        <v/>
      </c>
      <c r="K253" s="697">
        <f>L266+L267+L254</f>
        <v>8.3871790100664376E-17</v>
      </c>
      <c r="L253" s="551">
        <f t="shared" si="12"/>
        <v>8.3871790100664376E-17</v>
      </c>
      <c r="M253" s="566" t="s">
        <v>335</v>
      </c>
      <c r="N253" s="566"/>
      <c r="O253" s="604"/>
      <c r="P253" s="566"/>
    </row>
    <row r="254" spans="1:16" customFormat="1" ht="12.75" customHeight="1" x14ac:dyDescent="0.3">
      <c r="A254" s="566"/>
      <c r="B254" s="566"/>
      <c r="C254" s="566" t="s">
        <v>1421</v>
      </c>
      <c r="D254" s="566"/>
      <c r="E254" s="566"/>
      <c r="F254" s="566"/>
      <c r="G254" s="567" t="s">
        <v>2221</v>
      </c>
      <c r="H254" s="567" t="s">
        <v>335</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335</v>
      </c>
      <c r="N254" s="566"/>
      <c r="O254" s="604"/>
      <c r="P254" s="566"/>
    </row>
    <row r="255" spans="1:16" customFormat="1" ht="12.75" customHeight="1" x14ac:dyDescent="0.3">
      <c r="A255" s="566"/>
      <c r="B255" s="566"/>
      <c r="C255" s="566"/>
      <c r="D255" s="566" t="s">
        <v>1423</v>
      </c>
      <c r="E255" s="566"/>
      <c r="F255" s="566"/>
      <c r="G255" s="566" t="s">
        <v>2222</v>
      </c>
      <c r="H255" s="566" t="s">
        <v>335</v>
      </c>
      <c r="I255" s="708"/>
      <c r="J255" s="294" t="str">
        <f>IF(ISBLANK(HLOOKUP(CaseName,CaseData,MATCH($G255,cases!$G$4:$G$2494,0),FALSE)),"",HLOOKUP(CaseName,CaseData,MATCH($G255,cases!$G$4:$G$2494,0),FALSE))</f>
        <v/>
      </c>
      <c r="K255" s="697">
        <v>1</v>
      </c>
      <c r="L255" s="551">
        <f t="shared" si="12"/>
        <v>1</v>
      </c>
      <c r="M255" s="566" t="s">
        <v>335</v>
      </c>
      <c r="N255" s="566"/>
      <c r="O255" s="604"/>
      <c r="P255" s="586" t="s">
        <v>1425</v>
      </c>
    </row>
    <row r="256" spans="1:16" customFormat="1" ht="12.75" customHeight="1" x14ac:dyDescent="0.3">
      <c r="A256" s="566" t="s">
        <v>1426</v>
      </c>
      <c r="B256" s="566"/>
      <c r="C256" s="566"/>
      <c r="D256" s="566"/>
      <c r="E256" s="566"/>
      <c r="F256" s="566"/>
      <c r="G256" s="567" t="s">
        <v>2223</v>
      </c>
      <c r="H256" s="567" t="s">
        <v>335</v>
      </c>
      <c r="I256" s="708"/>
      <c r="J256" s="294" t="str">
        <f>IF(ISBLANK(HLOOKUP(CaseName,CaseData,MATCH($G256,cases!$G$4:$G$2494,0),FALSE)),"",HLOOKUP(CaseName,CaseData,MATCH($G256,cases!$G$4:$G$2494,0),FALSE))</f>
        <v/>
      </c>
      <c r="K256" s="697">
        <f>L258*L257*AtefSA.w1</f>
        <v>1.1338222835485395E-3</v>
      </c>
      <c r="L256" s="298">
        <f t="shared" si="12"/>
        <v>1.1338222835485395E-3</v>
      </c>
      <c r="M256" s="566" t="s">
        <v>335</v>
      </c>
      <c r="N256" s="566"/>
      <c r="O256" s="604"/>
      <c r="P256" s="566"/>
    </row>
    <row r="257" spans="1:16" customFormat="1" ht="12.75" customHeight="1" x14ac:dyDescent="0.3">
      <c r="A257" s="566"/>
      <c r="B257" s="566" t="s">
        <v>1428</v>
      </c>
      <c r="C257" s="566"/>
      <c r="D257" s="566"/>
      <c r="E257" s="566"/>
      <c r="F257" s="566"/>
      <c r="G257" s="567" t="s">
        <v>2224</v>
      </c>
      <c r="H257" s="567" t="s">
        <v>708</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708</v>
      </c>
      <c r="N257" s="566"/>
      <c r="O257" s="604"/>
      <c r="P257" s="586" t="s">
        <v>1430</v>
      </c>
    </row>
    <row r="258" spans="1:16" customFormat="1" ht="12.75" customHeight="1" x14ac:dyDescent="0.3">
      <c r="A258" s="566"/>
      <c r="B258" s="566" t="s">
        <v>1431</v>
      </c>
      <c r="C258" s="566"/>
      <c r="D258" s="566"/>
      <c r="E258" s="566"/>
      <c r="F258" s="566"/>
      <c r="G258" s="567" t="s">
        <v>2225</v>
      </c>
      <c r="H258" s="567" t="s">
        <v>335</v>
      </c>
      <c r="I258" s="708"/>
      <c r="J258" s="294" t="str">
        <f>IF(ISBLANK(HLOOKUP(CaseName,CaseData,MATCH($G258,cases!$G$4:$G$2494,0),FALSE)),"",HLOOKUP(CaseName,CaseData,MATCH($G258,cases!$G$4:$G$2494,0),FALSE))</f>
        <v/>
      </c>
      <c r="K258" s="697">
        <f>L259+L266+L267</f>
        <v>8.436334160066437E-17</v>
      </c>
      <c r="L258" s="298">
        <f t="shared" si="12"/>
        <v>8.436334160066437E-17</v>
      </c>
      <c r="M258" s="566" t="s">
        <v>335</v>
      </c>
      <c r="N258" s="566"/>
      <c r="O258" s="604"/>
      <c r="P258" s="566"/>
    </row>
    <row r="259" spans="1:16" customFormat="1" ht="12.75" customHeight="1" x14ac:dyDescent="0.3">
      <c r="A259" s="566"/>
      <c r="B259" s="566"/>
      <c r="C259" s="566" t="s">
        <v>1421</v>
      </c>
      <c r="D259" s="566"/>
      <c r="E259" s="566"/>
      <c r="F259" s="566"/>
      <c r="G259" s="567" t="s">
        <v>2226</v>
      </c>
      <c r="H259" s="567" t="s">
        <v>335</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335</v>
      </c>
      <c r="N259" s="566"/>
      <c r="O259" s="604"/>
      <c r="P259" s="566"/>
    </row>
    <row r="260" spans="1:16" customFormat="1" ht="12.75" customHeight="1" x14ac:dyDescent="0.3">
      <c r="A260" s="566"/>
      <c r="B260" s="566"/>
      <c r="C260" s="566"/>
      <c r="D260" s="566" t="s">
        <v>1434</v>
      </c>
      <c r="E260" s="566"/>
      <c r="F260" s="566"/>
      <c r="G260" s="567" t="s">
        <v>2227</v>
      </c>
      <c r="H260" s="567" t="s">
        <v>335</v>
      </c>
      <c r="I260" s="708"/>
      <c r="J260" s="294" t="str">
        <f>IF(ISBLANK(HLOOKUP(CaseName,CaseData,MATCH($G260,cases!$G$4:$G$2494,0),FALSE)),"",HLOOKUP(CaseName,CaseData,MATCH($G260,cases!$G$4:$G$2494,0),FALSE))</f>
        <v/>
      </c>
      <c r="K260" s="697">
        <v>100</v>
      </c>
      <c r="L260" s="298">
        <f t="shared" si="12"/>
        <v>100</v>
      </c>
      <c r="M260" s="567" t="s">
        <v>335</v>
      </c>
      <c r="N260" s="566"/>
      <c r="O260" s="604"/>
      <c r="P260" s="586" t="s">
        <v>1436</v>
      </c>
    </row>
    <row r="261" spans="1:16" customFormat="1" ht="12.75" customHeight="1" x14ac:dyDescent="0.3">
      <c r="A261" s="566" t="s">
        <v>1437</v>
      </c>
      <c r="B261" s="566"/>
      <c r="C261" s="566"/>
      <c r="D261" s="566"/>
      <c r="E261" s="566"/>
      <c r="F261" s="566"/>
      <c r="G261" s="567" t="s">
        <v>2228</v>
      </c>
      <c r="H261" s="567" t="s">
        <v>335</v>
      </c>
      <c r="I261" s="708"/>
      <c r="J261" s="294" t="str">
        <f>IF(ISBLANK(HLOOKUP(CaseName,CaseData,MATCH($G261,cases!$G$4:$G$2494,0),FALSE)),"",HLOOKUP(CaseName,CaseData,MATCH($G261,cases!$G$4:$G$2494,0),FALSE))</f>
        <v/>
      </c>
      <c r="K261" s="697">
        <f>L263*L262*AtefSA.w2</f>
        <v>2.9679382350780224E-3</v>
      </c>
      <c r="L261" s="298">
        <f t="shared" si="12"/>
        <v>2.9679382350780224E-3</v>
      </c>
      <c r="M261" s="566" t="s">
        <v>335</v>
      </c>
      <c r="N261" s="566"/>
      <c r="O261" s="604"/>
      <c r="P261" s="566"/>
    </row>
    <row r="262" spans="1:16" customFormat="1" ht="12.75" customHeight="1" x14ac:dyDescent="0.3">
      <c r="A262" s="566"/>
      <c r="B262" s="566" t="s">
        <v>1439</v>
      </c>
      <c r="C262" s="566"/>
      <c r="D262" s="566"/>
      <c r="E262" s="566"/>
      <c r="F262" s="566"/>
      <c r="G262" s="567" t="s">
        <v>2229</v>
      </c>
      <c r="H262" s="567" t="s">
        <v>708</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708</v>
      </c>
      <c r="N262" s="566"/>
      <c r="O262" s="604"/>
      <c r="P262" s="586" t="s">
        <v>1441</v>
      </c>
    </row>
    <row r="263" spans="1:16" customFormat="1" ht="12.75" customHeight="1" x14ac:dyDescent="0.3">
      <c r="A263" s="566"/>
      <c r="B263" s="566" t="s">
        <v>1442</v>
      </c>
      <c r="C263" s="566"/>
      <c r="D263" s="566"/>
      <c r="E263" s="566"/>
      <c r="F263" s="566"/>
      <c r="G263" s="567" t="s">
        <v>2230</v>
      </c>
      <c r="H263" s="567" t="s">
        <v>335</v>
      </c>
      <c r="I263" s="708"/>
      <c r="J263" s="294" t="str">
        <f>IF(ISBLANK(HLOOKUP(CaseName,CaseData,MATCH($G263,cases!$G$4:$G$2494,0),FALSE)),"",HLOOKUP(CaseName,CaseData,MATCH($G263,cases!$G$4:$G$2494,0),FALSE))</f>
        <v/>
      </c>
      <c r="K263" s="697">
        <f>L264+L266+L267</f>
        <v>8.3916476600664372E-17</v>
      </c>
      <c r="L263" s="298">
        <f t="shared" si="12"/>
        <v>8.3916476600664372E-17</v>
      </c>
      <c r="M263" s="566" t="s">
        <v>335</v>
      </c>
      <c r="N263" s="566"/>
      <c r="O263" s="604"/>
      <c r="P263" s="566"/>
    </row>
    <row r="264" spans="1:16" customFormat="1" ht="12.75" customHeight="1" x14ac:dyDescent="0.3">
      <c r="A264" s="566"/>
      <c r="B264" s="566"/>
      <c r="C264" s="566" t="s">
        <v>1421</v>
      </c>
      <c r="D264" s="566"/>
      <c r="E264" s="566"/>
      <c r="F264" s="566"/>
      <c r="G264" s="567" t="s">
        <v>2231</v>
      </c>
      <c r="H264" s="567" t="s">
        <v>335</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335</v>
      </c>
      <c r="N264" s="566"/>
      <c r="O264" s="604"/>
      <c r="P264" s="566"/>
    </row>
    <row r="265" spans="1:16" customFormat="1" ht="12.75" customHeight="1" x14ac:dyDescent="0.3">
      <c r="A265" s="566"/>
      <c r="B265" s="566"/>
      <c r="C265" s="566"/>
      <c r="D265" s="566" t="s">
        <v>1445</v>
      </c>
      <c r="E265" s="566"/>
      <c r="F265" s="566"/>
      <c r="G265" s="567" t="s">
        <v>2232</v>
      </c>
      <c r="H265" s="567" t="s">
        <v>335</v>
      </c>
      <c r="I265" s="708"/>
      <c r="J265" s="294" t="str">
        <f>IF(ISBLANK(HLOOKUP(CaseName,CaseData,MATCH($G265,cases!$G$4:$G$2494,0),FALSE)),"",HLOOKUP(CaseName,CaseData,MATCH($G265,cases!$G$4:$G$2494,0),FALSE))</f>
        <v/>
      </c>
      <c r="K265" s="697">
        <v>10</v>
      </c>
      <c r="L265" s="298">
        <f t="shared" si="12"/>
        <v>10</v>
      </c>
      <c r="M265" s="567" t="s">
        <v>335</v>
      </c>
      <c r="N265" s="566"/>
      <c r="O265" s="604"/>
      <c r="P265" s="586" t="s">
        <v>1425</v>
      </c>
    </row>
    <row r="266" spans="1:16" customFormat="1" ht="12.75" customHeight="1" x14ac:dyDescent="0.3">
      <c r="A266" s="566"/>
      <c r="B266" s="566"/>
      <c r="C266" s="566" t="s">
        <v>1447</v>
      </c>
      <c r="D266" s="566"/>
      <c r="E266" s="566"/>
      <c r="F266" s="566"/>
      <c r="G266" s="566" t="s">
        <v>2233</v>
      </c>
      <c r="H266" s="566" t="s">
        <v>335</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335</v>
      </c>
      <c r="N266" s="566"/>
      <c r="O266" s="604"/>
      <c r="P266" s="566"/>
    </row>
    <row r="267" spans="1:16" customFormat="1" ht="12.75" customHeight="1" x14ac:dyDescent="0.3">
      <c r="A267" s="566"/>
      <c r="B267" s="566"/>
      <c r="C267" s="566" t="s">
        <v>1449</v>
      </c>
      <c r="D267" s="566"/>
      <c r="E267" s="566"/>
      <c r="F267" s="566"/>
      <c r="G267" s="567" t="s">
        <v>2234</v>
      </c>
      <c r="H267" s="567" t="s">
        <v>335</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335</v>
      </c>
      <c r="N267" s="566"/>
      <c r="O267" s="604"/>
      <c r="P267" s="566"/>
    </row>
    <row r="268" spans="1:16" s="410" customFormat="1" ht="12.75" customHeight="1" x14ac:dyDescent="0.3">
      <c r="A268" s="410" t="s">
        <v>1451</v>
      </c>
      <c r="G268" s="654"/>
      <c r="H268" s="654"/>
      <c r="J268" s="656"/>
      <c r="K268" s="657"/>
      <c r="L268" s="658"/>
      <c r="O268" s="417"/>
    </row>
    <row r="269" spans="1:16" customFormat="1" ht="12.75" customHeight="1" x14ac:dyDescent="0.3">
      <c r="A269" s="566" t="s">
        <v>1452</v>
      </c>
      <c r="B269" s="566"/>
      <c r="C269" s="566"/>
      <c r="D269" s="566"/>
      <c r="E269" s="566"/>
      <c r="F269" s="566"/>
      <c r="G269" s="567" t="s">
        <v>2235</v>
      </c>
      <c r="H269" s="567" t="s">
        <v>335</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335</v>
      </c>
      <c r="N269" s="566"/>
      <c r="O269" s="604"/>
      <c r="P269" s="566"/>
    </row>
    <row r="270" spans="1:16" customFormat="1" ht="12.75" customHeight="1" x14ac:dyDescent="0.3">
      <c r="A270" s="566"/>
      <c r="B270" s="566" t="s">
        <v>1454</v>
      </c>
      <c r="C270" s="566"/>
      <c r="D270" s="566"/>
      <c r="E270" s="566"/>
      <c r="F270" s="566"/>
      <c r="G270" s="567" t="s">
        <v>2236</v>
      </c>
      <c r="H270" s="567" t="s">
        <v>708</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708</v>
      </c>
      <c r="N270" s="566" t="s">
        <v>1456</v>
      </c>
      <c r="O270" s="604"/>
      <c r="P270" s="566"/>
    </row>
    <row r="271" spans="1:16" customFormat="1" ht="12.75" customHeight="1" x14ac:dyDescent="0.3">
      <c r="A271" s="566"/>
      <c r="B271" s="566" t="s">
        <v>1457</v>
      </c>
      <c r="C271" s="566"/>
      <c r="D271" s="566"/>
      <c r="E271" s="566"/>
      <c r="F271" s="566"/>
      <c r="G271" s="567" t="s">
        <v>2237</v>
      </c>
      <c r="H271" s="566" t="s">
        <v>335</v>
      </c>
      <c r="I271" s="708"/>
      <c r="J271" s="294" t="str">
        <f>IF(ISBLANK(HLOOKUP(CaseName,CaseData,MATCH($G271,cases!$G$4:$G$2494,0),FALSE)),"",HLOOKUP(CaseName,CaseData,MATCH($G271,cases!$G$4:$G$2494,0),FALSE))</f>
        <v/>
      </c>
      <c r="K271" s="576">
        <f>L281+L272+L282</f>
        <v>2.4465382188211815E-15</v>
      </c>
      <c r="L271" s="298">
        <f t="shared" si="13"/>
        <v>2.4465382188211815E-15</v>
      </c>
      <c r="M271" s="566" t="s">
        <v>335</v>
      </c>
      <c r="N271" s="566"/>
      <c r="O271" s="604"/>
      <c r="P271" s="566"/>
    </row>
    <row r="272" spans="1:16" customFormat="1" ht="12.75" customHeight="1" x14ac:dyDescent="0.3">
      <c r="A272" s="566"/>
      <c r="B272" s="566"/>
      <c r="C272" s="566" t="s">
        <v>1459</v>
      </c>
      <c r="D272" s="566"/>
      <c r="E272" s="566"/>
      <c r="F272" s="566"/>
      <c r="G272" s="567" t="s">
        <v>2238</v>
      </c>
      <c r="H272" s="567" t="s">
        <v>335</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335</v>
      </c>
      <c r="N272" s="566"/>
      <c r="O272" s="604"/>
      <c r="P272" s="566"/>
    </row>
    <row r="273" spans="1:16" customFormat="1" ht="12.75" customHeight="1" x14ac:dyDescent="0.3">
      <c r="A273" s="566" t="s">
        <v>1461</v>
      </c>
      <c r="B273" s="566"/>
      <c r="C273" s="566"/>
      <c r="D273" s="566"/>
      <c r="E273" s="566"/>
      <c r="F273" s="566"/>
      <c r="G273" s="567" t="s">
        <v>2239</v>
      </c>
      <c r="H273" s="567" t="s">
        <v>335</v>
      </c>
      <c r="I273" s="708"/>
      <c r="J273" s="294" t="str">
        <f>IF(ISBLANK(HLOOKUP(CaseName,CaseData,MATCH($G273,cases!$G$4:$G$2494,0),FALSE)),"",HLOOKUP(CaseName,CaseData,MATCH($G273,cases!$G$4:$G$2494,0),FALSE))</f>
        <v/>
      </c>
      <c r="K273" s="576">
        <f>L274*L275*AtefSP.w1</f>
        <v>2.8783432163457325E-4</v>
      </c>
      <c r="L273" s="298">
        <f t="shared" si="13"/>
        <v>2.8783432163457325E-4</v>
      </c>
      <c r="M273" s="566" t="s">
        <v>335</v>
      </c>
      <c r="N273" s="566"/>
      <c r="O273" s="604"/>
      <c r="P273" s="566"/>
    </row>
    <row r="274" spans="1:16" customFormat="1" ht="12.75" customHeight="1" x14ac:dyDescent="0.3">
      <c r="A274" s="566"/>
      <c r="B274" s="566" t="s">
        <v>1463</v>
      </c>
      <c r="C274" s="566"/>
      <c r="D274" s="566"/>
      <c r="E274" s="566"/>
      <c r="F274" s="566"/>
      <c r="G274" s="567" t="s">
        <v>2240</v>
      </c>
      <c r="H274" s="567" t="s">
        <v>708</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708</v>
      </c>
      <c r="N274" s="566" t="s">
        <v>1465</v>
      </c>
      <c r="O274" s="604"/>
      <c r="P274" s="566"/>
    </row>
    <row r="275" spans="1:16" customFormat="1" ht="12.75" customHeight="1" x14ac:dyDescent="0.3">
      <c r="A275" s="566"/>
      <c r="B275" s="566" t="s">
        <v>1466</v>
      </c>
      <c r="C275" s="566"/>
      <c r="D275" s="566"/>
      <c r="E275" s="566"/>
      <c r="F275" s="566"/>
      <c r="G275" s="567" t="s">
        <v>2241</v>
      </c>
      <c r="H275" s="566" t="s">
        <v>335</v>
      </c>
      <c r="I275" s="708"/>
      <c r="J275" s="294" t="str">
        <f>IF(ISBLANK(HLOOKUP(CaseName,CaseData,MATCH($G275,cases!$G$4:$G$2494,0),FALSE)),"",HLOOKUP(CaseName,CaseData,MATCH($G275,cases!$G$4:$G$2494,0),FALSE))</f>
        <v/>
      </c>
      <c r="K275" s="576">
        <f>L276+L281+L282</f>
        <v>6.0283879353211813E-15</v>
      </c>
      <c r="L275" s="298">
        <f t="shared" si="13"/>
        <v>6.0283879353211813E-15</v>
      </c>
      <c r="M275" s="566" t="s">
        <v>335</v>
      </c>
      <c r="N275" s="566"/>
      <c r="O275" s="604"/>
      <c r="P275" s="566"/>
    </row>
    <row r="276" spans="1:16" customFormat="1" ht="12.75" customHeight="1" x14ac:dyDescent="0.3">
      <c r="A276" s="566"/>
      <c r="B276" s="566"/>
      <c r="C276" s="566" t="s">
        <v>1459</v>
      </c>
      <c r="D276" s="566"/>
      <c r="E276" s="566"/>
      <c r="F276" s="566"/>
      <c r="G276" s="567" t="s">
        <v>2242</v>
      </c>
      <c r="H276" s="567" t="s">
        <v>335</v>
      </c>
      <c r="I276" s="708"/>
      <c r="J276" s="294" t="str">
        <f>IF(ISBLANK(HLOOKUP(CaseName,CaseData,MATCH($G276,cases!$G$4:$G$2494,0),FALSE)),"",HLOOKUP(CaseName,CaseData,MATCH($G276,cases!$G$4:$G$2494,0),FALSE))</f>
        <v/>
      </c>
      <c r="K276" s="576">
        <f>(4/3)*L260*(RadS+RadSPM.w)^3</f>
        <v>3.618030016666666E-15</v>
      </c>
      <c r="L276" s="298">
        <f t="shared" si="13"/>
        <v>3.618030016666666E-15</v>
      </c>
      <c r="M276" s="566" t="s">
        <v>335</v>
      </c>
      <c r="N276" s="566"/>
      <c r="O276" s="604"/>
      <c r="P276" s="566"/>
    </row>
    <row r="277" spans="1:16" customFormat="1" ht="12.75" customHeight="1" x14ac:dyDescent="0.3">
      <c r="A277" s="566" t="s">
        <v>1469</v>
      </c>
      <c r="B277" s="566"/>
      <c r="C277" s="566"/>
      <c r="D277" s="566"/>
      <c r="E277" s="566"/>
      <c r="F277" s="566"/>
      <c r="G277" s="567" t="s">
        <v>2243</v>
      </c>
      <c r="H277" s="567" t="s">
        <v>335</v>
      </c>
      <c r="I277" s="708"/>
      <c r="J277" s="294" t="str">
        <f>IF(ISBLANK(HLOOKUP(CaseName,CaseData,MATCH($G277,cases!$G$4:$G$2494,0),FALSE)),"",HLOOKUP(CaseName,CaseData,MATCH($G277,cases!$G$4:$G$2494,0),FALSE))</f>
        <v/>
      </c>
      <c r="K277" s="576">
        <f>L278*L279*AtefSP.w2</f>
        <v>4.9022568168365979E-5</v>
      </c>
      <c r="L277" s="298">
        <f t="shared" si="13"/>
        <v>4.9022568168365979E-5</v>
      </c>
      <c r="M277" s="566" t="s">
        <v>335</v>
      </c>
      <c r="N277" s="566"/>
      <c r="O277" s="604"/>
      <c r="P277" s="566"/>
    </row>
    <row r="278" spans="1:16" customFormat="1" ht="12.75" customHeight="1" x14ac:dyDescent="0.3">
      <c r="A278" s="566"/>
      <c r="B278" s="566" t="s">
        <v>1463</v>
      </c>
      <c r="C278" s="566"/>
      <c r="D278" s="566"/>
      <c r="E278" s="566"/>
      <c r="F278" s="566"/>
      <c r="G278" s="567" t="s">
        <v>2244</v>
      </c>
      <c r="H278" s="567" t="s">
        <v>708</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708</v>
      </c>
      <c r="N278" s="566" t="s">
        <v>1473</v>
      </c>
      <c r="O278" s="604"/>
      <c r="P278" s="566"/>
    </row>
    <row r="279" spans="1:16" customFormat="1" ht="12.75" customHeight="1" x14ac:dyDescent="0.3">
      <c r="A279" s="566"/>
      <c r="B279" s="566" t="s">
        <v>1474</v>
      </c>
      <c r="C279" s="566"/>
      <c r="D279" s="566"/>
      <c r="E279" s="566"/>
      <c r="F279" s="566"/>
      <c r="G279" s="567" t="s">
        <v>2245</v>
      </c>
      <c r="H279" s="566" t="s">
        <v>335</v>
      </c>
      <c r="I279" s="708"/>
      <c r="J279" s="294" t="str">
        <f>IF(ISBLANK(HLOOKUP(CaseName,CaseData,MATCH($G279,cases!$G$4:$G$2494,0),FALSE)),"",HLOOKUP(CaseName,CaseData,MATCH($G279,cases!$G$4:$G$2494,0),FALSE))</f>
        <v/>
      </c>
      <c r="K279" s="576">
        <f>L281+L282+L280</f>
        <v>2.7721609203211815E-15</v>
      </c>
      <c r="L279" s="298">
        <f t="shared" si="13"/>
        <v>2.7721609203211815E-15</v>
      </c>
      <c r="M279" s="566" t="s">
        <v>335</v>
      </c>
      <c r="N279" s="566"/>
      <c r="O279" s="604"/>
      <c r="P279" s="566"/>
    </row>
    <row r="280" spans="1:16" customFormat="1" ht="12.75" customHeight="1" x14ac:dyDescent="0.3">
      <c r="A280" s="566"/>
      <c r="B280" s="566"/>
      <c r="C280" s="566" t="s">
        <v>1459</v>
      </c>
      <c r="D280" s="566"/>
      <c r="E280" s="566"/>
      <c r="F280" s="566"/>
      <c r="G280" s="567" t="s">
        <v>2246</v>
      </c>
      <c r="H280" s="567" t="s">
        <v>335</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335</v>
      </c>
      <c r="N280" s="566"/>
      <c r="O280" s="604"/>
      <c r="P280" s="566"/>
    </row>
    <row r="281" spans="1:16" customFormat="1" ht="12.75" customHeight="1" x14ac:dyDescent="0.3">
      <c r="A281" s="566"/>
      <c r="B281" s="566"/>
      <c r="C281" s="566" t="s">
        <v>1477</v>
      </c>
      <c r="D281" s="566"/>
      <c r="E281" s="566"/>
      <c r="F281" s="566"/>
      <c r="G281" s="567" t="s">
        <v>2247</v>
      </c>
      <c r="H281" s="567" t="s">
        <v>335</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335</v>
      </c>
      <c r="N281" s="566"/>
      <c r="O281" s="604"/>
      <c r="P281" s="566"/>
    </row>
    <row r="282" spans="1:16" customFormat="1" ht="12.75" customHeight="1" x14ac:dyDescent="0.3">
      <c r="A282" s="566"/>
      <c r="B282" s="566"/>
      <c r="C282" s="566" t="s">
        <v>2248</v>
      </c>
      <c r="D282" s="566"/>
      <c r="E282" s="566"/>
      <c r="F282" s="566"/>
      <c r="G282" s="567" t="s">
        <v>2249</v>
      </c>
      <c r="H282" s="567" t="s">
        <v>335</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335</v>
      </c>
      <c r="N282" s="566"/>
      <c r="O282" s="604"/>
      <c r="P282" s="566"/>
    </row>
    <row r="283" spans="1:16" customFormat="1" ht="12.75" customHeight="1" x14ac:dyDescent="0.3">
      <c r="A283" s="410" t="s">
        <v>1481</v>
      </c>
      <c r="G283" s="172"/>
      <c r="H283" s="172"/>
      <c r="J283" s="273"/>
      <c r="K283" s="335"/>
      <c r="L283" s="332"/>
      <c r="O283" s="176"/>
    </row>
    <row r="284" spans="1:16" customFormat="1" ht="12.75" customHeight="1" x14ac:dyDescent="0.3">
      <c r="A284" s="566" t="s">
        <v>1482</v>
      </c>
      <c r="B284" s="566"/>
      <c r="C284" s="566"/>
      <c r="D284" s="566"/>
      <c r="E284" s="566"/>
      <c r="F284" s="566"/>
      <c r="G284" s="567" t="s">
        <v>2250</v>
      </c>
      <c r="H284" s="567" t="s">
        <v>335</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335</v>
      </c>
      <c r="N284" s="566" t="s">
        <v>2251</v>
      </c>
      <c r="O284" s="604"/>
      <c r="P284" s="566"/>
    </row>
    <row r="285" spans="1:16" customFormat="1" ht="12.75" customHeight="1" x14ac:dyDescent="0.3">
      <c r="A285" s="566"/>
      <c r="B285" s="566" t="s">
        <v>1484</v>
      </c>
      <c r="C285" s="566"/>
      <c r="D285" s="566"/>
      <c r="E285" s="566"/>
      <c r="F285" s="566"/>
      <c r="G285" s="566" t="s">
        <v>2252</v>
      </c>
      <c r="H285" s="566" t="s">
        <v>708</v>
      </c>
      <c r="I285" s="708"/>
      <c r="J285" s="294" t="str">
        <f>IF(ISBLANK(HLOOKUP(CaseName,CaseData,MATCH($G285,cases!$G$4:$G$2494,0),FALSE)),"",HLOOKUP(CaseName,CaseData,MATCH($G285,cases!$G$4:$G$2494,0),FALSE))</f>
        <v/>
      </c>
      <c r="K285" s="697">
        <f>2*L252</f>
        <v>70735530263064.578</v>
      </c>
      <c r="L285" s="551">
        <f t="shared" si="14"/>
        <v>70735530263064.578</v>
      </c>
      <c r="M285" s="566" t="s">
        <v>708</v>
      </c>
      <c r="N285" s="566" t="s">
        <v>2253</v>
      </c>
      <c r="O285" s="604"/>
      <c r="P285" s="566"/>
    </row>
    <row r="286" spans="1:16" customFormat="1" ht="12.75" customHeight="1" x14ac:dyDescent="0.3">
      <c r="A286" s="566" t="s">
        <v>1487</v>
      </c>
      <c r="B286" s="566"/>
      <c r="C286" s="566"/>
      <c r="D286" s="566"/>
      <c r="E286" s="566"/>
      <c r="F286" s="566"/>
      <c r="G286" s="567" t="s">
        <v>2254</v>
      </c>
      <c r="H286" s="567" t="s">
        <v>335</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335</v>
      </c>
      <c r="N286" s="566"/>
      <c r="O286" s="604"/>
      <c r="P286" s="566"/>
    </row>
    <row r="287" spans="1:16" customFormat="1" ht="12.75" customHeight="1" x14ac:dyDescent="0.3">
      <c r="A287" s="566"/>
      <c r="B287" s="566" t="s">
        <v>1489</v>
      </c>
      <c r="C287" s="566"/>
      <c r="D287" s="566"/>
      <c r="E287" s="566"/>
      <c r="F287" s="566"/>
      <c r="G287" s="567" t="s">
        <v>2255</v>
      </c>
      <c r="H287" s="567" t="s">
        <v>708</v>
      </c>
      <c r="I287" s="708"/>
      <c r="J287" s="294" t="str">
        <f>IF(ISBLANK(HLOOKUP(CaseName,CaseData,MATCH($G287,cases!$G$4:$G$2494,0),FALSE)),"",HLOOKUP(CaseName,CaseData,MATCH($G287,cases!$G$4:$G$2494,0),FALSE))</f>
        <v/>
      </c>
      <c r="K287" s="697">
        <f>2*L257</f>
        <v>70735530263064.578</v>
      </c>
      <c r="L287" s="298">
        <f t="shared" si="14"/>
        <v>70735530263064.578</v>
      </c>
      <c r="M287" s="567" t="s">
        <v>708</v>
      </c>
      <c r="N287" s="566" t="s">
        <v>2253</v>
      </c>
      <c r="O287" s="604"/>
      <c r="P287" s="586"/>
    </row>
    <row r="288" spans="1:16" customFormat="1" ht="12.75" customHeight="1" x14ac:dyDescent="0.3">
      <c r="A288" s="566" t="s">
        <v>1491</v>
      </c>
      <c r="B288" s="566"/>
      <c r="C288" s="566"/>
      <c r="D288" s="566"/>
      <c r="E288" s="566"/>
      <c r="F288" s="566"/>
      <c r="G288" s="567" t="s">
        <v>2256</v>
      </c>
      <c r="H288" s="567" t="s">
        <v>335</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335</v>
      </c>
      <c r="N288" s="566"/>
      <c r="O288" s="604"/>
      <c r="P288" s="566"/>
    </row>
    <row r="289" spans="1:16" customFormat="1" ht="12.75" customHeight="1" x14ac:dyDescent="0.3">
      <c r="A289" s="566"/>
      <c r="B289" s="566" t="s">
        <v>1493</v>
      </c>
      <c r="C289" s="566"/>
      <c r="D289" s="566"/>
      <c r="E289" s="566"/>
      <c r="F289" s="566"/>
      <c r="G289" s="567" t="s">
        <v>2257</v>
      </c>
      <c r="H289" s="567" t="s">
        <v>708</v>
      </c>
      <c r="I289" s="708"/>
      <c r="J289" s="294" t="str">
        <f>IF(ISBLANK(HLOOKUP(CaseName,CaseData,MATCH($G289,cases!$G$4:$G$2494,0),FALSE)),"",HLOOKUP(CaseName,CaseData,MATCH($G289,cases!$G$4:$G$2494,0),FALSE))</f>
        <v/>
      </c>
      <c r="K289" s="697">
        <f>2*L262</f>
        <v>70735530263064.578</v>
      </c>
      <c r="L289" s="298">
        <f t="shared" si="14"/>
        <v>70735530263064.578</v>
      </c>
      <c r="M289" s="567" t="s">
        <v>708</v>
      </c>
      <c r="N289" s="566" t="s">
        <v>2253</v>
      </c>
      <c r="O289" s="604"/>
      <c r="P289" s="586"/>
    </row>
    <row r="290" spans="1:16" customFormat="1" ht="12.75" customHeight="1" x14ac:dyDescent="0.3">
      <c r="A290" s="566"/>
      <c r="B290" s="566"/>
      <c r="C290" s="566" t="s">
        <v>1447</v>
      </c>
      <c r="D290" s="566"/>
      <c r="E290" s="566"/>
      <c r="F290" s="566"/>
      <c r="G290" s="566" t="s">
        <v>2258</v>
      </c>
      <c r="H290" s="566" t="s">
        <v>335</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335</v>
      </c>
      <c r="N290" s="566"/>
      <c r="O290" s="604"/>
      <c r="P290" s="566"/>
    </row>
    <row r="291" spans="1:16" customFormat="1" ht="12.75" customHeight="1" x14ac:dyDescent="0.3">
      <c r="A291" s="566"/>
      <c r="B291" s="566"/>
      <c r="C291" s="566" t="s">
        <v>1449</v>
      </c>
      <c r="D291" s="566"/>
      <c r="E291" s="566"/>
      <c r="F291" s="566"/>
      <c r="G291" s="567" t="s">
        <v>2259</v>
      </c>
      <c r="H291" s="567" t="s">
        <v>335</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335</v>
      </c>
      <c r="N291" s="566"/>
      <c r="O291" s="604"/>
      <c r="P291" s="566"/>
    </row>
    <row r="292" spans="1:16" customFormat="1" ht="12.75" customHeight="1" x14ac:dyDescent="0.3">
      <c r="A292" s="410" t="s">
        <v>1497</v>
      </c>
      <c r="G292" s="172"/>
      <c r="H292" s="172"/>
      <c r="K292" s="335"/>
      <c r="L292" s="332"/>
      <c r="M292" s="172"/>
      <c r="O292" s="176"/>
    </row>
    <row r="293" spans="1:16" customFormat="1" ht="12.75" customHeight="1" x14ac:dyDescent="0.3">
      <c r="A293" s="566" t="s">
        <v>2260</v>
      </c>
      <c r="B293" s="566"/>
      <c r="C293" s="566"/>
      <c r="D293" s="566"/>
      <c r="E293" s="566"/>
      <c r="F293" s="566"/>
      <c r="G293" s="567" t="s">
        <v>2261</v>
      </c>
      <c r="H293" s="567" t="s">
        <v>335</v>
      </c>
      <c r="I293" s="708"/>
      <c r="J293" s="294" t="str">
        <f>IF(ISBLANK(HLOOKUP(CaseName,CaseData,MATCH($G293,cases!$G$4:$G$2494,0),FALSE)),"",HLOOKUP(CaseName,CaseData,MATCH($G293,cases!$G$4:$G$2494,0),FALSE))</f>
        <v/>
      </c>
      <c r="K293" s="576">
        <f>L296*L297*L298*AtefSP.sd0</f>
        <v>1.5279096469132487E-2</v>
      </c>
      <c r="L293" s="298">
        <f t="shared" ref="L293:L308" si="15">IF(ISBLANK(I293),IF(ISNUMBER(J293)=FALSE,K293,J293),I293)</f>
        <v>1.5279096469132487E-2</v>
      </c>
      <c r="M293" s="567" t="s">
        <v>335</v>
      </c>
      <c r="N293" s="566"/>
      <c r="O293" s="604"/>
      <c r="P293" s="566"/>
    </row>
    <row r="294" spans="1:16" customFormat="1" ht="12.75" customHeight="1" x14ac:dyDescent="0.3">
      <c r="A294" s="566" t="s">
        <v>2262</v>
      </c>
      <c r="B294" s="566"/>
      <c r="C294" s="566"/>
      <c r="D294" s="566"/>
      <c r="E294" s="566"/>
      <c r="F294" s="566"/>
      <c r="G294" s="567" t="s">
        <v>2263</v>
      </c>
      <c r="H294" s="567" t="s">
        <v>335</v>
      </c>
      <c r="I294" s="708"/>
      <c r="J294" s="294" t="str">
        <f>IF(ISBLANK(HLOOKUP(CaseName,CaseData,MATCH($G294,cases!$G$4:$G$2494,0),FALSE)),"",HLOOKUP(CaseName,CaseData,MATCH($G294,cases!$G$4:$G$2494,0),FALSE))</f>
        <v/>
      </c>
      <c r="K294" s="576">
        <f>L296*L297*L298*AtefSP.sd1</f>
        <v>1.5279096469132487E-2</v>
      </c>
      <c r="L294" s="298">
        <f t="shared" si="15"/>
        <v>1.5279096469132487E-2</v>
      </c>
      <c r="M294" s="567" t="s">
        <v>335</v>
      </c>
      <c r="N294" s="566"/>
      <c r="O294" s="604"/>
      <c r="P294" s="566"/>
    </row>
    <row r="295" spans="1:16" customFormat="1" ht="12.75" customHeight="1" x14ac:dyDescent="0.3">
      <c r="A295" s="566" t="s">
        <v>2264</v>
      </c>
      <c r="B295" s="566"/>
      <c r="C295" s="566"/>
      <c r="D295" s="566"/>
      <c r="E295" s="566"/>
      <c r="F295" s="566"/>
      <c r="G295" s="567" t="s">
        <v>2265</v>
      </c>
      <c r="H295" s="567" t="s">
        <v>335</v>
      </c>
      <c r="I295" s="708"/>
      <c r="J295" s="294" t="str">
        <f>IF(ISBLANK(HLOOKUP(CaseName,CaseData,MATCH($G295,cases!$G$4:$G$2494,0),FALSE)),"",HLOOKUP(CaseName,CaseData,MATCH($G295,cases!$G$4:$G$2494,0),FALSE))</f>
        <v/>
      </c>
      <c r="K295" s="576">
        <f>L296*L298*L297*AtefSP.sd2</f>
        <v>1.6976773854591651E-2</v>
      </c>
      <c r="L295" s="298">
        <f t="shared" si="15"/>
        <v>1.6976773854591651E-2</v>
      </c>
      <c r="M295" s="567" t="s">
        <v>335</v>
      </c>
      <c r="N295" s="566"/>
      <c r="O295" s="604"/>
      <c r="P295" s="566"/>
    </row>
    <row r="296" spans="1:16" customFormat="1" ht="12.75" customHeight="1" x14ac:dyDescent="0.3">
      <c r="A296" s="566"/>
      <c r="B296" s="566" t="s">
        <v>1504</v>
      </c>
      <c r="C296" s="566"/>
      <c r="D296" s="566"/>
      <c r="E296" s="566"/>
      <c r="F296" s="566"/>
      <c r="G296" s="567" t="s">
        <v>2266</v>
      </c>
      <c r="H296" s="567" t="s">
        <v>1506</v>
      </c>
      <c r="I296" s="708"/>
      <c r="J296" s="294" t="str">
        <f>IF(ISBLANK(HLOOKUP(CaseName,CaseData,MATCH($G296,cases!$G$4:$G$2494,0),FALSE)),"",HLOOKUP(CaseName,CaseData,MATCH($G296,cases!$G$4:$G$2494,0),FALSE))</f>
        <v/>
      </c>
      <c r="K296" s="576">
        <f>(3/2)*((1-L302)/(2*RadFP.sd*L302))</f>
        <v>1464.8437499999995</v>
      </c>
      <c r="L296" s="298">
        <f t="shared" si="15"/>
        <v>1464.8437499999995</v>
      </c>
      <c r="M296" s="567" t="s">
        <v>1506</v>
      </c>
      <c r="N296" s="566"/>
      <c r="O296" s="604"/>
      <c r="P296" s="566"/>
    </row>
    <row r="297" spans="1:16" customFormat="1" ht="12.75" customHeight="1" x14ac:dyDescent="0.3">
      <c r="A297" s="566"/>
      <c r="B297" s="566" t="s">
        <v>1507</v>
      </c>
      <c r="C297" s="566"/>
      <c r="D297" s="566"/>
      <c r="E297" s="566"/>
      <c r="F297" s="566"/>
      <c r="G297" s="566" t="s">
        <v>2267</v>
      </c>
      <c r="H297" s="567" t="s">
        <v>866</v>
      </c>
      <c r="I297" s="708"/>
      <c r="J297" s="294" t="str">
        <f>IF(ISBLANK(HLOOKUP(CaseName,CaseData,MATCH($G297,cases!$G$4:$G$2494,0),FALSE)),"",HLOOKUP(CaseName,CaseData,MATCH($G297,cases!$G$4:$G$2494,0),FALSE))</f>
        <v/>
      </c>
      <c r="K297" s="627">
        <f>9*10^-6</f>
        <v>9.0000000000000002E-6</v>
      </c>
      <c r="L297" s="298">
        <f t="shared" si="15"/>
        <v>9.0000000000000002E-6</v>
      </c>
      <c r="M297" s="567" t="s">
        <v>866</v>
      </c>
      <c r="N297" s="566"/>
      <c r="O297" s="604"/>
      <c r="P297" s="566" t="s">
        <v>1509</v>
      </c>
    </row>
    <row r="298" spans="1:16" customFormat="1" ht="12.75" customHeight="1" x14ac:dyDescent="0.3">
      <c r="A298" s="566"/>
      <c r="B298" s="566" t="s">
        <v>1510</v>
      </c>
      <c r="C298" s="566"/>
      <c r="D298" s="566"/>
      <c r="E298" s="566"/>
      <c r="F298" s="566"/>
      <c r="G298" s="567" t="s">
        <v>2268</v>
      </c>
      <c r="H298" s="567" t="s">
        <v>291</v>
      </c>
      <c r="I298" s="708"/>
      <c r="J298" s="294" t="str">
        <f>IF(ISBLANK(HLOOKUP(CaseName,CaseData,MATCH($G298,cases!$G$4:$G$2494,0),FALSE)),"",HLOOKUP(CaseName,CaseData,MATCH($G298,cases!$G$4:$G$2494,0),FALSE))</f>
        <v/>
      </c>
      <c r="K298" s="576">
        <f>L299+L303+L304</f>
        <v>1.2877197353408782</v>
      </c>
      <c r="L298" s="298">
        <f t="shared" si="15"/>
        <v>1.2877197353408782</v>
      </c>
      <c r="M298" s="567" t="s">
        <v>291</v>
      </c>
      <c r="N298" s="566"/>
      <c r="O298" s="604"/>
      <c r="P298" s="566" t="s">
        <v>1509</v>
      </c>
    </row>
    <row r="299" spans="1:16" customFormat="1" ht="12.75" customHeight="1" x14ac:dyDescent="0.3">
      <c r="A299" s="566"/>
      <c r="B299" s="566"/>
      <c r="C299" s="566" t="s">
        <v>1512</v>
      </c>
      <c r="D299" s="566"/>
      <c r="E299" s="566"/>
      <c r="F299" s="566"/>
      <c r="G299" s="567" t="s">
        <v>2269</v>
      </c>
      <c r="H299" s="567" t="s">
        <v>291</v>
      </c>
      <c r="I299" s="708"/>
      <c r="J299" s="294" t="str">
        <f>IF(ISBLANK(HLOOKUP(CaseName,CaseData,MATCH($G299,cases!$G$4:$G$2494,0),FALSE)),"",HLOOKUP(CaseName,CaseData,MATCH($G299,cases!$G$4:$G$2494,0),FALSE))</f>
        <v/>
      </c>
      <c r="K299" s="576">
        <f>2.4*L307^(1/3)*L306^(-0.081)*L307^(-0.715)*L305^(0.053)</f>
        <v>1.2876658910310792</v>
      </c>
      <c r="L299" s="298">
        <f t="shared" si="15"/>
        <v>1.2876658910310792</v>
      </c>
      <c r="M299" s="567" t="s">
        <v>291</v>
      </c>
      <c r="N299" s="566"/>
      <c r="O299" s="604"/>
      <c r="P299" s="566" t="s">
        <v>1509</v>
      </c>
    </row>
    <row r="300" spans="1:16" customFormat="1" ht="12.75" customHeight="1" x14ac:dyDescent="0.3">
      <c r="A300" s="566"/>
      <c r="B300" s="566"/>
      <c r="C300" s="566"/>
      <c r="D300" s="566" t="s">
        <v>1514</v>
      </c>
      <c r="E300" s="566"/>
      <c r="F300" s="566"/>
      <c r="G300" s="566" t="s">
        <v>2270</v>
      </c>
      <c r="H300" s="567" t="s">
        <v>291</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291</v>
      </c>
      <c r="N300" s="566"/>
      <c r="O300" s="604"/>
      <c r="P300" s="566" t="s">
        <v>1509</v>
      </c>
    </row>
    <row r="301" spans="1:16" customFormat="1" ht="12.75" customHeight="1" x14ac:dyDescent="0.3">
      <c r="A301" s="566"/>
      <c r="B301" s="566"/>
      <c r="C301" s="566"/>
      <c r="D301" s="566"/>
      <c r="E301" s="566" t="s">
        <v>1516</v>
      </c>
      <c r="F301" s="566"/>
      <c r="G301" s="566" t="s">
        <v>2271</v>
      </c>
      <c r="H301" s="567" t="s">
        <v>291</v>
      </c>
      <c r="I301" s="708"/>
      <c r="J301" s="294" t="str">
        <f>IF(ISBLANK(HLOOKUP(CaseName,CaseData,MATCH($G301,cases!$G$4:$G$2494,0),FALSE)),"",HLOOKUP(CaseName,CaseData,MATCH($G301,cases!$G$4:$G$2494,0),FALSE))</f>
        <v/>
      </c>
      <c r="K301" s="627">
        <f>(1-L302)^(1/3)</f>
        <v>0.58480354764257325</v>
      </c>
      <c r="L301" s="298">
        <f t="shared" si="15"/>
        <v>0.58480354764257325</v>
      </c>
      <c r="M301" s="567" t="s">
        <v>291</v>
      </c>
      <c r="N301" s="566"/>
      <c r="O301" s="604"/>
      <c r="P301" s="566" t="s">
        <v>1509</v>
      </c>
    </row>
    <row r="302" spans="1:16" customFormat="1" ht="12.75" customHeight="1" x14ac:dyDescent="0.3">
      <c r="A302" s="566"/>
      <c r="B302" s="566"/>
      <c r="C302" s="566"/>
      <c r="D302" s="566"/>
      <c r="E302" s="566"/>
      <c r="F302" s="566" t="s">
        <v>1518</v>
      </c>
      <c r="G302" s="566" t="s">
        <v>2272</v>
      </c>
      <c r="H302" s="567" t="s">
        <v>1520</v>
      </c>
      <c r="I302" s="708"/>
      <c r="J302" s="294" t="str">
        <f>IF(ISBLANK(HLOOKUP(CaseName,CaseData,MATCH($G302,cases!$G$4:$G$2494,0),FALSE)),"",HLOOKUP(CaseName,CaseData,MATCH($G302,cases!$G$4:$G$2494,0),FALSE))</f>
        <v/>
      </c>
      <c r="K302" s="576">
        <f>L45</f>
        <v>0.8</v>
      </c>
      <c r="L302" s="298">
        <f t="shared" si="15"/>
        <v>0.8</v>
      </c>
      <c r="M302" s="567" t="s">
        <v>1520</v>
      </c>
      <c r="N302" s="566" t="s">
        <v>1521</v>
      </c>
      <c r="O302" s="604"/>
      <c r="P302" s="566"/>
    </row>
    <row r="303" spans="1:16" customFormat="1" ht="12.75" customHeight="1" x14ac:dyDescent="0.3">
      <c r="A303" s="566"/>
      <c r="B303" s="566"/>
      <c r="C303" s="566" t="s">
        <v>1522</v>
      </c>
      <c r="D303" s="566"/>
      <c r="E303" s="566"/>
      <c r="F303" s="566"/>
      <c r="G303" s="567" t="s">
        <v>2273</v>
      </c>
      <c r="H303" s="567" t="s">
        <v>291</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291</v>
      </c>
      <c r="N303" s="566"/>
      <c r="O303" s="604"/>
      <c r="P303" s="566" t="s">
        <v>1509</v>
      </c>
    </row>
    <row r="304" spans="1:16" customFormat="1" ht="12.75" customHeight="1" x14ac:dyDescent="0.3">
      <c r="A304" s="566"/>
      <c r="B304" s="566"/>
      <c r="C304" s="566" t="s">
        <v>1524</v>
      </c>
      <c r="D304" s="566"/>
      <c r="E304" s="566"/>
      <c r="F304" s="566"/>
      <c r="G304" s="567" t="s">
        <v>2274</v>
      </c>
      <c r="H304" s="567" t="s">
        <v>291</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291</v>
      </c>
      <c r="N304" s="566"/>
      <c r="O304" s="604"/>
      <c r="P304" s="566" t="s">
        <v>1509</v>
      </c>
    </row>
    <row r="305" spans="1:16" customFormat="1" ht="12.75" customHeight="1" x14ac:dyDescent="0.3">
      <c r="A305" s="566"/>
      <c r="B305" s="566"/>
      <c r="C305" s="566"/>
      <c r="D305" s="566" t="s">
        <v>1526</v>
      </c>
      <c r="E305" s="566"/>
      <c r="F305" s="566"/>
      <c r="G305" s="566" t="s">
        <v>2275</v>
      </c>
      <c r="H305" s="567" t="s">
        <v>291</v>
      </c>
      <c r="I305" s="708"/>
      <c r="J305" s="294" t="str">
        <f>IF(ISBLANK(HLOOKUP(CaseName,CaseData,MATCH($G305,cases!$G$4:$G$2494,0),FALSE)),"",HLOOKUP(CaseName,CaseData,MATCH($G305,cases!$G$4:$G$2494,0),FALSE))</f>
        <v/>
      </c>
      <c r="K305" s="627">
        <f>AHamakerSP.w/(kboltz*TEMP.C)</f>
        <v>5.1336149339684463</v>
      </c>
      <c r="L305" s="298">
        <f t="shared" si="15"/>
        <v>5.1336149339684463</v>
      </c>
      <c r="M305" s="567" t="s">
        <v>291</v>
      </c>
      <c r="N305" s="566"/>
      <c r="O305" s="604"/>
      <c r="P305" s="566" t="s">
        <v>1509</v>
      </c>
    </row>
    <row r="306" spans="1:16" customFormat="1" ht="12.75" customHeight="1" x14ac:dyDescent="0.3">
      <c r="A306" s="566"/>
      <c r="B306" s="566"/>
      <c r="C306" s="566"/>
      <c r="D306" s="566" t="s">
        <v>1528</v>
      </c>
      <c r="E306" s="566"/>
      <c r="F306" s="566"/>
      <c r="G306" s="566" t="s">
        <v>2276</v>
      </c>
      <c r="H306" s="567" t="s">
        <v>1530</v>
      </c>
      <c r="I306" s="708"/>
      <c r="J306" s="294" t="str">
        <f>IF(ISBLANK(HLOOKUP(CaseName,CaseData,MATCH($G306,cases!$G$4:$G$2494,0),FALSE)),"",HLOOKUP(CaseName,CaseData,MATCH($G306,cases!$G$4:$G$2494,0),FALSE))</f>
        <v/>
      </c>
      <c r="K306" s="627">
        <f>RadS/RadFP.sd</f>
        <v>3.9062500000000001E-5</v>
      </c>
      <c r="L306" s="298">
        <f t="shared" si="15"/>
        <v>3.9062500000000001E-5</v>
      </c>
      <c r="M306" s="567" t="s">
        <v>1530</v>
      </c>
      <c r="N306" s="566"/>
      <c r="O306" s="604"/>
      <c r="P306" s="566" t="s">
        <v>1509</v>
      </c>
    </row>
    <row r="307" spans="1:16" customFormat="1" ht="12.75" customHeight="1" x14ac:dyDescent="0.3">
      <c r="A307" s="566"/>
      <c r="B307" s="566"/>
      <c r="C307" s="566"/>
      <c r="D307" s="566" t="s">
        <v>1531</v>
      </c>
      <c r="E307" s="566"/>
      <c r="F307" s="566"/>
      <c r="G307" s="566" t="s">
        <v>2277</v>
      </c>
      <c r="H307" s="567" t="s">
        <v>291</v>
      </c>
      <c r="I307" s="708"/>
      <c r="J307" s="294" t="str">
        <f>IF(ISBLANK(HLOOKUP(CaseName,CaseData,MATCH($G307,cases!$G$4:$G$2494,0),FALSE)),"",HLOOKUP(CaseName,CaseData,MATCH($G307,cases!$G$4:$G$2494,0),FALSE))</f>
        <v/>
      </c>
      <c r="K307" s="627">
        <f>(L297*2*RadFP.sd)/DiffS.wC</f>
        <v>55.295939834256309</v>
      </c>
      <c r="L307" s="298">
        <f t="shared" si="15"/>
        <v>55.295939834256309</v>
      </c>
      <c r="M307" s="567" t="s">
        <v>291</v>
      </c>
      <c r="N307" s="566"/>
      <c r="O307" s="604"/>
      <c r="P307" s="566" t="s">
        <v>1509</v>
      </c>
    </row>
    <row r="308" spans="1:16" customFormat="1" ht="12.75" customHeight="1" x14ac:dyDescent="0.3">
      <c r="A308" s="566"/>
      <c r="B308" s="566"/>
      <c r="C308" s="566"/>
      <c r="D308" s="566" t="s">
        <v>1533</v>
      </c>
      <c r="E308" s="566"/>
      <c r="F308" s="566"/>
      <c r="G308" s="567" t="s">
        <v>2278</v>
      </c>
      <c r="H308" s="567" t="s">
        <v>291</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291</v>
      </c>
      <c r="N308" s="566"/>
      <c r="O308" s="604"/>
      <c r="P308" s="566" t="s">
        <v>1509</v>
      </c>
    </row>
    <row r="309" spans="1:16" customFormat="1" ht="12.75" customHeight="1" x14ac:dyDescent="0.3">
      <c r="A309" s="410" t="s">
        <v>1535</v>
      </c>
      <c r="G309" s="172"/>
      <c r="H309" s="172"/>
      <c r="J309" s="273"/>
      <c r="K309" s="335"/>
      <c r="L309" s="332"/>
      <c r="M309" s="172"/>
      <c r="O309" s="176"/>
    </row>
    <row r="310" spans="1:16" customFormat="1" ht="12.75" customHeight="1" x14ac:dyDescent="0.3">
      <c r="A310" s="566" t="s">
        <v>1536</v>
      </c>
      <c r="B310" s="566"/>
      <c r="C310" s="566"/>
      <c r="D310" s="566"/>
      <c r="E310" s="566"/>
      <c r="F310" s="566"/>
      <c r="G310" s="567" t="s">
        <v>2279</v>
      </c>
      <c r="H310" s="567" t="s">
        <v>335</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335</v>
      </c>
      <c r="N310" s="566"/>
      <c r="O310" s="604"/>
      <c r="P310" s="566"/>
    </row>
    <row r="311" spans="1:16" customFormat="1" ht="12.75" customHeight="1" x14ac:dyDescent="0.3">
      <c r="A311" s="566" t="s">
        <v>1538</v>
      </c>
      <c r="B311" s="566"/>
      <c r="C311" s="566"/>
      <c r="D311" s="566"/>
      <c r="E311" s="566"/>
      <c r="F311" s="566"/>
      <c r="G311" s="567" t="s">
        <v>2280</v>
      </c>
      <c r="H311" s="567" t="s">
        <v>335</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335</v>
      </c>
      <c r="N311" s="566"/>
      <c r="O311" s="604"/>
      <c r="P311" s="566"/>
    </row>
    <row r="312" spans="1:16" customFormat="1" ht="12.75" customHeight="1" x14ac:dyDescent="0.3">
      <c r="A312" s="566" t="s">
        <v>1540</v>
      </c>
      <c r="B312" s="566"/>
      <c r="C312" s="566"/>
      <c r="D312" s="566"/>
      <c r="E312" s="566"/>
      <c r="F312" s="566"/>
      <c r="G312" s="567" t="s">
        <v>2281</v>
      </c>
      <c r="H312" s="567" t="s">
        <v>335</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335</v>
      </c>
      <c r="N312" s="566"/>
      <c r="O312" s="604"/>
      <c r="P312" s="566"/>
    </row>
    <row r="313" spans="1:16" customFormat="1" ht="12.75" customHeight="1" x14ac:dyDescent="0.3">
      <c r="A313" s="566"/>
      <c r="B313" s="566" t="s">
        <v>1542</v>
      </c>
      <c r="C313" s="566"/>
      <c r="D313" s="566"/>
      <c r="E313" s="566"/>
      <c r="F313" s="566"/>
      <c r="G313" s="567" t="s">
        <v>2282</v>
      </c>
      <c r="H313" s="567" t="s">
        <v>708</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708</v>
      </c>
      <c r="N313" s="566"/>
      <c r="O313" s="604"/>
      <c r="P313" s="566"/>
    </row>
    <row r="314" spans="1:16" customFormat="1" ht="12.75" customHeight="1" x14ac:dyDescent="0.3">
      <c r="A314" s="566"/>
      <c r="B314" s="566" t="s">
        <v>1447</v>
      </c>
      <c r="C314" s="566"/>
      <c r="D314" s="566"/>
      <c r="E314" s="566"/>
      <c r="F314" s="566"/>
      <c r="G314" s="567" t="s">
        <v>2283</v>
      </c>
      <c r="H314" s="567" t="s">
        <v>335</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335</v>
      </c>
      <c r="N314" s="566"/>
      <c r="O314" s="604"/>
      <c r="P314" s="566"/>
    </row>
    <row r="315" spans="1:16" customFormat="1" ht="12.75" customHeight="1" x14ac:dyDescent="0.3">
      <c r="A315" s="566"/>
      <c r="B315" s="566" t="s">
        <v>1449</v>
      </c>
      <c r="C315" s="566"/>
      <c r="D315" s="566"/>
      <c r="E315" s="566"/>
      <c r="F315" s="566"/>
      <c r="G315" s="567" t="s">
        <v>2284</v>
      </c>
      <c r="H315" s="567" t="s">
        <v>335</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335</v>
      </c>
      <c r="N315" s="566"/>
      <c r="O315" s="604"/>
      <c r="P315" s="566"/>
    </row>
    <row r="316" spans="1:16" customFormat="1" ht="12.75" customHeight="1" x14ac:dyDescent="0.3">
      <c r="A316" s="410" t="s">
        <v>1546</v>
      </c>
      <c r="G316" s="172"/>
      <c r="H316" s="172"/>
      <c r="J316" s="273"/>
      <c r="K316" s="335"/>
      <c r="L316" s="332"/>
      <c r="M316" s="172"/>
      <c r="O316" s="176"/>
    </row>
    <row r="317" spans="1:16" customFormat="1" ht="12.75" customHeight="1" x14ac:dyDescent="0.3">
      <c r="A317" s="566" t="s">
        <v>1547</v>
      </c>
      <c r="B317" s="566"/>
      <c r="C317" s="566"/>
      <c r="D317" s="566"/>
      <c r="E317" s="566"/>
      <c r="F317" s="566"/>
      <c r="G317" s="567" t="s">
        <v>2285</v>
      </c>
      <c r="H317" s="567" t="s">
        <v>335</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335</v>
      </c>
      <c r="N317" s="566"/>
      <c r="O317" s="604"/>
      <c r="P317" s="566"/>
    </row>
    <row r="318" spans="1:16" customFormat="1" ht="12.75" customHeight="1" x14ac:dyDescent="0.3">
      <c r="A318" s="566"/>
      <c r="B318" s="566" t="s">
        <v>1549</v>
      </c>
      <c r="C318" s="566"/>
      <c r="D318" s="566"/>
      <c r="E318" s="566"/>
      <c r="F318" s="566"/>
      <c r="G318" s="567" t="s">
        <v>2286</v>
      </c>
      <c r="H318" s="567" t="s">
        <v>1506</v>
      </c>
      <c r="I318" s="708"/>
      <c r="J318" s="294" t="str">
        <f>IF(ISBLANK(HLOOKUP(CaseName,CaseData,MATCH($G318,cases!$G$4:$G$2494,0),FALSE)),"",HLOOKUP(CaseName,CaseData,MATCH($G318,cases!$G$4:$G$2494,0),FALSE))</f>
        <v/>
      </c>
      <c r="K318" s="576">
        <f>(3/2)*(1-L324)/(2*RadFP.s*L324)</f>
        <v>8789.0625000000036</v>
      </c>
      <c r="L318" s="298">
        <f t="shared" si="17"/>
        <v>8789.0625000000036</v>
      </c>
      <c r="M318" s="567" t="s">
        <v>1506</v>
      </c>
      <c r="N318" s="566"/>
      <c r="O318" s="604"/>
      <c r="P318" s="566"/>
    </row>
    <row r="319" spans="1:16" customFormat="1" ht="12.75" customHeight="1" x14ac:dyDescent="0.3">
      <c r="A319" s="566"/>
      <c r="B319" s="566" t="s">
        <v>1551</v>
      </c>
      <c r="C319" s="566"/>
      <c r="D319" s="566"/>
      <c r="E319" s="566"/>
      <c r="F319" s="566"/>
      <c r="G319" s="566" t="s">
        <v>2287</v>
      </c>
      <c r="H319" s="567" t="s">
        <v>866</v>
      </c>
      <c r="I319" s="708"/>
      <c r="J319" s="294" t="str">
        <f>IF(ISBLANK(HLOOKUP(CaseName,CaseData,MATCH($G319,cases!$G$4:$G$2494,0),FALSE)),"",HLOOKUP(CaseName,CaseData,MATCH($G319,cases!$G$4:$G$2494,0),FALSE))</f>
        <v/>
      </c>
      <c r="K319" s="627">
        <f>9*10^-6</f>
        <v>9.0000000000000002E-6</v>
      </c>
      <c r="L319" s="298">
        <f t="shared" si="17"/>
        <v>9.0000000000000002E-6</v>
      </c>
      <c r="M319" s="567" t="s">
        <v>866</v>
      </c>
      <c r="N319" s="566"/>
      <c r="O319" s="604"/>
      <c r="P319" s="566" t="s">
        <v>1509</v>
      </c>
    </row>
    <row r="320" spans="1:16" customFormat="1" ht="12.75" customHeight="1" x14ac:dyDescent="0.3">
      <c r="A320" s="566"/>
      <c r="B320" s="566" t="s">
        <v>1510</v>
      </c>
      <c r="C320" s="566"/>
      <c r="D320" s="566"/>
      <c r="E320" s="566"/>
      <c r="F320" s="566"/>
      <c r="G320" s="567" t="s">
        <v>2288</v>
      </c>
      <c r="H320" s="567" t="s">
        <v>291</v>
      </c>
      <c r="I320" s="708"/>
      <c r="J320" s="294" t="str">
        <f>IF(ISBLANK(HLOOKUP(CaseName,CaseData,MATCH($G320,cases!$G$4:$G$2494,0),FALSE)),"",HLOOKUP(CaseName,CaseData,MATCH($G320,cases!$G$4:$G$2494,0),FALSE))</f>
        <v/>
      </c>
      <c r="K320" s="576">
        <f>L321+L325+L326</f>
        <v>1.1361636774655715</v>
      </c>
      <c r="L320" s="298">
        <f t="shared" si="17"/>
        <v>1.1361636774655715</v>
      </c>
      <c r="M320" s="567" t="s">
        <v>291</v>
      </c>
      <c r="N320" s="566"/>
      <c r="O320" s="604"/>
      <c r="P320" s="566" t="s">
        <v>1509</v>
      </c>
    </row>
    <row r="321" spans="1:16" customFormat="1" ht="12.75" customHeight="1" x14ac:dyDescent="0.3">
      <c r="A321" s="566"/>
      <c r="B321" s="566"/>
      <c r="C321" s="566" t="s">
        <v>1512</v>
      </c>
      <c r="D321" s="566"/>
      <c r="E321" s="566"/>
      <c r="F321" s="566"/>
      <c r="G321" s="567" t="s">
        <v>2289</v>
      </c>
      <c r="H321" s="567" t="s">
        <v>291</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291</v>
      </c>
      <c r="N321" s="566"/>
      <c r="O321" s="604"/>
      <c r="P321" s="566" t="s">
        <v>1509</v>
      </c>
    </row>
    <row r="322" spans="1:16" customFormat="1" ht="12.75" customHeight="1" x14ac:dyDescent="0.3">
      <c r="A322" s="566"/>
      <c r="B322" s="566"/>
      <c r="C322" s="566"/>
      <c r="D322" s="566" t="s">
        <v>1514</v>
      </c>
      <c r="E322" s="566"/>
      <c r="F322" s="566"/>
      <c r="G322" s="566" t="s">
        <v>2290</v>
      </c>
      <c r="H322" s="567" t="s">
        <v>291</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291</v>
      </c>
      <c r="N322" s="566"/>
      <c r="O322" s="604"/>
      <c r="P322" s="566" t="s">
        <v>1509</v>
      </c>
    </row>
    <row r="323" spans="1:16" customFormat="1" ht="12.75" customHeight="1" x14ac:dyDescent="0.3">
      <c r="A323" s="566"/>
      <c r="B323" s="566"/>
      <c r="C323" s="566"/>
      <c r="D323" s="566"/>
      <c r="E323" s="566" t="s">
        <v>1556</v>
      </c>
      <c r="F323" s="566"/>
      <c r="G323" s="566" t="s">
        <v>2291</v>
      </c>
      <c r="H323" s="567" t="s">
        <v>291</v>
      </c>
      <c r="I323" s="708"/>
      <c r="J323" s="294" t="str">
        <f>IF(ISBLANK(HLOOKUP(CaseName,CaseData,MATCH($G323,cases!$G$4:$G$2494,0),FALSE)),"",HLOOKUP(CaseName,CaseData,MATCH($G323,cases!$G$4:$G$2494,0),FALSE))</f>
        <v/>
      </c>
      <c r="K323" s="627">
        <f>(1-L324)^(1/3)</f>
        <v>0.84343266530174932</v>
      </c>
      <c r="L323" s="298">
        <f t="shared" si="17"/>
        <v>0.84343266530174932</v>
      </c>
      <c r="M323" s="567" t="s">
        <v>291</v>
      </c>
      <c r="N323" s="566"/>
      <c r="O323" s="604"/>
      <c r="P323" s="566" t="s">
        <v>1509</v>
      </c>
    </row>
    <row r="324" spans="1:16" customFormat="1" ht="12.75" customHeight="1" x14ac:dyDescent="0.3">
      <c r="A324" s="566"/>
      <c r="B324" s="566"/>
      <c r="C324" s="566"/>
      <c r="D324" s="566"/>
      <c r="E324" s="566"/>
      <c r="F324" s="566" t="s">
        <v>1558</v>
      </c>
      <c r="G324" s="566" t="s">
        <v>2292</v>
      </c>
      <c r="H324" s="567" t="s">
        <v>1520</v>
      </c>
      <c r="I324" s="708"/>
      <c r="J324" s="294" t="str">
        <f>IF(ISBLANK(HLOOKUP(CaseName,CaseData,MATCH($G324,cases!$G$4:$G$2494,0),FALSE)),"",HLOOKUP(CaseName,CaseData,MATCH($G324,cases!$G$4:$G$2494,0),FALSE))</f>
        <v/>
      </c>
      <c r="K324" s="576">
        <f>1-L38</f>
        <v>0.39999999999999991</v>
      </c>
      <c r="L324" s="298">
        <f t="shared" si="17"/>
        <v>0.39999999999999991</v>
      </c>
      <c r="M324" s="567" t="s">
        <v>1520</v>
      </c>
      <c r="N324" s="566" t="s">
        <v>1576</v>
      </c>
      <c r="O324" s="604"/>
      <c r="P324" s="566"/>
    </row>
    <row r="325" spans="1:16" customFormat="1" ht="12.75" customHeight="1" x14ac:dyDescent="0.3">
      <c r="A325" s="566"/>
      <c r="B325" s="566"/>
      <c r="C325" s="566" t="s">
        <v>1522</v>
      </c>
      <c r="D325" s="566"/>
      <c r="E325" s="566"/>
      <c r="F325" s="566"/>
      <c r="G325" s="567" t="s">
        <v>2293</v>
      </c>
      <c r="H325" s="567" t="s">
        <v>291</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291</v>
      </c>
      <c r="N325" s="566"/>
      <c r="O325" s="604"/>
      <c r="P325" s="566" t="s">
        <v>1509</v>
      </c>
    </row>
    <row r="326" spans="1:16" customFormat="1" ht="12.75" customHeight="1" x14ac:dyDescent="0.3">
      <c r="A326" s="566"/>
      <c r="B326" s="566"/>
      <c r="C326" s="566" t="s">
        <v>1524</v>
      </c>
      <c r="D326" s="566"/>
      <c r="E326" s="566"/>
      <c r="F326" s="566"/>
      <c r="G326" s="567" t="s">
        <v>2294</v>
      </c>
      <c r="H326" s="567" t="s">
        <v>291</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291</v>
      </c>
      <c r="N326" s="566"/>
      <c r="O326" s="604"/>
      <c r="P326" s="566" t="s">
        <v>1509</v>
      </c>
    </row>
    <row r="327" spans="1:16" customFormat="1" ht="12.75" customHeight="1" x14ac:dyDescent="0.3">
      <c r="A327" s="566"/>
      <c r="B327" s="566"/>
      <c r="C327" s="566"/>
      <c r="D327" s="566" t="s">
        <v>1526</v>
      </c>
      <c r="E327" s="566"/>
      <c r="F327" s="566"/>
      <c r="G327" s="566" t="s">
        <v>2295</v>
      </c>
      <c r="H327" s="567" t="s">
        <v>291</v>
      </c>
      <c r="I327" s="708"/>
      <c r="J327" s="294" t="str">
        <f>IF(ISBLANK(HLOOKUP(CaseName,CaseData,MATCH($G327,cases!$G$4:$G$2494,0),FALSE)),"",HLOOKUP(CaseName,CaseData,MATCH($G327,cases!$G$4:$G$2494,0),FALSE))</f>
        <v/>
      </c>
      <c r="K327" s="627">
        <f>AHamakerSP.w/(kboltz*TEMP.C)</f>
        <v>5.1336149339684463</v>
      </c>
      <c r="L327" s="298">
        <f t="shared" si="17"/>
        <v>5.1336149339684463</v>
      </c>
      <c r="M327" s="567" t="s">
        <v>291</v>
      </c>
      <c r="N327" s="566"/>
      <c r="O327" s="604"/>
      <c r="P327" s="566" t="s">
        <v>1509</v>
      </c>
    </row>
    <row r="328" spans="1:16" customFormat="1" ht="12.75" customHeight="1" x14ac:dyDescent="0.3">
      <c r="A328" s="566"/>
      <c r="B328" s="566"/>
      <c r="C328" s="566"/>
      <c r="D328" s="566" t="s">
        <v>1528</v>
      </c>
      <c r="E328" s="566"/>
      <c r="F328" s="566"/>
      <c r="G328" s="566" t="s">
        <v>2296</v>
      </c>
      <c r="H328" s="567" t="s">
        <v>1530</v>
      </c>
      <c r="I328" s="708"/>
      <c r="J328" s="294" t="str">
        <f>IF(ISBLANK(HLOOKUP(CaseName,CaseData,MATCH($G328,cases!$G$4:$G$2494,0),FALSE)),"",HLOOKUP(CaseName,CaseData,MATCH($G328,cases!$G$4:$G$2494,0),FALSE))</f>
        <v/>
      </c>
      <c r="K328" s="627">
        <f>RadS/RadFP.s</f>
        <v>3.9062500000000001E-5</v>
      </c>
      <c r="L328" s="298">
        <f t="shared" si="17"/>
        <v>3.9062500000000001E-5</v>
      </c>
      <c r="M328" s="567" t="s">
        <v>1530</v>
      </c>
      <c r="N328" s="566"/>
      <c r="O328" s="604"/>
      <c r="P328" s="566" t="s">
        <v>1509</v>
      </c>
    </row>
    <row r="329" spans="1:16" customFormat="1" ht="12.75" customHeight="1" x14ac:dyDescent="0.3">
      <c r="A329" s="566"/>
      <c r="B329" s="566"/>
      <c r="C329" s="566"/>
      <c r="D329" s="566" t="s">
        <v>1531</v>
      </c>
      <c r="E329" s="566"/>
      <c r="F329" s="566"/>
      <c r="G329" s="566" t="s">
        <v>2297</v>
      </c>
      <c r="H329" s="567" t="s">
        <v>291</v>
      </c>
      <c r="I329" s="708"/>
      <c r="J329" s="294" t="str">
        <f>IF(ISBLANK(HLOOKUP(CaseName,CaseData,MATCH($G329,cases!$G$4:$G$2494,0),FALSE)),"",HLOOKUP(CaseName,CaseData,MATCH($G329,cases!$G$4:$G$2494,0),FALSE))</f>
        <v/>
      </c>
      <c r="K329" s="627">
        <f>(L319*2*RadFP.s)/(DiffS.wC)</f>
        <v>55.295939834256309</v>
      </c>
      <c r="L329" s="298">
        <f t="shared" si="17"/>
        <v>55.295939834256309</v>
      </c>
      <c r="M329" s="567" t="s">
        <v>291</v>
      </c>
      <c r="N329" s="566"/>
      <c r="O329" s="604"/>
      <c r="P329" s="566" t="s">
        <v>1509</v>
      </c>
    </row>
    <row r="330" spans="1:16" customFormat="1" ht="12.75" customHeight="1" x14ac:dyDescent="0.3">
      <c r="A330" s="566"/>
      <c r="B330" s="566"/>
      <c r="C330" s="566"/>
      <c r="D330" s="566" t="s">
        <v>1533</v>
      </c>
      <c r="E330" s="566"/>
      <c r="F330" s="566"/>
      <c r="G330" s="567" t="s">
        <v>2298</v>
      </c>
      <c r="H330" s="567" t="s">
        <v>291</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291</v>
      </c>
      <c r="N330" s="566"/>
      <c r="O330" s="604"/>
      <c r="P330" s="566" t="s">
        <v>1509</v>
      </c>
    </row>
    <row r="331" spans="1:16" customFormat="1" ht="12.75" customHeight="1" x14ac:dyDescent="0.3">
      <c r="A331" s="566" t="s">
        <v>1567</v>
      </c>
      <c r="B331" s="566"/>
      <c r="C331" s="566"/>
      <c r="D331" s="566"/>
      <c r="E331" s="566"/>
      <c r="F331" s="566"/>
      <c r="G331" s="567" t="s">
        <v>2299</v>
      </c>
      <c r="H331" s="567" t="s">
        <v>335</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335</v>
      </c>
      <c r="N331" s="566"/>
      <c r="O331" s="604"/>
      <c r="P331" s="566"/>
    </row>
    <row r="332" spans="1:16" customFormat="1" ht="12.75" customHeight="1" x14ac:dyDescent="0.3">
      <c r="A332" s="566"/>
      <c r="B332" s="566" t="s">
        <v>1549</v>
      </c>
      <c r="C332" s="566"/>
      <c r="D332" s="566"/>
      <c r="E332" s="566"/>
      <c r="F332" s="566"/>
      <c r="G332" s="567" t="s">
        <v>2300</v>
      </c>
      <c r="H332" s="567" t="s">
        <v>1506</v>
      </c>
      <c r="I332" s="708"/>
      <c r="J332" s="294" t="str">
        <f>IF(ISBLANK(HLOOKUP(CaseName,CaseData,MATCH($G332,cases!$G$4:$G$2494,0),FALSE)),"",HLOOKUP(CaseName,CaseData,MATCH($G332,cases!$G$4:$G$2494,0),FALSE))</f>
        <v/>
      </c>
      <c r="K332" s="576">
        <f>(3/2)*(1-L338)/(2*RadFP.s*L338)</f>
        <v>8789.0625000000036</v>
      </c>
      <c r="L332" s="298">
        <f t="shared" si="17"/>
        <v>8789.0625000000036</v>
      </c>
      <c r="M332" s="567" t="s">
        <v>1506</v>
      </c>
      <c r="N332" s="566"/>
      <c r="O332" s="604"/>
      <c r="P332" s="566"/>
    </row>
    <row r="333" spans="1:16" customFormat="1" ht="12.75" customHeight="1" x14ac:dyDescent="0.3">
      <c r="A333" s="566"/>
      <c r="B333" s="566" t="s">
        <v>1551</v>
      </c>
      <c r="C333" s="566"/>
      <c r="D333" s="566"/>
      <c r="E333" s="566"/>
      <c r="F333" s="566"/>
      <c r="G333" s="566" t="s">
        <v>2301</v>
      </c>
      <c r="H333" s="567" t="s">
        <v>866</v>
      </c>
      <c r="I333" s="708"/>
      <c r="J333" s="294" t="str">
        <f>IF(ISBLANK(HLOOKUP(CaseName,CaseData,MATCH($G333,cases!$G$4:$G$2494,0),FALSE)),"",HLOOKUP(CaseName,CaseData,MATCH($G333,cases!$G$4:$G$2494,0),FALSE))</f>
        <v/>
      </c>
      <c r="K333" s="627">
        <f>9*10^-6</f>
        <v>9.0000000000000002E-6</v>
      </c>
      <c r="L333" s="298">
        <f t="shared" si="17"/>
        <v>9.0000000000000002E-6</v>
      </c>
      <c r="M333" s="567" t="s">
        <v>866</v>
      </c>
      <c r="N333" s="566"/>
      <c r="O333" s="604"/>
      <c r="P333" s="566" t="s">
        <v>1509</v>
      </c>
    </row>
    <row r="334" spans="1:16" customFormat="1" ht="12.75" customHeight="1" x14ac:dyDescent="0.3">
      <c r="A334" s="566"/>
      <c r="B334" s="566" t="s">
        <v>1510</v>
      </c>
      <c r="C334" s="566"/>
      <c r="D334" s="566"/>
      <c r="E334" s="566"/>
      <c r="F334" s="566"/>
      <c r="G334" s="567" t="s">
        <v>2302</v>
      </c>
      <c r="H334" s="567" t="s">
        <v>291</v>
      </c>
      <c r="I334" s="708"/>
      <c r="J334" s="294" t="str">
        <f>IF(ISBLANK(HLOOKUP(CaseName,CaseData,MATCH($G334,cases!$G$4:$G$2494,0),FALSE)),"",HLOOKUP(CaseName,CaseData,MATCH($G334,cases!$G$4:$G$2494,0),FALSE))</f>
        <v/>
      </c>
      <c r="K334" s="576">
        <f>L335+L339+L340</f>
        <v>1.1361636774655715</v>
      </c>
      <c r="L334" s="298">
        <f t="shared" si="17"/>
        <v>1.1361636774655715</v>
      </c>
      <c r="M334" s="567" t="s">
        <v>291</v>
      </c>
      <c r="N334" s="566"/>
      <c r="O334" s="604"/>
      <c r="P334" s="566" t="s">
        <v>1509</v>
      </c>
    </row>
    <row r="335" spans="1:16" customFormat="1" ht="12.75" customHeight="1" x14ac:dyDescent="0.3">
      <c r="A335" s="566"/>
      <c r="B335" s="566"/>
      <c r="C335" s="566" t="s">
        <v>1512</v>
      </c>
      <c r="D335" s="566"/>
      <c r="E335" s="566"/>
      <c r="F335" s="566"/>
      <c r="G335" s="567" t="s">
        <v>2303</v>
      </c>
      <c r="H335" s="567" t="s">
        <v>291</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291</v>
      </c>
      <c r="N335" s="566"/>
      <c r="O335" s="604"/>
      <c r="P335" s="566" t="s">
        <v>1509</v>
      </c>
    </row>
    <row r="336" spans="1:16" customFormat="1" ht="12.75" customHeight="1" x14ac:dyDescent="0.3">
      <c r="A336" s="566"/>
      <c r="B336" s="566"/>
      <c r="C336" s="566"/>
      <c r="D336" s="566" t="s">
        <v>1514</v>
      </c>
      <c r="E336" s="566"/>
      <c r="F336" s="566"/>
      <c r="G336" s="566" t="s">
        <v>2304</v>
      </c>
      <c r="H336" s="567" t="s">
        <v>291</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291</v>
      </c>
      <c r="N336" s="566"/>
      <c r="O336" s="604"/>
      <c r="P336" s="566" t="s">
        <v>1509</v>
      </c>
    </row>
    <row r="337" spans="1:16" customFormat="1" ht="12.75" customHeight="1" x14ac:dyDescent="0.3">
      <c r="A337" s="566"/>
      <c r="B337" s="566"/>
      <c r="C337" s="566"/>
      <c r="D337" s="566"/>
      <c r="E337" s="566" t="s">
        <v>1556</v>
      </c>
      <c r="F337" s="566"/>
      <c r="G337" s="566" t="s">
        <v>2305</v>
      </c>
      <c r="H337" s="567" t="s">
        <v>291</v>
      </c>
      <c r="I337" s="708"/>
      <c r="J337" s="294" t="str">
        <f>IF(ISBLANK(HLOOKUP(CaseName,CaseData,MATCH($G337,cases!$G$4:$G$2494,0),FALSE)),"",HLOOKUP(CaseName,CaseData,MATCH($G337,cases!$G$4:$G$2494,0),FALSE))</f>
        <v/>
      </c>
      <c r="K337" s="627">
        <f>(1-L338)^(1/3)</f>
        <v>0.84343266530174932</v>
      </c>
      <c r="L337" s="298">
        <f t="shared" si="17"/>
        <v>0.84343266530174932</v>
      </c>
      <c r="M337" s="567" t="s">
        <v>291</v>
      </c>
      <c r="N337" s="566"/>
      <c r="O337" s="604"/>
      <c r="P337" s="566" t="s">
        <v>1509</v>
      </c>
    </row>
    <row r="338" spans="1:16" customFormat="1" ht="12.75" customHeight="1" x14ac:dyDescent="0.3">
      <c r="A338" s="566"/>
      <c r="B338" s="566"/>
      <c r="C338" s="566"/>
      <c r="D338" s="566"/>
      <c r="E338" s="566"/>
      <c r="F338" s="566" t="s">
        <v>1558</v>
      </c>
      <c r="G338" s="566" t="s">
        <v>2306</v>
      </c>
      <c r="H338" s="567" t="s">
        <v>1520</v>
      </c>
      <c r="I338" s="708"/>
      <c r="J338" s="294" t="str">
        <f>IF(ISBLANK(HLOOKUP(CaseName,CaseData,MATCH($G338,cases!$G$4:$G$2494,0),FALSE)),"",HLOOKUP(CaseName,CaseData,MATCH($G338,cases!$G$4:$G$2494,0),FALSE))</f>
        <v/>
      </c>
      <c r="K338" s="576">
        <f>1-L41</f>
        <v>0.39999999999999991</v>
      </c>
      <c r="L338" s="298">
        <f t="shared" si="17"/>
        <v>0.39999999999999991</v>
      </c>
      <c r="M338" s="567" t="s">
        <v>1520</v>
      </c>
      <c r="N338" s="566" t="s">
        <v>1576</v>
      </c>
      <c r="O338" s="604"/>
      <c r="P338" s="566"/>
    </row>
    <row r="339" spans="1:16" customFormat="1" ht="12.75" customHeight="1" x14ac:dyDescent="0.3">
      <c r="A339" s="566"/>
      <c r="B339" s="566"/>
      <c r="C339" s="566" t="s">
        <v>1522</v>
      </c>
      <c r="D339" s="566"/>
      <c r="E339" s="566"/>
      <c r="F339" s="566"/>
      <c r="G339" s="567" t="s">
        <v>2307</v>
      </c>
      <c r="H339" s="567" t="s">
        <v>291</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291</v>
      </c>
      <c r="N339" s="566"/>
      <c r="O339" s="604"/>
      <c r="P339" s="566" t="s">
        <v>1509</v>
      </c>
    </row>
    <row r="340" spans="1:16" customFormat="1" ht="12.75" customHeight="1" x14ac:dyDescent="0.3">
      <c r="A340" s="566"/>
      <c r="B340" s="566"/>
      <c r="C340" s="566" t="s">
        <v>1524</v>
      </c>
      <c r="D340" s="566"/>
      <c r="E340" s="566"/>
      <c r="F340" s="566"/>
      <c r="G340" s="567" t="s">
        <v>2308</v>
      </c>
      <c r="H340" s="567" t="s">
        <v>291</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291</v>
      </c>
      <c r="N340" s="566"/>
      <c r="O340" s="604"/>
      <c r="P340" s="566" t="s">
        <v>1509</v>
      </c>
    </row>
    <row r="341" spans="1:16" customFormat="1" ht="12.75" customHeight="1" x14ac:dyDescent="0.3">
      <c r="A341" s="566"/>
      <c r="B341" s="566"/>
      <c r="C341" s="566"/>
      <c r="D341" s="566" t="s">
        <v>1528</v>
      </c>
      <c r="E341" s="566"/>
      <c r="F341" s="566"/>
      <c r="G341" s="566" t="s">
        <v>2309</v>
      </c>
      <c r="H341" s="567" t="s">
        <v>1530</v>
      </c>
      <c r="I341" s="708"/>
      <c r="J341" s="294" t="str">
        <f>IF(ISBLANK(HLOOKUP(CaseName,CaseData,MATCH($G341,cases!$G$4:$G$2494,0),FALSE)),"",HLOOKUP(CaseName,CaseData,MATCH($G341,cases!$G$4:$G$2494,0),FALSE))</f>
        <v/>
      </c>
      <c r="K341" s="627">
        <f>RadS/RadFP.s</f>
        <v>3.9062500000000001E-5</v>
      </c>
      <c r="L341" s="298">
        <f t="shared" si="17"/>
        <v>3.9062500000000001E-5</v>
      </c>
      <c r="M341" s="567" t="s">
        <v>1530</v>
      </c>
      <c r="N341" s="566"/>
      <c r="O341" s="604"/>
      <c r="P341" s="566" t="s">
        <v>1509</v>
      </c>
    </row>
    <row r="342" spans="1:16" customFormat="1" ht="12.75" customHeight="1" x14ac:dyDescent="0.3">
      <c r="A342" s="566"/>
      <c r="B342" s="566"/>
      <c r="C342" s="566"/>
      <c r="D342" s="566" t="s">
        <v>1531</v>
      </c>
      <c r="E342" s="566"/>
      <c r="F342" s="566"/>
      <c r="G342" s="566" t="s">
        <v>2310</v>
      </c>
      <c r="H342" s="567" t="s">
        <v>291</v>
      </c>
      <c r="I342" s="708"/>
      <c r="J342" s="294" t="str">
        <f>IF(ISBLANK(HLOOKUP(CaseName,CaseData,MATCH($G342,cases!$G$4:$G$2494,0),FALSE)),"",HLOOKUP(CaseName,CaseData,MATCH($G342,cases!$G$4:$G$2494,0),FALSE))</f>
        <v/>
      </c>
      <c r="K342" s="627">
        <f>(L333*2*RadFP.s)/(DiffS.wC)</f>
        <v>55.295939834256309</v>
      </c>
      <c r="L342" s="298">
        <f t="shared" si="17"/>
        <v>55.295939834256309</v>
      </c>
      <c r="M342" s="567" t="s">
        <v>291</v>
      </c>
      <c r="N342" s="566"/>
      <c r="O342" s="604"/>
      <c r="P342" s="566" t="s">
        <v>1509</v>
      </c>
    </row>
    <row r="343" spans="1:16" customFormat="1" ht="12.75" customHeight="1" x14ac:dyDescent="0.3">
      <c r="A343" s="566"/>
      <c r="B343" s="566"/>
      <c r="C343" s="566"/>
      <c r="D343" s="566" t="s">
        <v>1526</v>
      </c>
      <c r="E343" s="566"/>
      <c r="F343" s="566"/>
      <c r="G343" s="566" t="s">
        <v>2311</v>
      </c>
      <c r="H343" s="567" t="s">
        <v>291</v>
      </c>
      <c r="I343" s="708"/>
      <c r="J343" s="294" t="str">
        <f>IF(ISBLANK(HLOOKUP(CaseName,CaseData,MATCH($G343,cases!$G$4:$G$2494,0),FALSE)),"",HLOOKUP(CaseName,CaseData,MATCH($G343,cases!$G$4:$G$2494,0),FALSE))</f>
        <v/>
      </c>
      <c r="K343" s="627">
        <f>AHamakerSP.w/(kboltz*TEMP.C)</f>
        <v>5.1336149339684463</v>
      </c>
      <c r="L343" s="298">
        <f t="shared" si="17"/>
        <v>5.1336149339684463</v>
      </c>
      <c r="M343" s="567" t="s">
        <v>291</v>
      </c>
      <c r="N343" s="566"/>
      <c r="O343" s="604"/>
      <c r="P343" s="566" t="s">
        <v>1509</v>
      </c>
    </row>
    <row r="344" spans="1:16" customFormat="1" ht="12.75" customHeight="1" x14ac:dyDescent="0.3">
      <c r="A344" s="566"/>
      <c r="B344" s="566"/>
      <c r="C344" s="566"/>
      <c r="D344" s="566" t="s">
        <v>1533</v>
      </c>
      <c r="E344" s="566"/>
      <c r="F344" s="566"/>
      <c r="G344" s="567" t="s">
        <v>2312</v>
      </c>
      <c r="H344" s="567" t="s">
        <v>291</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291</v>
      </c>
      <c r="N344" s="566"/>
      <c r="O344" s="604"/>
      <c r="P344" s="566" t="s">
        <v>1509</v>
      </c>
    </row>
    <row r="345" spans="1:16" customFormat="1" ht="12.75" customHeight="1" x14ac:dyDescent="0.3">
      <c r="A345" s="566" t="s">
        <v>1583</v>
      </c>
      <c r="B345" s="566"/>
      <c r="C345" s="566"/>
      <c r="D345" s="566"/>
      <c r="E345" s="566"/>
      <c r="F345" s="566"/>
      <c r="G345" s="567" t="s">
        <v>2313</v>
      </c>
      <c r="H345" s="567" t="s">
        <v>335</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335</v>
      </c>
      <c r="N345" s="566"/>
      <c r="O345" s="604"/>
      <c r="P345" s="566"/>
    </row>
    <row r="346" spans="1:16" customFormat="1" ht="12.75" customHeight="1" x14ac:dyDescent="0.3">
      <c r="A346" s="566"/>
      <c r="B346" s="566" t="s">
        <v>1549</v>
      </c>
      <c r="C346" s="566"/>
      <c r="D346" s="566"/>
      <c r="E346" s="566"/>
      <c r="F346" s="566"/>
      <c r="G346" s="567" t="s">
        <v>2314</v>
      </c>
      <c r="H346" s="567" t="s">
        <v>1506</v>
      </c>
      <c r="I346" s="708"/>
      <c r="J346" s="294" t="str">
        <f>IF(ISBLANK(HLOOKUP(CaseName,CaseData,MATCH($G346,cases!$G$4:$G$2494,0),FALSE)),"",HLOOKUP(CaseName,CaseData,MATCH($G346,cases!$G$4:$G$2494,0),FALSE))</f>
        <v/>
      </c>
      <c r="K346" s="576">
        <f>(3/2)*(1-L352)/(2*RadFP.s*L352)</f>
        <v>8789.0625000000036</v>
      </c>
      <c r="L346" s="298">
        <f t="shared" si="17"/>
        <v>8789.0625000000036</v>
      </c>
      <c r="M346" s="567" t="s">
        <v>1506</v>
      </c>
      <c r="N346" s="566"/>
      <c r="O346" s="604"/>
      <c r="P346" s="566"/>
    </row>
    <row r="347" spans="1:16" customFormat="1" ht="12.75" customHeight="1" x14ac:dyDescent="0.3">
      <c r="A347" s="566"/>
      <c r="B347" s="566" t="s">
        <v>1551</v>
      </c>
      <c r="C347" s="566"/>
      <c r="D347" s="566"/>
      <c r="E347" s="566"/>
      <c r="F347" s="566"/>
      <c r="G347" s="566" t="s">
        <v>2315</v>
      </c>
      <c r="H347" s="567" t="s">
        <v>866</v>
      </c>
      <c r="I347" s="708"/>
      <c r="J347" s="294" t="str">
        <f>IF(ISBLANK(HLOOKUP(CaseName,CaseData,MATCH($G347,cases!$G$4:$G$2494,0),FALSE)),"",HLOOKUP(CaseName,CaseData,MATCH($G347,cases!$G$4:$G$2494,0),FALSE))</f>
        <v/>
      </c>
      <c r="K347" s="627">
        <f>9*10^-6</f>
        <v>9.0000000000000002E-6</v>
      </c>
      <c r="L347" s="298">
        <f t="shared" si="17"/>
        <v>9.0000000000000002E-6</v>
      </c>
      <c r="M347" s="567" t="s">
        <v>866</v>
      </c>
      <c r="N347" s="566"/>
      <c r="O347" s="604"/>
      <c r="P347" s="566" t="s">
        <v>1509</v>
      </c>
    </row>
    <row r="348" spans="1:16" customFormat="1" ht="12.75" customHeight="1" x14ac:dyDescent="0.3">
      <c r="A348" s="566"/>
      <c r="B348" s="566" t="s">
        <v>1510</v>
      </c>
      <c r="C348" s="566"/>
      <c r="D348" s="566"/>
      <c r="E348" s="566"/>
      <c r="F348" s="566"/>
      <c r="G348" s="567" t="s">
        <v>2316</v>
      </c>
      <c r="H348" s="567" t="s">
        <v>291</v>
      </c>
      <c r="I348" s="708"/>
      <c r="J348" s="294" t="str">
        <f>IF(ISBLANK(HLOOKUP(CaseName,CaseData,MATCH($G348,cases!$G$4:$G$2494,0),FALSE)),"",HLOOKUP(CaseName,CaseData,MATCH($G348,cases!$G$4:$G$2494,0),FALSE))</f>
        <v/>
      </c>
      <c r="K348" s="576">
        <f>L349+L353+L354</f>
        <v>1.1361636774655715</v>
      </c>
      <c r="L348" s="298">
        <f t="shared" si="17"/>
        <v>1.1361636774655715</v>
      </c>
      <c r="M348" s="567" t="s">
        <v>291</v>
      </c>
      <c r="N348" s="566"/>
      <c r="O348" s="604"/>
      <c r="P348" s="566" t="s">
        <v>1509</v>
      </c>
    </row>
    <row r="349" spans="1:16" customFormat="1" ht="12.75" customHeight="1" x14ac:dyDescent="0.3">
      <c r="A349" s="566"/>
      <c r="B349" s="566"/>
      <c r="C349" s="566" t="s">
        <v>1512</v>
      </c>
      <c r="D349" s="566"/>
      <c r="E349" s="566"/>
      <c r="F349" s="566"/>
      <c r="G349" s="567" t="s">
        <v>2317</v>
      </c>
      <c r="H349" s="567" t="s">
        <v>291</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291</v>
      </c>
      <c r="N349" s="566"/>
      <c r="O349" s="604"/>
      <c r="P349" s="566" t="s">
        <v>1509</v>
      </c>
    </row>
    <row r="350" spans="1:16" customFormat="1" ht="12.75" customHeight="1" x14ac:dyDescent="0.3">
      <c r="A350" s="566"/>
      <c r="B350" s="566"/>
      <c r="C350" s="566"/>
      <c r="D350" s="566" t="s">
        <v>1514</v>
      </c>
      <c r="E350" s="566"/>
      <c r="F350" s="566"/>
      <c r="G350" s="566" t="s">
        <v>2318</v>
      </c>
      <c r="H350" s="567" t="s">
        <v>291</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291</v>
      </c>
      <c r="N350" s="566"/>
      <c r="O350" s="604"/>
      <c r="P350" s="566" t="s">
        <v>1509</v>
      </c>
    </row>
    <row r="351" spans="1:16" customFormat="1" ht="12.75" customHeight="1" x14ac:dyDescent="0.3">
      <c r="A351" s="566"/>
      <c r="B351" s="566"/>
      <c r="C351" s="566"/>
      <c r="D351" s="566"/>
      <c r="E351" s="566" t="s">
        <v>1556</v>
      </c>
      <c r="F351" s="566"/>
      <c r="G351" s="566" t="s">
        <v>2319</v>
      </c>
      <c r="H351" s="567" t="s">
        <v>291</v>
      </c>
      <c r="I351" s="708"/>
      <c r="J351" s="294" t="str">
        <f>IF(ISBLANK(HLOOKUP(CaseName,CaseData,MATCH($G351,cases!$G$4:$G$2494,0),FALSE)),"",HLOOKUP(CaseName,CaseData,MATCH($G351,cases!$G$4:$G$2494,0),FALSE))</f>
        <v/>
      </c>
      <c r="K351" s="627">
        <f>(1-L352)^(1/3)</f>
        <v>0.84343266530174932</v>
      </c>
      <c r="L351" s="298">
        <f t="shared" si="17"/>
        <v>0.84343266530174932</v>
      </c>
      <c r="M351" s="567" t="s">
        <v>291</v>
      </c>
      <c r="N351" s="566"/>
      <c r="O351" s="604"/>
      <c r="P351" s="566" t="s">
        <v>1509</v>
      </c>
    </row>
    <row r="352" spans="1:16" customFormat="1" ht="12.75" customHeight="1" x14ac:dyDescent="0.3">
      <c r="A352" s="566"/>
      <c r="B352" s="566"/>
      <c r="C352" s="566"/>
      <c r="D352" s="566"/>
      <c r="E352" s="566"/>
      <c r="F352" s="566" t="s">
        <v>1558</v>
      </c>
      <c r="G352" s="566" t="s">
        <v>2320</v>
      </c>
      <c r="H352" s="567" t="s">
        <v>1520</v>
      </c>
      <c r="I352" s="708"/>
      <c r="J352" s="294" t="str">
        <f>IF(ISBLANK(HLOOKUP(CaseName,CaseData,MATCH($G352,cases!$G$4:$G$2494,0),FALSE)),"",HLOOKUP(CaseName,CaseData,MATCH($G352,cases!$G$4:$G$2494,0),FALSE))</f>
        <v/>
      </c>
      <c r="K352" s="576">
        <f>1-L44</f>
        <v>0.39999999999999991</v>
      </c>
      <c r="L352" s="298">
        <f t="shared" si="17"/>
        <v>0.39999999999999991</v>
      </c>
      <c r="M352" s="567" t="s">
        <v>1520</v>
      </c>
      <c r="N352" s="566" t="s">
        <v>1576</v>
      </c>
      <c r="O352" s="604"/>
      <c r="P352" s="566"/>
    </row>
    <row r="353" spans="1:16" customFormat="1" ht="12.75" customHeight="1" x14ac:dyDescent="0.3">
      <c r="A353" s="566"/>
      <c r="B353" s="566"/>
      <c r="C353" s="566" t="s">
        <v>1522</v>
      </c>
      <c r="D353" s="566"/>
      <c r="E353" s="566"/>
      <c r="F353" s="566"/>
      <c r="G353" s="567" t="s">
        <v>2321</v>
      </c>
      <c r="H353" s="567" t="s">
        <v>291</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291</v>
      </c>
      <c r="N353" s="566"/>
      <c r="O353" s="604"/>
      <c r="P353" s="566" t="s">
        <v>1509</v>
      </c>
    </row>
    <row r="354" spans="1:16" customFormat="1" ht="12.75" customHeight="1" x14ac:dyDescent="0.3">
      <c r="A354" s="566"/>
      <c r="B354" s="566"/>
      <c r="C354" s="566" t="s">
        <v>1524</v>
      </c>
      <c r="D354" s="566"/>
      <c r="E354" s="566"/>
      <c r="F354" s="566"/>
      <c r="G354" s="567" t="s">
        <v>2322</v>
      </c>
      <c r="H354" s="567" t="s">
        <v>291</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291</v>
      </c>
      <c r="N354" s="566"/>
      <c r="O354" s="604"/>
      <c r="P354" s="566" t="s">
        <v>1509</v>
      </c>
    </row>
    <row r="355" spans="1:16" customFormat="1" ht="12.75" customHeight="1" x14ac:dyDescent="0.3">
      <c r="A355" s="566"/>
      <c r="B355" s="566"/>
      <c r="C355" s="566"/>
      <c r="D355" s="566" t="s">
        <v>1528</v>
      </c>
      <c r="E355" s="566"/>
      <c r="F355" s="566"/>
      <c r="G355" s="566" t="s">
        <v>2323</v>
      </c>
      <c r="H355" s="567" t="s">
        <v>1530</v>
      </c>
      <c r="I355" s="708"/>
      <c r="J355" s="294" t="str">
        <f>IF(ISBLANK(HLOOKUP(CaseName,CaseData,MATCH($G355,cases!$G$4:$G$2494,0),FALSE)),"",HLOOKUP(CaseName,CaseData,MATCH($G355,cases!$G$4:$G$2494,0),FALSE))</f>
        <v/>
      </c>
      <c r="K355" s="627">
        <f>RadS/RadFP.s</f>
        <v>3.9062500000000001E-5</v>
      </c>
      <c r="L355" s="298">
        <f t="shared" si="17"/>
        <v>3.9062500000000001E-5</v>
      </c>
      <c r="M355" s="567" t="s">
        <v>1530</v>
      </c>
      <c r="N355" s="566"/>
      <c r="O355" s="604"/>
      <c r="P355" s="566" t="s">
        <v>1509</v>
      </c>
    </row>
    <row r="356" spans="1:16" customFormat="1" ht="12.75" customHeight="1" x14ac:dyDescent="0.3">
      <c r="A356" s="566"/>
      <c r="B356" s="566"/>
      <c r="C356" s="566"/>
      <c r="D356" s="566" t="s">
        <v>1531</v>
      </c>
      <c r="E356" s="566"/>
      <c r="F356" s="566"/>
      <c r="G356" s="566" t="s">
        <v>2324</v>
      </c>
      <c r="H356" s="567" t="s">
        <v>291</v>
      </c>
      <c r="I356" s="708"/>
      <c r="J356" s="294" t="str">
        <f>IF(ISBLANK(HLOOKUP(CaseName,CaseData,MATCH($G356,cases!$G$4:$G$2494,0),FALSE)),"",HLOOKUP(CaseName,CaseData,MATCH($G356,cases!$G$4:$G$2494,0),FALSE))</f>
        <v/>
      </c>
      <c r="K356" s="627">
        <f>(L347*2*RadFP.s)/(DiffS.wC)</f>
        <v>55.295939834256309</v>
      </c>
      <c r="L356" s="298">
        <f t="shared" si="17"/>
        <v>55.295939834256309</v>
      </c>
      <c r="M356" s="567" t="s">
        <v>291</v>
      </c>
      <c r="N356" s="566"/>
      <c r="O356" s="604"/>
      <c r="P356" s="566" t="s">
        <v>1509</v>
      </c>
    </row>
    <row r="357" spans="1:16" customFormat="1" ht="12.75" customHeight="1" x14ac:dyDescent="0.3">
      <c r="A357" s="566"/>
      <c r="B357" s="566"/>
      <c r="C357" s="566"/>
      <c r="D357" s="566" t="s">
        <v>1526</v>
      </c>
      <c r="E357" s="566"/>
      <c r="F357" s="566"/>
      <c r="G357" s="566" t="s">
        <v>2325</v>
      </c>
      <c r="H357" s="567" t="s">
        <v>291</v>
      </c>
      <c r="I357" s="708"/>
      <c r="J357" s="294" t="str">
        <f>IF(ISBLANK(HLOOKUP(CaseName,CaseData,MATCH($G357,cases!$G$4:$G$2494,0),FALSE)),"",HLOOKUP(CaseName,CaseData,MATCH($G357,cases!$G$4:$G$2494,0),FALSE))</f>
        <v/>
      </c>
      <c r="K357" s="627">
        <f>AHamakerSP.w/(kboltz*TEMP.C)</f>
        <v>5.1336149339684463</v>
      </c>
      <c r="L357" s="298">
        <f t="shared" si="17"/>
        <v>5.1336149339684463</v>
      </c>
      <c r="M357" s="567" t="s">
        <v>291</v>
      </c>
      <c r="N357" s="566"/>
      <c r="O357" s="604"/>
      <c r="P357" s="566" t="s">
        <v>1509</v>
      </c>
    </row>
    <row r="358" spans="1:16" customFormat="1" ht="12.75" customHeight="1" x14ac:dyDescent="0.3">
      <c r="A358" s="566"/>
      <c r="B358" s="566"/>
      <c r="C358" s="566"/>
      <c r="D358" s="566" t="s">
        <v>1533</v>
      </c>
      <c r="E358" s="566"/>
      <c r="F358" s="566"/>
      <c r="G358" s="567" t="s">
        <v>2326</v>
      </c>
      <c r="H358" s="567" t="s">
        <v>291</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291</v>
      </c>
      <c r="N358" s="566"/>
      <c r="O358" s="604"/>
      <c r="P358" s="566" t="s">
        <v>1509</v>
      </c>
    </row>
    <row r="359" spans="1:16" customFormat="1" ht="12.75" customHeight="1" x14ac:dyDescent="0.3">
      <c r="G359" s="172"/>
      <c r="H359" s="172"/>
      <c r="J359" s="273"/>
      <c r="K359" s="335"/>
      <c r="L359" s="332"/>
      <c r="O359" s="176"/>
    </row>
    <row r="360" spans="1:16" s="633" customFormat="1" ht="12.75" customHeight="1" x14ac:dyDescent="0.3">
      <c r="A360" s="632" t="s">
        <v>1598</v>
      </c>
      <c r="G360" s="632" t="s">
        <v>258</v>
      </c>
      <c r="H360" s="632" t="s">
        <v>274</v>
      </c>
      <c r="I360" s="633" t="s">
        <v>259</v>
      </c>
      <c r="J360" s="672" t="s">
        <v>275</v>
      </c>
      <c r="K360" s="660" t="s">
        <v>260</v>
      </c>
      <c r="L360" s="180" t="s">
        <v>261</v>
      </c>
      <c r="N360" s="632" t="s">
        <v>262</v>
      </c>
      <c r="O360" s="395" t="s">
        <v>1383</v>
      </c>
      <c r="P360" s="633" t="s">
        <v>1384</v>
      </c>
    </row>
    <row r="361" spans="1:16" s="413" customFormat="1" ht="12.75" customHeight="1" x14ac:dyDescent="0.3">
      <c r="A361" s="413" t="s">
        <v>1599</v>
      </c>
      <c r="G361" s="630"/>
      <c r="H361" s="630"/>
      <c r="J361" s="696"/>
      <c r="K361" s="647"/>
      <c r="L361" s="695"/>
      <c r="O361" s="209"/>
    </row>
    <row r="362" spans="1:16" customFormat="1" ht="12.75" customHeight="1" x14ac:dyDescent="0.3">
      <c r="A362" s="566"/>
      <c r="B362" s="566" t="s">
        <v>1600</v>
      </c>
      <c r="C362" s="566"/>
      <c r="D362" s="566"/>
      <c r="E362" s="566"/>
      <c r="F362" s="566"/>
      <c r="G362" s="567" t="s">
        <v>2327</v>
      </c>
      <c r="H362" s="567" t="s">
        <v>813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813</v>
      </c>
      <c r="N362" s="566"/>
      <c r="O362" s="604"/>
      <c r="P362" s="566" t="s">
        <v>1602</v>
      </c>
    </row>
    <row r="363" spans="1:16" customFormat="1" ht="12.75" customHeight="1" x14ac:dyDescent="0.3">
      <c r="A363" s="566"/>
      <c r="B363" s="566" t="s">
        <v>1603</v>
      </c>
      <c r="C363" s="566"/>
      <c r="D363" s="566"/>
      <c r="E363" s="566"/>
      <c r="F363" s="566"/>
      <c r="G363" s="567" t="s">
        <v>2328</v>
      </c>
      <c r="H363" s="567" t="s">
        <v>291</v>
      </c>
      <c r="I363" s="677"/>
      <c r="J363" s="294" t="str">
        <f>IF(ISBLANK(HLOOKUP(CaseName,CaseData,MATCH($G363,cases!$G$4:$G$2494,0),FALSE)),"",HLOOKUP(CaseName,CaseData,MATCH($G363,cases!$G$4:$G$2494,0),FALSE))</f>
        <v/>
      </c>
      <c r="K363" s="576">
        <v>1</v>
      </c>
      <c r="L363" s="550">
        <f t="shared" si="18"/>
        <v>1</v>
      </c>
      <c r="M363" s="567" t="s">
        <v>291</v>
      </c>
      <c r="N363" s="566"/>
      <c r="O363" s="604"/>
      <c r="P363" s="566"/>
    </row>
    <row r="364" spans="1:16" customFormat="1" ht="12.75" customHeight="1" x14ac:dyDescent="0.3">
      <c r="A364" s="566"/>
      <c r="B364" s="566" t="s">
        <v>1606</v>
      </c>
      <c r="C364" s="566"/>
      <c r="D364" s="566"/>
      <c r="E364" s="566"/>
      <c r="F364" s="566"/>
      <c r="G364" s="567" t="s">
        <v>2329</v>
      </c>
      <c r="H364" s="567" t="s">
        <v>866</v>
      </c>
      <c r="I364" s="677"/>
      <c r="J364" s="294" t="str">
        <f>IF(ISBLANK(HLOOKUP(CaseName,CaseData,MATCH($G364,cases!$G$4:$G$2494,0),FALSE)),"",HLOOKUP(CaseName,CaseData,MATCH($G364,cases!$G$4:$G$2494,0),FALSE))</f>
        <v/>
      </c>
      <c r="K364" s="576">
        <f>RAINrate.C/L363</f>
        <v>2.219685438863521E-8</v>
      </c>
      <c r="L364" s="550">
        <f t="shared" si="18"/>
        <v>2.219685438863521E-8</v>
      </c>
      <c r="M364" s="567" t="s">
        <v>866</v>
      </c>
      <c r="N364" s="566"/>
      <c r="O364" s="604"/>
      <c r="P364" s="566"/>
    </row>
    <row r="365" spans="1:16" customFormat="1" ht="12.75" customHeight="1" x14ac:dyDescent="0.3">
      <c r="A365" s="566"/>
      <c r="B365" s="566" t="s">
        <v>1610</v>
      </c>
      <c r="C365" s="566"/>
      <c r="D365" s="566"/>
      <c r="E365" s="566"/>
      <c r="F365" s="566"/>
      <c r="G365" s="567" t="s">
        <v>2330</v>
      </c>
      <c r="H365" s="567" t="s">
        <v>866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866</v>
      </c>
      <c r="N365" s="566"/>
      <c r="O365" s="604"/>
      <c r="P365" s="566"/>
    </row>
    <row r="366" spans="1:16" customFormat="1" ht="12.75" customHeight="1" x14ac:dyDescent="0.3">
      <c r="A366" s="566"/>
      <c r="B366" s="566" t="s">
        <v>1612</v>
      </c>
      <c r="C366" s="566"/>
      <c r="D366" s="566"/>
      <c r="E366" s="566"/>
      <c r="F366" s="566"/>
      <c r="G366" s="567" t="s">
        <v>2331</v>
      </c>
      <c r="H366" s="567" t="s">
        <v>291</v>
      </c>
      <c r="I366" s="677"/>
      <c r="J366" s="294" t="str">
        <f>IF(ISBLANK(HLOOKUP(CaseName,CaseData,MATCH($G366,cases!$G$4:$G$2494,0),FALSE)),"",HLOOKUP(CaseName,CaseData,MATCH($G366,cases!$G$4:$G$2494,0),FALSE))</f>
        <v/>
      </c>
      <c r="K366" s="576">
        <v>1</v>
      </c>
      <c r="L366" s="550">
        <f t="shared" si="18"/>
        <v>1</v>
      </c>
      <c r="M366" s="567" t="s">
        <v>291</v>
      </c>
      <c r="N366" s="566"/>
      <c r="O366" s="604"/>
      <c r="P366" s="566"/>
    </row>
    <row r="367" spans="1:16" customFormat="1" ht="12.75" customHeight="1" x14ac:dyDescent="0.3">
      <c r="A367" s="566"/>
      <c r="B367" s="566" t="s">
        <v>1614</v>
      </c>
      <c r="C367" s="566"/>
      <c r="D367" s="566"/>
      <c r="E367" s="566"/>
      <c r="F367" s="566"/>
      <c r="G367" s="567" t="s">
        <v>2332</v>
      </c>
      <c r="H367" s="567" t="s">
        <v>291</v>
      </c>
      <c r="I367" s="677"/>
      <c r="J367" s="294" t="str">
        <f>IF(ISBLANK(HLOOKUP(CaseName,CaseData,MATCH($G367,cases!$G$4:$G$2494,0),FALSE)),"",HLOOKUP(CaseName,CaseData,MATCH($G367,cases!$G$4:$G$2494,0),FALSE))</f>
        <v/>
      </c>
      <c r="K367" s="576">
        <f>((1.2+(1/12)*LN(1+L368))/(1+LN(L368)))</f>
        <v>0.30887187901809332</v>
      </c>
      <c r="L367" s="550">
        <f t="shared" si="18"/>
        <v>0.30887187901809332</v>
      </c>
      <c r="M367" s="567" t="s">
        <v>291</v>
      </c>
      <c r="N367" s="566"/>
      <c r="O367" s="604"/>
      <c r="P367" s="566"/>
    </row>
    <row r="368" spans="1:16" customFormat="1" ht="12.75" customHeight="1" x14ac:dyDescent="0.3">
      <c r="A368" s="566"/>
      <c r="B368" s="566" t="s">
        <v>1616</v>
      </c>
      <c r="C368" s="566"/>
      <c r="D368" s="566"/>
      <c r="E368" s="566"/>
      <c r="F368" s="566"/>
      <c r="G368" s="567" t="s">
        <v>2333</v>
      </c>
      <c r="H368" s="567" t="s">
        <v>291</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2334</v>
      </c>
      <c r="N368" s="566"/>
      <c r="O368" s="604"/>
      <c r="P368" s="566"/>
    </row>
    <row r="369" spans="1:16" s="413" customFormat="1" ht="12.75" customHeight="1" x14ac:dyDescent="0.3">
      <c r="A369" s="413" t="s">
        <v>2335</v>
      </c>
      <c r="K369" s="647"/>
      <c r="L369" s="695"/>
      <c r="O369" s="209"/>
    </row>
    <row r="370" spans="1:16" customFormat="1" ht="12.75" customHeight="1" x14ac:dyDescent="0.3">
      <c r="A370" s="566"/>
      <c r="B370" s="566" t="s">
        <v>1619</v>
      </c>
      <c r="C370" s="566"/>
      <c r="D370" s="566"/>
      <c r="E370" s="566"/>
      <c r="F370" s="566"/>
      <c r="G370" s="566" t="s">
        <v>2336</v>
      </c>
      <c r="H370" s="566" t="s">
        <v>813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813</v>
      </c>
      <c r="N370" s="566"/>
      <c r="O370" s="604"/>
      <c r="P370" s="566"/>
    </row>
    <row r="371" spans="1:16" customFormat="1" ht="12.75" customHeight="1" x14ac:dyDescent="0.3">
      <c r="A371" s="566"/>
      <c r="B371" s="566" t="s">
        <v>1621</v>
      </c>
      <c r="C371" s="566"/>
      <c r="D371" s="566"/>
      <c r="E371" s="566"/>
      <c r="F371" s="566"/>
      <c r="G371" s="566" t="s">
        <v>2337</v>
      </c>
      <c r="H371" s="566" t="s">
        <v>282</v>
      </c>
      <c r="I371" s="677"/>
      <c r="J371" s="294" t="str">
        <f>IF(ISBLANK(HLOOKUP(CaseName,CaseData,MATCH($G371,cases!$G$4:$G$2494,0),FALSE)),"",HLOOKUP(CaseName,CaseData,MATCH($G371,cases!$G$4:$G$2494,0),FALSE))</f>
        <v/>
      </c>
      <c r="K371" s="620">
        <f>(L373)/L372</f>
        <v>2007.4435670995119</v>
      </c>
      <c r="L371" s="550">
        <f t="shared" si="19"/>
        <v>2007.4435670995119</v>
      </c>
      <c r="M371" s="566" t="s">
        <v>282</v>
      </c>
      <c r="N371" s="566"/>
      <c r="O371" s="604"/>
      <c r="P371" s="566"/>
    </row>
    <row r="372" spans="1:16" customFormat="1" ht="12.75" customHeight="1" x14ac:dyDescent="0.3">
      <c r="A372" s="566"/>
      <c r="B372" s="566"/>
      <c r="C372" s="566" t="s">
        <v>1623</v>
      </c>
      <c r="D372" s="566"/>
      <c r="E372" s="566"/>
      <c r="F372" s="566"/>
      <c r="G372" s="566" t="s">
        <v>2338</v>
      </c>
      <c r="H372" s="566" t="s">
        <v>857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857</v>
      </c>
      <c r="N372" s="566"/>
      <c r="O372" s="604"/>
      <c r="P372" s="566"/>
    </row>
    <row r="373" spans="1:16" customFormat="1" ht="12.75" customHeight="1" x14ac:dyDescent="0.3">
      <c r="A373" s="566"/>
      <c r="B373" s="566"/>
      <c r="C373" s="566" t="s">
        <v>1625</v>
      </c>
      <c r="D373" s="566"/>
      <c r="E373" s="566"/>
      <c r="F373" s="566"/>
      <c r="G373" s="566" t="s">
        <v>2339</v>
      </c>
      <c r="H373" s="566" t="s">
        <v>888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888</v>
      </c>
      <c r="N373" s="566"/>
      <c r="O373" s="604"/>
      <c r="P373" s="566"/>
    </row>
    <row r="374" spans="1:16" s="633" customFormat="1" ht="12.75" customHeight="1" x14ac:dyDescent="0.3">
      <c r="A374" s="582" t="s">
        <v>1628</v>
      </c>
      <c r="B374" s="582"/>
      <c r="C374" s="582"/>
      <c r="D374" s="582"/>
      <c r="E374" s="582"/>
      <c r="F374" s="582"/>
      <c r="G374" s="581" t="s">
        <v>2340</v>
      </c>
      <c r="H374" s="581" t="s">
        <v>335</v>
      </c>
      <c r="I374" s="707"/>
      <c r="J374" s="294" t="str">
        <f>IF(ISBLANK(HLOOKUP(CaseName,CaseData,MATCH($G374,cases!$G$4:$G$2494,0),FALSE)),"",HLOOKUP(CaseName,CaseData,MATCH($G374,cases!$G$4:$G$2494,0),FALSE))</f>
        <v/>
      </c>
      <c r="K374" s="622">
        <f>(3/2)*(L382*L364)/(2*L362)</f>
        <v>9.6991320673020219E-7</v>
      </c>
      <c r="L374" s="706">
        <f t="shared" si="19"/>
        <v>9.6991320673020219E-7</v>
      </c>
      <c r="M374" s="581" t="s">
        <v>335</v>
      </c>
      <c r="N374" s="582"/>
      <c r="O374" s="663" t="s">
        <v>2341</v>
      </c>
      <c r="P374" s="582" t="s">
        <v>1630</v>
      </c>
    </row>
    <row r="375" spans="1:16" customFormat="1" ht="12.75" customHeight="1" x14ac:dyDescent="0.3">
      <c r="A375" s="566"/>
      <c r="B375" s="566" t="s">
        <v>1631</v>
      </c>
      <c r="C375" s="566"/>
      <c r="D375" s="566"/>
      <c r="E375" s="566"/>
      <c r="F375" s="566"/>
      <c r="G375" s="567" t="s">
        <v>2342</v>
      </c>
      <c r="H375" s="567" t="s">
        <v>1633</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1633</v>
      </c>
      <c r="N375" s="566"/>
      <c r="O375" s="604"/>
      <c r="P375" s="566"/>
    </row>
    <row r="376" spans="1:16" customFormat="1" ht="12.75" customHeight="1" x14ac:dyDescent="0.3">
      <c r="A376" s="566"/>
      <c r="B376" s="566" t="s">
        <v>1634</v>
      </c>
      <c r="C376" s="566"/>
      <c r="D376" s="566"/>
      <c r="E376" s="566"/>
      <c r="F376" s="566"/>
      <c r="G376" s="567" t="s">
        <v>2343</v>
      </c>
      <c r="H376" s="567" t="s">
        <v>291</v>
      </c>
      <c r="I376" s="677"/>
      <c r="J376" s="294" t="str">
        <f>IF(ISBLANK(HLOOKUP(CaseName,CaseData,MATCH($G376,cases!$G$4:$G$2494,0),FALSE)),"",HLOOKUP(CaseName,CaseData,MATCH($G376,cases!$G$4:$G$2494,0),FALSE))</f>
        <v/>
      </c>
      <c r="K376" s="620">
        <f>(2*L375*(L365-L377))/(2*L362)</f>
        <v>1.6488224508495776E-3</v>
      </c>
      <c r="L376" s="550">
        <f t="shared" si="19"/>
        <v>1.6488224508495776E-3</v>
      </c>
      <c r="M376" s="567" t="s">
        <v>291</v>
      </c>
      <c r="N376" s="566"/>
      <c r="O376" s="604" t="s">
        <v>1636</v>
      </c>
      <c r="P376" s="566"/>
    </row>
    <row r="377" spans="1:16" customFormat="1" ht="12.75" customHeight="1" x14ac:dyDescent="0.3">
      <c r="A377" s="566"/>
      <c r="B377" s="566" t="s">
        <v>1637</v>
      </c>
      <c r="C377" s="566"/>
      <c r="D377" s="566"/>
      <c r="E377" s="566"/>
      <c r="F377" s="566"/>
      <c r="G377" s="567" t="s">
        <v>2344</v>
      </c>
      <c r="H377" s="567" t="s">
        <v>866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866</v>
      </c>
      <c r="N377" s="566"/>
      <c r="O377" s="604"/>
      <c r="P377" s="566"/>
    </row>
    <row r="378" spans="1:16" customFormat="1" ht="12.75" customHeight="1" x14ac:dyDescent="0.3">
      <c r="A378" s="566"/>
      <c r="B378" s="566" t="s">
        <v>1639</v>
      </c>
      <c r="C378" s="566"/>
      <c r="D378" s="566"/>
      <c r="E378" s="566"/>
      <c r="F378" s="566"/>
      <c r="G378" s="567" t="s">
        <v>2345</v>
      </c>
      <c r="H378" s="567" t="s">
        <v>291</v>
      </c>
      <c r="I378" s="677"/>
      <c r="J378" s="294" t="str">
        <f>IF(ISBLANK(HLOOKUP(CaseName,CaseData,MATCH($G378,cases!$G$4:$G$2494,0),FALSE)),"",HLOOKUP(CaseName,CaseData,MATCH($G378,cases!$G$4:$G$2494,0),FALSE))</f>
        <v/>
      </c>
      <c r="K378" s="620">
        <f>DYNVISC.a/(Rho.a*DiffS.aC)</f>
        <v>279.68506291363371</v>
      </c>
      <c r="L378" s="550">
        <f t="shared" si="19"/>
        <v>279.68506291363371</v>
      </c>
      <c r="M378" s="567" t="s">
        <v>291</v>
      </c>
      <c r="N378" s="566"/>
      <c r="O378" s="604"/>
      <c r="P378" s="566"/>
    </row>
    <row r="379" spans="1:16" customFormat="1" ht="12.75" customHeight="1" x14ac:dyDescent="0.3">
      <c r="A379" s="566"/>
      <c r="B379" s="566"/>
      <c r="C379" s="566" t="s">
        <v>1641</v>
      </c>
      <c r="D379" s="566"/>
      <c r="E379" s="566"/>
      <c r="F379" s="566"/>
      <c r="G379" s="567" t="s">
        <v>2346</v>
      </c>
      <c r="H379" s="567" t="s">
        <v>291</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291</v>
      </c>
      <c r="N379" s="566"/>
      <c r="O379" s="604"/>
      <c r="P379" s="566"/>
    </row>
    <row r="380" spans="1:16" customFormat="1" ht="12.75" customHeight="1" x14ac:dyDescent="0.3">
      <c r="A380" s="566"/>
      <c r="B380" s="566"/>
      <c r="C380" s="566" t="s">
        <v>1643</v>
      </c>
      <c r="D380" s="566"/>
      <c r="E380" s="566"/>
      <c r="F380" s="566"/>
      <c r="G380" s="567" t="s">
        <v>2347</v>
      </c>
      <c r="H380" s="567" t="s">
        <v>291</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291</v>
      </c>
      <c r="N380" s="566"/>
      <c r="O380" s="604"/>
      <c r="P380" s="566"/>
    </row>
    <row r="381" spans="1:16" customFormat="1" ht="12.75" customHeight="1" x14ac:dyDescent="0.3">
      <c r="A381" s="566"/>
      <c r="B381" s="566"/>
      <c r="C381" s="566" t="s">
        <v>1645</v>
      </c>
      <c r="D381" s="566"/>
      <c r="E381" s="566"/>
      <c r="F381" s="566"/>
      <c r="G381" s="567" t="s">
        <v>2348</v>
      </c>
      <c r="H381" s="567" t="s">
        <v>291</v>
      </c>
      <c r="I381" s="677"/>
      <c r="J381" s="294" t="str">
        <f>IF(ISBLANK(HLOOKUP(CaseName,CaseData,MATCH($G381,cases!$G$4:$G$2494,0),FALSE)),"",HLOOKUP(CaseName,CaseData,MATCH($G381,cases!$G$4:$G$2494,0),FALSE))</f>
        <v/>
      </c>
      <c r="K381" s="620">
        <f>IF(L376&gt;L367,((L376-L367)/(L376-L367+2/3))^(3/2),0)</f>
        <v>0</v>
      </c>
      <c r="L381" s="550">
        <f t="shared" si="19"/>
        <v>0</v>
      </c>
      <c r="M381" s="567" t="s">
        <v>291</v>
      </c>
      <c r="N381" s="566"/>
      <c r="O381" s="604"/>
      <c r="P381" s="566"/>
    </row>
    <row r="382" spans="1:16" customFormat="1" ht="12.75" customHeight="1" x14ac:dyDescent="0.3">
      <c r="A382" s="566"/>
      <c r="B382" s="566"/>
      <c r="C382" s="566" t="s">
        <v>1647</v>
      </c>
      <c r="D382" s="566"/>
      <c r="E382" s="566"/>
      <c r="F382" s="566"/>
      <c r="G382" s="567" t="s">
        <v>2349</v>
      </c>
      <c r="H382" s="567" t="s">
        <v>291</v>
      </c>
      <c r="I382" s="677"/>
      <c r="J382" s="294" t="str">
        <f>IF(ISBLANK(HLOOKUP(CaseName,CaseData,MATCH($G382,cases!$G$4:$G$2494,0),FALSE)),"",HLOOKUP(CaseName,CaseData,MATCH($G382,cases!$G$4:$G$2494,0),FALSE))</f>
        <v/>
      </c>
      <c r="K382" s="620">
        <f>L379+L380+L381</f>
        <v>1.0841682986251494E-2</v>
      </c>
      <c r="L382" s="550">
        <f t="shared" si="19"/>
        <v>1.0841682986251494E-2</v>
      </c>
      <c r="M382" s="567" t="s">
        <v>291</v>
      </c>
      <c r="N382" s="566"/>
      <c r="O382" s="604"/>
      <c r="P382" s="566"/>
    </row>
    <row r="383" spans="1:16" customFormat="1" ht="12.75" customHeight="1" x14ac:dyDescent="0.3">
      <c r="A383" s="566" t="s">
        <v>1649</v>
      </c>
      <c r="B383" s="566"/>
      <c r="C383" s="566"/>
      <c r="D383" s="566"/>
      <c r="E383" s="566"/>
      <c r="F383" s="566"/>
      <c r="G383" s="567" t="s">
        <v>2350</v>
      </c>
      <c r="H383" s="567" t="s">
        <v>335</v>
      </c>
      <c r="I383" s="677"/>
      <c r="J383" s="294" t="str">
        <f>IF(ISBLANK(HLOOKUP(CaseName,CaseData,MATCH($G383,cases!$G$4:$G$2494,0),FALSE)),"",HLOOKUP(CaseName,CaseData,MATCH($G383,cases!$G$4:$G$2494,0),FALSE))</f>
        <v/>
      </c>
      <c r="K383" s="985">
        <f>((3/2)*(L393*L364)/(2*L362))</f>
        <v>1.7484098176372422E-7</v>
      </c>
      <c r="L383" s="550">
        <f t="shared" si="19"/>
        <v>1.7484098176372422E-7</v>
      </c>
      <c r="M383" s="567" t="s">
        <v>335</v>
      </c>
      <c r="N383" s="566"/>
      <c r="O383" s="604"/>
      <c r="P383" s="566"/>
    </row>
    <row r="384" spans="1:16" customFormat="1" ht="12.75" customHeight="1" x14ac:dyDescent="0.3">
      <c r="A384" s="566"/>
      <c r="B384" s="566" t="s">
        <v>1651</v>
      </c>
      <c r="C384" s="566"/>
      <c r="D384" s="566"/>
      <c r="E384" s="566"/>
      <c r="F384" s="566"/>
      <c r="G384" s="567" t="s">
        <v>2351</v>
      </c>
      <c r="H384" s="567" t="s">
        <v>291</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291</v>
      </c>
      <c r="N384" s="566"/>
      <c r="O384" s="604"/>
      <c r="P384" s="566"/>
    </row>
    <row r="385" spans="1:16" customFormat="1" ht="12.75" customHeight="1" x14ac:dyDescent="0.3">
      <c r="A385" s="566"/>
      <c r="B385" s="566" t="s">
        <v>1653</v>
      </c>
      <c r="C385" s="566"/>
      <c r="D385" s="566"/>
      <c r="E385" s="566"/>
      <c r="F385" s="566"/>
      <c r="G385" s="567" t="s">
        <v>2352</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1631</v>
      </c>
      <c r="C386" s="566"/>
      <c r="D386" s="566"/>
      <c r="E386" s="566"/>
      <c r="F386" s="566"/>
      <c r="G386" s="567" t="s">
        <v>2353</v>
      </c>
      <c r="H386" s="567" t="s">
        <v>1633</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1633</v>
      </c>
      <c r="N386" s="566"/>
      <c r="O386" s="604"/>
      <c r="P386" s="566"/>
    </row>
    <row r="387" spans="1:16" customFormat="1" ht="12.75" customHeight="1" x14ac:dyDescent="0.3">
      <c r="A387" s="566"/>
      <c r="B387" s="566" t="s">
        <v>1656</v>
      </c>
      <c r="C387" s="566"/>
      <c r="D387" s="566"/>
      <c r="E387" s="566"/>
      <c r="F387" s="566"/>
      <c r="G387" s="567" t="s">
        <v>2354</v>
      </c>
      <c r="H387" s="567" t="s">
        <v>291</v>
      </c>
      <c r="I387" s="677"/>
      <c r="J387" s="294" t="str">
        <f>IF(ISBLANK(HLOOKUP(CaseName,CaseData,MATCH($G387,cases!$G$4:$G$2494,0),FALSE)),"",HLOOKUP(CaseName,CaseData,MATCH($G387,cases!$G$4:$G$2494,0),FALSE))</f>
        <v/>
      </c>
      <c r="K387" s="620">
        <f>(2*L386*(L365-L388))/(2*L362)</f>
        <v>3.477364626846714E-3</v>
      </c>
      <c r="L387" s="550">
        <f t="shared" si="19"/>
        <v>3.477364626846714E-3</v>
      </c>
      <c r="M387" s="567" t="s">
        <v>291</v>
      </c>
      <c r="N387" s="566"/>
      <c r="O387" s="604"/>
      <c r="P387" s="566"/>
    </row>
    <row r="388" spans="1:16" customFormat="1" ht="12.75" customHeight="1" x14ac:dyDescent="0.3">
      <c r="A388" s="566"/>
      <c r="B388" s="566" t="s">
        <v>1637</v>
      </c>
      <c r="C388" s="566"/>
      <c r="D388" s="566"/>
      <c r="E388" s="566"/>
      <c r="F388" s="566"/>
      <c r="G388" s="567" t="s">
        <v>2355</v>
      </c>
      <c r="H388" s="567" t="s">
        <v>866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866</v>
      </c>
      <c r="N388" s="566"/>
      <c r="O388" s="604"/>
      <c r="P388" s="566"/>
    </row>
    <row r="389" spans="1:16" customFormat="1" ht="12.75" customHeight="1" x14ac:dyDescent="0.3">
      <c r="A389" s="566"/>
      <c r="B389" s="566" t="s">
        <v>1639</v>
      </c>
      <c r="C389" s="566"/>
      <c r="D389" s="566"/>
      <c r="E389" s="566"/>
      <c r="F389" s="566"/>
      <c r="G389" s="567" t="s">
        <v>2356</v>
      </c>
      <c r="H389" s="567" t="s">
        <v>291</v>
      </c>
      <c r="I389" s="677"/>
      <c r="J389" s="294" t="str">
        <f>IF(ISBLANK(HLOOKUP(CaseName,CaseData,MATCH($G389,cases!$G$4:$G$2494,0),FALSE)),"",HLOOKUP(CaseName,CaseData,MATCH($G389,cases!$G$4:$G$2494,0),FALSE))</f>
        <v/>
      </c>
      <c r="K389" s="620">
        <f>DYNVISC.a/(Rho.a*L385)</f>
        <v>18936.747269026804</v>
      </c>
      <c r="L389" s="550">
        <f t="shared" si="19"/>
        <v>18936.747269026804</v>
      </c>
      <c r="M389" s="567" t="s">
        <v>291</v>
      </c>
      <c r="N389" s="566"/>
      <c r="O389" s="604"/>
      <c r="P389" s="566"/>
    </row>
    <row r="390" spans="1:16" customFormat="1" ht="12.75" customHeight="1" x14ac:dyDescent="0.3">
      <c r="A390" s="566"/>
      <c r="B390" s="566"/>
      <c r="C390" s="566" t="s">
        <v>1641</v>
      </c>
      <c r="D390" s="566"/>
      <c r="E390" s="566"/>
      <c r="F390" s="566"/>
      <c r="G390" s="567" t="s">
        <v>2357</v>
      </c>
      <c r="H390" s="567" t="s">
        <v>291</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291</v>
      </c>
      <c r="N390" s="566"/>
      <c r="O390" s="604"/>
      <c r="P390" s="566"/>
    </row>
    <row r="391" spans="1:16" customFormat="1" ht="12.75" customHeight="1" x14ac:dyDescent="0.3">
      <c r="A391" s="566"/>
      <c r="B391" s="566"/>
      <c r="C391" s="566" t="s">
        <v>1643</v>
      </c>
      <c r="D391" s="566"/>
      <c r="E391" s="566"/>
      <c r="F391" s="566"/>
      <c r="G391" s="567" t="s">
        <v>2358</v>
      </c>
      <c r="H391" s="567" t="s">
        <v>291</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291</v>
      </c>
      <c r="N391" s="566"/>
      <c r="O391" s="604"/>
      <c r="P391" s="566"/>
    </row>
    <row r="392" spans="1:16" customFormat="1" ht="12.75" customHeight="1" x14ac:dyDescent="0.3">
      <c r="A392" s="566"/>
      <c r="B392" s="566"/>
      <c r="C392" s="566" t="s">
        <v>1645</v>
      </c>
      <c r="D392" s="566"/>
      <c r="E392" s="566"/>
      <c r="F392" s="566"/>
      <c r="G392" s="567" t="s">
        <v>2359</v>
      </c>
      <c r="H392" s="567" t="s">
        <v>291</v>
      </c>
      <c r="I392" s="677"/>
      <c r="J392" s="294" t="str">
        <f>IF(ISBLANK(HLOOKUP(CaseName,CaseData,MATCH($G392,cases!$G$4:$G$2494,0),FALSE)),"",HLOOKUP(CaseName,CaseData,MATCH($G392,cases!$G$4:$G$2494,0),FALSE))</f>
        <v/>
      </c>
      <c r="K392" s="620">
        <f>IF(L387&gt;L367,((L387-L367)/(L387-L367+2/3))^(3/2),0)</f>
        <v>0</v>
      </c>
      <c r="L392" s="550">
        <f t="shared" si="19"/>
        <v>0</v>
      </c>
      <c r="M392" s="567" t="s">
        <v>291</v>
      </c>
      <c r="N392" s="566"/>
      <c r="O392" s="604"/>
      <c r="P392" s="566"/>
    </row>
    <row r="393" spans="1:16" customFormat="1" ht="12.75" customHeight="1" x14ac:dyDescent="0.3">
      <c r="A393" s="566"/>
      <c r="B393" s="566"/>
      <c r="C393" s="566" t="s">
        <v>1647</v>
      </c>
      <c r="D393" s="566"/>
      <c r="E393" s="566"/>
      <c r="F393" s="566"/>
      <c r="G393" s="567" t="s">
        <v>2360</v>
      </c>
      <c r="H393" s="567" t="s">
        <v>291</v>
      </c>
      <c r="I393" s="677"/>
      <c r="J393" s="294" t="str">
        <f>IF(ISBLANK(HLOOKUP(CaseName,CaseData,MATCH($G393,cases!$G$4:$G$2494,0),FALSE)),"",HLOOKUP(CaseName,CaseData,MATCH($G393,cases!$G$4:$G$2494,0),FALSE))</f>
        <v/>
      </c>
      <c r="K393" s="620">
        <f>L390+L391+L392</f>
        <v>1.9543712614014967E-3</v>
      </c>
      <c r="L393" s="550">
        <f t="shared" si="19"/>
        <v>1.9543712614014967E-3</v>
      </c>
      <c r="M393" s="567" t="s">
        <v>291</v>
      </c>
      <c r="N393" s="566"/>
      <c r="O393" s="604"/>
      <c r="P393" s="566"/>
    </row>
    <row r="394" spans="1:16" customFormat="1" ht="12.75" customHeight="1" x14ac:dyDescent="0.3">
      <c r="A394" s="566" t="s">
        <v>1664</v>
      </c>
      <c r="B394" s="566"/>
      <c r="C394" s="566"/>
      <c r="D394" s="566"/>
      <c r="E394" s="566"/>
      <c r="F394" s="566"/>
      <c r="G394" s="567" t="s">
        <v>2361</v>
      </c>
      <c r="H394" s="567" t="s">
        <v>335</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335</v>
      </c>
      <c r="N394" s="566" t="s">
        <v>1666</v>
      </c>
      <c r="O394" s="604"/>
      <c r="P394" s="566"/>
    </row>
    <row r="395" spans="1:16" s="633" customFormat="1" ht="12.75" customHeight="1" x14ac:dyDescent="0.3">
      <c r="A395" s="582" t="s">
        <v>1667</v>
      </c>
      <c r="B395" s="582"/>
      <c r="C395" s="582"/>
      <c r="D395" s="582"/>
      <c r="E395" s="582"/>
      <c r="F395" s="582"/>
      <c r="G395" s="581" t="s">
        <v>2362</v>
      </c>
      <c r="H395" s="581" t="s">
        <v>335</v>
      </c>
      <c r="I395" s="707"/>
      <c r="J395" s="294" t="str">
        <f>IF(ISBLANK(HLOOKUP(CaseName,CaseData,MATCH($G395,cases!$G$4:$G$2494,0),FALSE)),"",HLOOKUP(CaseName,CaseData,MATCH($G395,cases!$G$4:$G$2494,0),FALSE))</f>
        <v/>
      </c>
      <c r="K395" s="622">
        <f>(L396*L19*L16)/(L5)</f>
        <v>4.3731612312275383E-7</v>
      </c>
      <c r="L395" s="706">
        <f t="shared" si="19"/>
        <v>4.3731612312275383E-7</v>
      </c>
      <c r="M395" s="581" t="s">
        <v>335</v>
      </c>
      <c r="N395" s="582"/>
      <c r="O395" s="663"/>
      <c r="P395" s="582"/>
    </row>
    <row r="396" spans="1:16" customFormat="1" ht="12.75" customHeight="1" x14ac:dyDescent="0.3">
      <c r="A396" s="566"/>
      <c r="B396" s="566" t="s">
        <v>1669</v>
      </c>
      <c r="C396" s="566"/>
      <c r="D396" s="566"/>
      <c r="E396" s="566"/>
      <c r="F396" s="566"/>
      <c r="G396" s="567" t="s">
        <v>2363</v>
      </c>
      <c r="H396" s="567" t="s">
        <v>866</v>
      </c>
      <c r="I396" s="677"/>
      <c r="J396" s="294" t="str">
        <f>IF(ISBLANK(HLOOKUP(CaseName,CaseData,MATCH($G396,cases!$G$4:$G$2494,0),FALSE)),"",HLOOKUP(CaseName,CaseData,MATCH($G396,cases!$G$4:$G$2494,0),FALSE))</f>
        <v/>
      </c>
      <c r="K396" s="620">
        <f>1/(L397+L398)+L377</f>
        <v>3.3451176812763074E-3</v>
      </c>
      <c r="L396" s="550">
        <f t="shared" si="19"/>
        <v>3.3451176812763074E-3</v>
      </c>
      <c r="M396" s="567" t="s">
        <v>866</v>
      </c>
      <c r="N396" s="566"/>
      <c r="O396" s="604"/>
      <c r="P396" s="566"/>
    </row>
    <row r="397" spans="1:16" customFormat="1" ht="12.75" customHeight="1" x14ac:dyDescent="0.3">
      <c r="A397" s="566"/>
      <c r="B397" s="566" t="s">
        <v>1671</v>
      </c>
      <c r="C397" s="566"/>
      <c r="D397" s="566"/>
      <c r="E397" s="566"/>
      <c r="F397" s="566"/>
      <c r="G397" s="567" t="s">
        <v>2364</v>
      </c>
      <c r="H397" s="567" t="s">
        <v>1673</v>
      </c>
      <c r="I397" s="677"/>
      <c r="J397" s="294" t="str">
        <f>IF(ISBLANK(HLOOKUP(CaseName,CaseData,MATCH($G397,cases!$G$4:$G$2494,0),FALSE)),"",HLOOKUP(CaseName,CaseData,MATCH($G397,cases!$G$4:$G$2494,0),FALSE))</f>
        <v/>
      </c>
      <c r="K397" s="620">
        <v>74</v>
      </c>
      <c r="L397" s="550">
        <f t="shared" si="19"/>
        <v>74</v>
      </c>
      <c r="M397" s="567" t="s">
        <v>1673</v>
      </c>
      <c r="N397" s="566"/>
      <c r="O397" s="604" t="s">
        <v>1674</v>
      </c>
      <c r="P397" s="566" t="s">
        <v>1675</v>
      </c>
    </row>
    <row r="398" spans="1:16" customFormat="1" ht="12.75" customHeight="1" x14ac:dyDescent="0.3">
      <c r="A398" s="566"/>
      <c r="B398" s="566" t="s">
        <v>1676</v>
      </c>
      <c r="C398" s="566"/>
      <c r="D398" s="566"/>
      <c r="E398" s="566"/>
      <c r="F398" s="566"/>
      <c r="G398" s="567" t="s">
        <v>2365</v>
      </c>
      <c r="H398" s="567" t="s">
        <v>1673</v>
      </c>
      <c r="I398" s="677"/>
      <c r="J398" s="294" t="str">
        <f>IF(ISBLANK(HLOOKUP(CaseName,CaseData,MATCH($G398,cases!$G$4:$G$2494,0),FALSE)),"",HLOOKUP(CaseName,CaseData,MATCH($G398,cases!$G$4:$G$2494,0),FALSE))</f>
        <v/>
      </c>
      <c r="K398" s="620">
        <f>1/(L399*(L400+L401+L405))</f>
        <v>225.00786261849854</v>
      </c>
      <c r="L398" s="550">
        <f t="shared" si="19"/>
        <v>225.00786261849854</v>
      </c>
      <c r="M398" s="567" t="s">
        <v>1673</v>
      </c>
      <c r="N398" s="566"/>
      <c r="O398" s="604" t="s">
        <v>1678</v>
      </c>
      <c r="P398" s="566"/>
    </row>
    <row r="399" spans="1:16" customFormat="1" ht="12.75" customHeight="1" x14ac:dyDescent="0.3">
      <c r="A399" s="566"/>
      <c r="B399" s="566"/>
      <c r="C399" s="566" t="s">
        <v>1679</v>
      </c>
      <c r="D399" s="566"/>
      <c r="E399" s="566"/>
      <c r="F399" s="566"/>
      <c r="G399" s="567" t="s">
        <v>2366</v>
      </c>
      <c r="H399" s="567" t="s">
        <v>866</v>
      </c>
      <c r="I399" s="677"/>
      <c r="J399" s="294" t="str">
        <f>IF(ISBLANK(HLOOKUP(CaseName,CaseData,MATCH($G399,cases!$G$4:$G$2494,0),FALSE)),"",HLOOKUP(CaseName,CaseData,MATCH($G399,cases!$G$4:$G$2494,0),FALSE))</f>
        <v/>
      </c>
      <c r="K399" s="620">
        <v>0.19</v>
      </c>
      <c r="L399" s="550">
        <f t="shared" si="19"/>
        <v>0.19</v>
      </c>
      <c r="M399" s="567" t="s">
        <v>866</v>
      </c>
      <c r="N399" s="566"/>
      <c r="O399" s="604" t="s">
        <v>1681</v>
      </c>
      <c r="P399" s="566" t="s">
        <v>1682</v>
      </c>
    </row>
    <row r="400" spans="1:16" customFormat="1" ht="12.75" customHeight="1" x14ac:dyDescent="0.3">
      <c r="A400" s="566"/>
      <c r="B400" s="566"/>
      <c r="C400" s="566" t="s">
        <v>1641</v>
      </c>
      <c r="D400" s="566"/>
      <c r="E400" s="566"/>
      <c r="F400" s="566"/>
      <c r="G400" s="567" t="s">
        <v>2367</v>
      </c>
      <c r="H400" s="567" t="s">
        <v>291</v>
      </c>
      <c r="I400" s="677"/>
      <c r="J400" s="294" t="str">
        <f>IF(ISBLANK(HLOOKUP(CaseName,CaseData,MATCH($G400,cases!$G$4:$G$2494,0),FALSE)),"",HLOOKUP(CaseName,CaseData,MATCH($G400,cases!$G$4:$G$2494,0),FALSE))</f>
        <v/>
      </c>
      <c r="K400" s="620">
        <f>L378^(-2/3)</f>
        <v>2.338229586631968E-2</v>
      </c>
      <c r="L400" s="550">
        <f t="shared" si="19"/>
        <v>2.338229586631968E-2</v>
      </c>
      <c r="M400" s="567" t="s">
        <v>291</v>
      </c>
      <c r="N400" s="566"/>
      <c r="O400" s="604" t="s">
        <v>1678</v>
      </c>
      <c r="P400" s="566" t="s">
        <v>1684</v>
      </c>
    </row>
    <row r="401" spans="1:16" customFormat="1" ht="12.75" customHeight="1" x14ac:dyDescent="0.3">
      <c r="A401" s="566"/>
      <c r="B401" s="566"/>
      <c r="C401" s="566" t="s">
        <v>1643</v>
      </c>
      <c r="D401" s="566"/>
      <c r="E401" s="566"/>
      <c r="F401" s="566"/>
      <c r="G401" s="567" t="s">
        <v>2368</v>
      </c>
      <c r="H401" s="567" t="s">
        <v>291</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291</v>
      </c>
      <c r="N401" s="566"/>
      <c r="O401" s="604" t="s">
        <v>1678</v>
      </c>
      <c r="P401" s="566" t="s">
        <v>1684</v>
      </c>
    </row>
    <row r="402" spans="1:16" customFormat="1" ht="12.75" customHeight="1" x14ac:dyDescent="0.3">
      <c r="A402" s="566"/>
      <c r="B402" s="566"/>
      <c r="C402" s="566"/>
      <c r="D402" s="566" t="s">
        <v>1686</v>
      </c>
      <c r="E402" s="566"/>
      <c r="F402" s="566"/>
      <c r="G402" s="567" t="s">
        <v>2369</v>
      </c>
      <c r="H402" s="567" t="s">
        <v>813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813</v>
      </c>
      <c r="N402" s="566"/>
      <c r="O402" s="604" t="s">
        <v>1674</v>
      </c>
      <c r="P402" s="566" t="s">
        <v>1684</v>
      </c>
    </row>
    <row r="403" spans="1:16" customFormat="1" ht="12.75" customHeight="1" x14ac:dyDescent="0.3">
      <c r="A403" s="566"/>
      <c r="B403" s="566"/>
      <c r="C403" s="566"/>
      <c r="D403" s="566" t="s">
        <v>1688</v>
      </c>
      <c r="E403" s="566"/>
      <c r="F403" s="566"/>
      <c r="G403" s="567" t="s">
        <v>2370</v>
      </c>
      <c r="H403" s="567" t="s">
        <v>813</v>
      </c>
      <c r="I403" s="677"/>
      <c r="J403" s="294" t="str">
        <f>IF(ISBLANK(HLOOKUP(CaseName,CaseData,MATCH($G403,cases!$G$4:$G$2494,0),FALSE)),"",HLOOKUP(CaseName,CaseData,MATCH($G403,cases!$G$4:$G$2494,0),FALSE))</f>
        <v/>
      </c>
      <c r="K403" s="620">
        <f>0.0005</f>
        <v>5.0000000000000001E-4</v>
      </c>
      <c r="L403" s="550">
        <f t="shared" si="20"/>
        <v>5.0000000000000001E-4</v>
      </c>
      <c r="M403" s="567" t="s">
        <v>813</v>
      </c>
      <c r="N403" s="566"/>
      <c r="O403" s="604" t="s">
        <v>1674</v>
      </c>
      <c r="P403" s="566" t="s">
        <v>1684</v>
      </c>
    </row>
    <row r="404" spans="1:16" customFormat="1" ht="12.75" customHeight="1" x14ac:dyDescent="0.3">
      <c r="A404" s="566"/>
      <c r="B404" s="566"/>
      <c r="C404" s="566"/>
      <c r="D404" s="566" t="s">
        <v>1690</v>
      </c>
      <c r="E404" s="566"/>
      <c r="F404" s="566"/>
      <c r="G404" s="567" t="s">
        <v>2371</v>
      </c>
      <c r="H404" s="567" t="s">
        <v>291</v>
      </c>
      <c r="I404" s="677"/>
      <c r="J404" s="294" t="str">
        <f>IF(ISBLANK(HLOOKUP(CaseName,CaseData,MATCH($G404,cases!$G$4:$G$2494,0),FALSE)),"",HLOOKUP(CaseName,CaseData,MATCH($G404,cases!$G$4:$G$2494,0),FALSE))</f>
        <v/>
      </c>
      <c r="K404" s="620">
        <v>0.01</v>
      </c>
      <c r="L404" s="550">
        <f t="shared" si="20"/>
        <v>0.01</v>
      </c>
      <c r="M404" s="567" t="s">
        <v>291</v>
      </c>
      <c r="N404" s="566"/>
      <c r="O404" s="604" t="s">
        <v>1674</v>
      </c>
      <c r="P404" s="566" t="s">
        <v>1692</v>
      </c>
    </row>
    <row r="405" spans="1:16" customFormat="1" ht="12.75" customHeight="1" x14ac:dyDescent="0.3">
      <c r="A405" s="566"/>
      <c r="B405" s="566"/>
      <c r="C405" s="566" t="s">
        <v>1645</v>
      </c>
      <c r="D405" s="566"/>
      <c r="E405" s="566"/>
      <c r="F405" s="566"/>
      <c r="G405" s="567" t="s">
        <v>2372</v>
      </c>
      <c r="H405" s="567" t="s">
        <v>291</v>
      </c>
      <c r="I405" s="677"/>
      <c r="J405" s="294" t="str">
        <f>IF(ISBLANK(HLOOKUP(CaseName,CaseData,MATCH($G405,cases!$G$4:$G$2494,0),FALSE)),"",HLOOKUP(CaseName,CaseData,MATCH($G405,cases!$G$4:$G$2494,0),FALSE))</f>
        <v/>
      </c>
      <c r="K405" s="620">
        <f>(L376/(L376+0.8))^2</f>
        <v>4.2303808415551069E-6</v>
      </c>
      <c r="L405" s="550">
        <f t="shared" si="20"/>
        <v>4.2303808415551069E-6</v>
      </c>
      <c r="M405" s="567" t="s">
        <v>291</v>
      </c>
      <c r="N405" s="566"/>
      <c r="O405" s="604" t="s">
        <v>1678</v>
      </c>
      <c r="P405" s="566" t="s">
        <v>1684</v>
      </c>
    </row>
    <row r="406" spans="1:16" customFormat="1" ht="12.75" customHeight="1" x14ac:dyDescent="0.3">
      <c r="A406" s="566" t="s">
        <v>1694</v>
      </c>
      <c r="B406" s="566"/>
      <c r="C406" s="566"/>
      <c r="D406" s="566"/>
      <c r="E406" s="566"/>
      <c r="F406" s="566"/>
      <c r="G406" s="567" t="s">
        <v>2373</v>
      </c>
      <c r="H406" s="567" t="s">
        <v>335</v>
      </c>
      <c r="I406" s="677"/>
      <c r="J406" s="294" t="str">
        <f>IF(ISBLANK(HLOOKUP(CaseName,CaseData,MATCH($G406,cases!$G$4:$G$2494,0),FALSE)),"",HLOOKUP(CaseName,CaseData,MATCH($G406,cases!$G$4:$G$2494,0),FALSE))</f>
        <v/>
      </c>
      <c r="K406" s="620">
        <f>(L407*L20*L16)/(L5)</f>
        <v>9.7181360693945289E-7</v>
      </c>
      <c r="L406" s="550">
        <f t="shared" si="20"/>
        <v>9.7181360693945289E-7</v>
      </c>
      <c r="M406" s="567" t="s">
        <v>335</v>
      </c>
      <c r="N406" s="566"/>
      <c r="O406" s="604"/>
      <c r="P406" s="566"/>
    </row>
    <row r="407" spans="1:16" customFormat="1" ht="12.75" customHeight="1" x14ac:dyDescent="0.3">
      <c r="A407" s="566"/>
      <c r="B407" s="566" t="s">
        <v>1669</v>
      </c>
      <c r="C407" s="566"/>
      <c r="D407" s="566"/>
      <c r="E407" s="566"/>
      <c r="F407" s="566"/>
      <c r="G407" s="567" t="s">
        <v>2374</v>
      </c>
      <c r="H407" s="567" t="s">
        <v>866</v>
      </c>
      <c r="I407" s="677"/>
      <c r="J407" s="294" t="str">
        <f>IF(ISBLANK(HLOOKUP(CaseName,CaseData,MATCH($G407,cases!$G$4:$G$2494,0),FALSE)),"",HLOOKUP(CaseName,CaseData,MATCH($G407,cases!$G$4:$G$2494,0),FALSE))</f>
        <v/>
      </c>
      <c r="K407" s="620">
        <f>1/(L408+L409)+L377</f>
        <v>3.3451176812763074E-3</v>
      </c>
      <c r="L407" s="550">
        <f t="shared" si="20"/>
        <v>3.3451176812763074E-3</v>
      </c>
      <c r="M407" s="567" t="s">
        <v>866</v>
      </c>
      <c r="N407" s="566"/>
      <c r="O407" s="604"/>
      <c r="P407" s="566"/>
    </row>
    <row r="408" spans="1:16" customFormat="1" ht="12.75" customHeight="1" x14ac:dyDescent="0.3">
      <c r="A408" s="566"/>
      <c r="B408" s="566" t="s">
        <v>1671</v>
      </c>
      <c r="C408" s="566"/>
      <c r="D408" s="566"/>
      <c r="E408" s="566"/>
      <c r="F408" s="566"/>
      <c r="G408" s="567" t="s">
        <v>2375</v>
      </c>
      <c r="H408" s="567" t="s">
        <v>1673</v>
      </c>
      <c r="I408" s="677"/>
      <c r="J408" s="294" t="str">
        <f>IF(ISBLANK(HLOOKUP(CaseName,CaseData,MATCH($G408,cases!$G$4:$G$2494,0),FALSE)),"",HLOOKUP(CaseName,CaseData,MATCH($G408,cases!$G$4:$G$2494,0),FALSE))</f>
        <v/>
      </c>
      <c r="K408" s="620">
        <v>74</v>
      </c>
      <c r="L408" s="550">
        <f t="shared" si="20"/>
        <v>74</v>
      </c>
      <c r="M408" s="567" t="s">
        <v>1673</v>
      </c>
      <c r="N408" s="566"/>
      <c r="O408" s="604"/>
      <c r="P408" s="566" t="s">
        <v>1675</v>
      </c>
    </row>
    <row r="409" spans="1:16" customFormat="1" ht="12.75" customHeight="1" x14ac:dyDescent="0.3">
      <c r="A409" s="566"/>
      <c r="B409" s="566" t="s">
        <v>1676</v>
      </c>
      <c r="C409" s="566"/>
      <c r="D409" s="566"/>
      <c r="E409" s="566"/>
      <c r="F409" s="566"/>
      <c r="G409" s="567" t="s">
        <v>2376</v>
      </c>
      <c r="H409" s="567" t="s">
        <v>1673</v>
      </c>
      <c r="I409" s="677"/>
      <c r="J409" s="294" t="str">
        <f>IF(ISBLANK(HLOOKUP(CaseName,CaseData,MATCH($G409,cases!$G$4:$G$2494,0),FALSE)),"",HLOOKUP(CaseName,CaseData,MATCH($G409,cases!$G$4:$G$2494,0),FALSE))</f>
        <v/>
      </c>
      <c r="K409" s="620">
        <f>1/(L410*(L411+L412+L416))</f>
        <v>225.00786261849854</v>
      </c>
      <c r="L409" s="550">
        <f t="shared" si="20"/>
        <v>225.00786261849854</v>
      </c>
      <c r="M409" s="567" t="s">
        <v>1673</v>
      </c>
      <c r="N409" s="566"/>
      <c r="O409" s="604"/>
      <c r="P409" s="566"/>
    </row>
    <row r="410" spans="1:16" customFormat="1" ht="12.75" customHeight="1" x14ac:dyDescent="0.3">
      <c r="A410" s="566"/>
      <c r="B410" s="566"/>
      <c r="C410" s="566" t="s">
        <v>1679</v>
      </c>
      <c r="D410" s="566"/>
      <c r="E410" s="566"/>
      <c r="F410" s="566"/>
      <c r="G410" s="567" t="s">
        <v>2377</v>
      </c>
      <c r="H410" s="567" t="s">
        <v>866</v>
      </c>
      <c r="I410" s="677"/>
      <c r="J410" s="294" t="str">
        <f>IF(ISBLANK(HLOOKUP(CaseName,CaseData,MATCH($G410,cases!$G$4:$G$2494,0),FALSE)),"",HLOOKUP(CaseName,CaseData,MATCH($G410,cases!$G$4:$G$2494,0),FALSE))</f>
        <v/>
      </c>
      <c r="K410" s="620">
        <v>0.19</v>
      </c>
      <c r="L410" s="550">
        <f t="shared" si="20"/>
        <v>0.19</v>
      </c>
      <c r="M410" s="567" t="s">
        <v>866</v>
      </c>
      <c r="N410" s="566"/>
      <c r="O410" s="604"/>
      <c r="P410" s="566" t="s">
        <v>1682</v>
      </c>
    </row>
    <row r="411" spans="1:16" customFormat="1" ht="12.75" customHeight="1" x14ac:dyDescent="0.3">
      <c r="A411" s="566"/>
      <c r="B411" s="566"/>
      <c r="C411" s="566" t="s">
        <v>1641</v>
      </c>
      <c r="D411" s="566"/>
      <c r="E411" s="566"/>
      <c r="F411" s="566"/>
      <c r="G411" s="567" t="s">
        <v>2378</v>
      </c>
      <c r="H411" s="567" t="s">
        <v>291</v>
      </c>
      <c r="I411" s="677"/>
      <c r="J411" s="294" t="str">
        <f>IF(ISBLANK(HLOOKUP(CaseName,CaseData,MATCH($G411,cases!$G$4:$G$2494,0),FALSE)),"",HLOOKUP(CaseName,CaseData,MATCH($G411,cases!$G$4:$G$2494,0),FALSE))</f>
        <v/>
      </c>
      <c r="K411" s="620">
        <f>L378^(-2/3)</f>
        <v>2.338229586631968E-2</v>
      </c>
      <c r="L411" s="550">
        <f t="shared" si="20"/>
        <v>2.338229586631968E-2</v>
      </c>
      <c r="M411" s="567" t="s">
        <v>291</v>
      </c>
      <c r="N411" s="566"/>
      <c r="O411" s="604"/>
      <c r="P411" s="566" t="s">
        <v>1684</v>
      </c>
    </row>
    <row r="412" spans="1:16" customFormat="1" ht="12.75" customHeight="1" x14ac:dyDescent="0.3">
      <c r="A412" s="566"/>
      <c r="B412" s="566"/>
      <c r="C412" s="566" t="s">
        <v>1643</v>
      </c>
      <c r="D412" s="566"/>
      <c r="E412" s="566"/>
      <c r="F412" s="566"/>
      <c r="G412" s="567" t="s">
        <v>2379</v>
      </c>
      <c r="H412" s="567" t="s">
        <v>291</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291</v>
      </c>
      <c r="N412" s="566"/>
      <c r="O412" s="604"/>
      <c r="P412" s="566" t="s">
        <v>1684</v>
      </c>
    </row>
    <row r="413" spans="1:16" customFormat="1" ht="12.75" customHeight="1" x14ac:dyDescent="0.3">
      <c r="A413" s="566"/>
      <c r="B413" s="566"/>
      <c r="C413" s="566"/>
      <c r="D413" s="566" t="s">
        <v>1686</v>
      </c>
      <c r="E413" s="566"/>
      <c r="F413" s="566"/>
      <c r="G413" s="567" t="s">
        <v>2380</v>
      </c>
      <c r="H413" s="567" t="s">
        <v>813</v>
      </c>
      <c r="I413" s="677"/>
      <c r="J413" s="294" t="str">
        <f>IF(ISBLANK(HLOOKUP(CaseName,CaseData,MATCH($G413,cases!$G$4:$G$2494,0),FALSE)),"",HLOOKUP(CaseName,CaseData,MATCH($G413,cases!$G$4:$G$2494,0),FALSE))</f>
        <v/>
      </c>
      <c r="K413" s="620">
        <f>1*10^-5</f>
        <v>1.0000000000000001E-5</v>
      </c>
      <c r="L413" s="550">
        <f t="shared" si="20"/>
        <v>1.0000000000000001E-5</v>
      </c>
      <c r="M413" s="567" t="s">
        <v>813</v>
      </c>
      <c r="N413" s="566"/>
      <c r="O413" s="604"/>
      <c r="P413" s="566" t="s">
        <v>1684</v>
      </c>
    </row>
    <row r="414" spans="1:16" customFormat="1" ht="12.75" customHeight="1" x14ac:dyDescent="0.3">
      <c r="A414" s="566"/>
      <c r="B414" s="566"/>
      <c r="C414" s="566"/>
      <c r="D414" s="566" t="s">
        <v>1688</v>
      </c>
      <c r="E414" s="566"/>
      <c r="F414" s="566"/>
      <c r="G414" s="567" t="s">
        <v>2381</v>
      </c>
      <c r="H414" s="567" t="s">
        <v>813</v>
      </c>
      <c r="I414" s="677"/>
      <c r="J414" s="294" t="str">
        <f>IF(ISBLANK(HLOOKUP(CaseName,CaseData,MATCH($G414,cases!$G$4:$G$2494,0),FALSE)),"",HLOOKUP(CaseName,CaseData,MATCH($G414,cases!$G$4:$G$2494,0),FALSE))</f>
        <v/>
      </c>
      <c r="K414" s="620">
        <f>0.0005</f>
        <v>5.0000000000000001E-4</v>
      </c>
      <c r="L414" s="550">
        <f t="shared" si="20"/>
        <v>5.0000000000000001E-4</v>
      </c>
      <c r="M414" s="567" t="s">
        <v>813</v>
      </c>
      <c r="N414" s="566"/>
      <c r="O414" s="604"/>
      <c r="P414" s="566" t="s">
        <v>1684</v>
      </c>
    </row>
    <row r="415" spans="1:16" customFormat="1" ht="12.75" customHeight="1" x14ac:dyDescent="0.3">
      <c r="A415" s="566"/>
      <c r="B415" s="566"/>
      <c r="C415" s="566"/>
      <c r="D415" s="566" t="s">
        <v>1690</v>
      </c>
      <c r="E415" s="566"/>
      <c r="F415" s="566"/>
      <c r="G415" s="567" t="s">
        <v>2382</v>
      </c>
      <c r="H415" s="567" t="s">
        <v>291</v>
      </c>
      <c r="I415" s="677"/>
      <c r="J415" s="294" t="str">
        <f>IF(ISBLANK(HLOOKUP(CaseName,CaseData,MATCH($G415,cases!$G$4:$G$2494,0),FALSE)),"",HLOOKUP(CaseName,CaseData,MATCH($G415,cases!$G$4:$G$2494,0),FALSE))</f>
        <v/>
      </c>
      <c r="K415" s="620">
        <v>0.01</v>
      </c>
      <c r="L415" s="550">
        <f t="shared" si="20"/>
        <v>0.01</v>
      </c>
      <c r="M415" s="567" t="s">
        <v>291</v>
      </c>
      <c r="N415" s="566"/>
      <c r="O415" s="604"/>
      <c r="P415" s="566" t="s">
        <v>1684</v>
      </c>
    </row>
    <row r="416" spans="1:16" customFormat="1" ht="12.75" customHeight="1" x14ac:dyDescent="0.3">
      <c r="A416" s="566"/>
      <c r="B416" s="566"/>
      <c r="C416" s="566" t="s">
        <v>1645</v>
      </c>
      <c r="D416" s="566"/>
      <c r="E416" s="566"/>
      <c r="F416" s="566"/>
      <c r="G416" s="567" t="s">
        <v>2383</v>
      </c>
      <c r="H416" s="567" t="s">
        <v>291</v>
      </c>
      <c r="I416" s="677"/>
      <c r="J416" s="294" t="str">
        <f>IF(ISBLANK(HLOOKUP(CaseName,CaseData,MATCH($G416,cases!$G$4:$G$2494,0),FALSE)),"",HLOOKUP(CaseName,CaseData,MATCH($G416,cases!$G$4:$G$2494,0),FALSE))</f>
        <v/>
      </c>
      <c r="K416" s="620">
        <f>(L376/(L376+0.8))^2</f>
        <v>4.2303808415551069E-6</v>
      </c>
      <c r="L416" s="550">
        <f t="shared" si="20"/>
        <v>4.2303808415551069E-6</v>
      </c>
      <c r="M416" s="567" t="s">
        <v>291</v>
      </c>
      <c r="N416" s="566"/>
      <c r="O416" s="604"/>
      <c r="P416" s="566" t="s">
        <v>1684</v>
      </c>
    </row>
    <row r="417" spans="1:16" customFormat="1" ht="12.75" customHeight="1" x14ac:dyDescent="0.3">
      <c r="A417" s="566" t="s">
        <v>1706</v>
      </c>
      <c r="B417" s="566"/>
      <c r="C417" s="566"/>
      <c r="D417" s="566"/>
      <c r="E417" s="566"/>
      <c r="F417" s="566"/>
      <c r="G417" s="567" t="s">
        <v>2384</v>
      </c>
      <c r="H417" s="567" t="s">
        <v>335</v>
      </c>
      <c r="I417" s="677"/>
      <c r="J417" s="294" t="str">
        <f>IF(ISBLANK(HLOOKUP(CaseName,CaseData,MATCH($G417,cases!$G$4:$G$2494,0),FALSE)),"",HLOOKUP(CaseName,CaseData,MATCH($G417,cases!$G$4:$G$2494,0),FALSE))</f>
        <v/>
      </c>
      <c r="K417" s="620">
        <f>(L418*L21*L16)/(L5)</f>
        <v>1.6196893448990878E-7</v>
      </c>
      <c r="L417" s="550">
        <f t="shared" si="20"/>
        <v>1.6196893448990878E-7</v>
      </c>
      <c r="M417" s="567" t="s">
        <v>335</v>
      </c>
      <c r="N417" s="566"/>
      <c r="O417" s="604"/>
      <c r="P417" s="566"/>
    </row>
    <row r="418" spans="1:16" customFormat="1" ht="12.75" customHeight="1" x14ac:dyDescent="0.3">
      <c r="A418" s="566"/>
      <c r="B418" s="566" t="s">
        <v>1669</v>
      </c>
      <c r="C418" s="566"/>
      <c r="D418" s="566"/>
      <c r="E418" s="566"/>
      <c r="F418" s="566"/>
      <c r="G418" s="567" t="s">
        <v>2385</v>
      </c>
      <c r="H418" s="567" t="s">
        <v>866</v>
      </c>
      <c r="I418" s="677"/>
      <c r="J418" s="294" t="str">
        <f>IF(ISBLANK(HLOOKUP(CaseName,CaseData,MATCH($G418,cases!$G$4:$G$2494,0),FALSE)),"",HLOOKUP(CaseName,CaseData,MATCH($G418,cases!$G$4:$G$2494,0),FALSE))</f>
        <v/>
      </c>
      <c r="K418" s="620">
        <f>1/(L419+L420)+L377</f>
        <v>3.3451176812763074E-3</v>
      </c>
      <c r="L418" s="550">
        <f t="shared" si="20"/>
        <v>3.3451176812763074E-3</v>
      </c>
      <c r="M418" s="567" t="s">
        <v>866</v>
      </c>
      <c r="N418" s="566"/>
      <c r="O418" s="604"/>
      <c r="P418" s="566"/>
    </row>
    <row r="419" spans="1:16" customFormat="1" ht="12.75" customHeight="1" x14ac:dyDescent="0.3">
      <c r="A419" s="566"/>
      <c r="B419" s="566" t="s">
        <v>1671</v>
      </c>
      <c r="C419" s="566"/>
      <c r="D419" s="566"/>
      <c r="E419" s="566"/>
      <c r="F419" s="566"/>
      <c r="G419" s="567" t="s">
        <v>2386</v>
      </c>
      <c r="H419" s="567" t="s">
        <v>1673</v>
      </c>
      <c r="I419" s="677"/>
      <c r="J419" s="294" t="str">
        <f>IF(ISBLANK(HLOOKUP(CaseName,CaseData,MATCH($G419,cases!$G$4:$G$2494,0),FALSE)),"",HLOOKUP(CaseName,CaseData,MATCH($G419,cases!$G$4:$G$2494,0),FALSE))</f>
        <v/>
      </c>
      <c r="K419" s="620">
        <v>74</v>
      </c>
      <c r="L419" s="550">
        <f t="shared" si="20"/>
        <v>74</v>
      </c>
      <c r="M419" s="567" t="s">
        <v>1673</v>
      </c>
      <c r="N419" s="566"/>
      <c r="O419" s="604"/>
      <c r="P419" s="566" t="s">
        <v>1682</v>
      </c>
    </row>
    <row r="420" spans="1:16" customFormat="1" ht="12.75" customHeight="1" x14ac:dyDescent="0.3">
      <c r="A420" s="566"/>
      <c r="B420" s="566" t="s">
        <v>1676</v>
      </c>
      <c r="C420" s="566"/>
      <c r="D420" s="566"/>
      <c r="E420" s="566"/>
      <c r="F420" s="566"/>
      <c r="G420" s="567" t="s">
        <v>2387</v>
      </c>
      <c r="H420" s="567" t="s">
        <v>1673</v>
      </c>
      <c r="I420" s="677"/>
      <c r="J420" s="294" t="str">
        <f>IF(ISBLANK(HLOOKUP(CaseName,CaseData,MATCH($G420,cases!$G$4:$G$2494,0),FALSE)),"",HLOOKUP(CaseName,CaseData,MATCH($G420,cases!$G$4:$G$2494,0),FALSE))</f>
        <v/>
      </c>
      <c r="K420" s="620">
        <f>1/(L421*(L422+L423+L427))</f>
        <v>225.00786261849854</v>
      </c>
      <c r="L420" s="550">
        <f t="shared" si="20"/>
        <v>225.00786261849854</v>
      </c>
      <c r="M420" s="567" t="s">
        <v>1673</v>
      </c>
      <c r="N420" s="566"/>
      <c r="O420" s="604"/>
      <c r="P420" s="566"/>
    </row>
    <row r="421" spans="1:16" customFormat="1" ht="12.75" customHeight="1" x14ac:dyDescent="0.3">
      <c r="A421" s="566"/>
      <c r="B421" s="566"/>
      <c r="C421" s="566" t="s">
        <v>1679</v>
      </c>
      <c r="D421" s="566"/>
      <c r="E421" s="566"/>
      <c r="F421" s="566"/>
      <c r="G421" s="567" t="s">
        <v>2388</v>
      </c>
      <c r="H421" s="567" t="s">
        <v>866</v>
      </c>
      <c r="I421" s="677"/>
      <c r="J421" s="294" t="str">
        <f>IF(ISBLANK(HLOOKUP(CaseName,CaseData,MATCH($G421,cases!$G$4:$G$2494,0),FALSE)),"",HLOOKUP(CaseName,CaseData,MATCH($G421,cases!$G$4:$G$2494,0),FALSE))</f>
        <v/>
      </c>
      <c r="K421" s="620">
        <v>0.19</v>
      </c>
      <c r="L421" s="550">
        <f t="shared" si="20"/>
        <v>0.19</v>
      </c>
      <c r="M421" s="567" t="s">
        <v>866</v>
      </c>
      <c r="N421" s="566"/>
      <c r="O421" s="604"/>
      <c r="P421" s="566" t="s">
        <v>1682</v>
      </c>
    </row>
    <row r="422" spans="1:16" customFormat="1" ht="12.75" customHeight="1" x14ac:dyDescent="0.3">
      <c r="A422" s="566"/>
      <c r="B422" s="566"/>
      <c r="C422" s="566" t="s">
        <v>1641</v>
      </c>
      <c r="D422" s="566"/>
      <c r="E422" s="566"/>
      <c r="F422" s="566"/>
      <c r="G422" s="567" t="s">
        <v>2389</v>
      </c>
      <c r="H422" s="567" t="s">
        <v>291</v>
      </c>
      <c r="I422" s="677"/>
      <c r="J422" s="294" t="str">
        <f>IF(ISBLANK(HLOOKUP(CaseName,CaseData,MATCH($G422,cases!$G$4:$G$2494,0),FALSE)),"",HLOOKUP(CaseName,CaseData,MATCH($G422,cases!$G$4:$G$2494,0),FALSE))</f>
        <v/>
      </c>
      <c r="K422" s="620">
        <f>L378^(-2/3)</f>
        <v>2.338229586631968E-2</v>
      </c>
      <c r="L422" s="550">
        <f t="shared" si="20"/>
        <v>2.338229586631968E-2</v>
      </c>
      <c r="M422" s="567" t="s">
        <v>291</v>
      </c>
      <c r="N422" s="566"/>
      <c r="O422" s="604"/>
      <c r="P422" s="566" t="s">
        <v>1684</v>
      </c>
    </row>
    <row r="423" spans="1:16" customFormat="1" ht="12.75" customHeight="1" x14ac:dyDescent="0.3">
      <c r="A423" s="566"/>
      <c r="B423" s="566"/>
      <c r="C423" s="566" t="s">
        <v>1643</v>
      </c>
      <c r="D423" s="566"/>
      <c r="E423" s="566"/>
      <c r="F423" s="566"/>
      <c r="G423" s="567" t="s">
        <v>2390</v>
      </c>
      <c r="H423" s="567" t="s">
        <v>291</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291</v>
      </c>
      <c r="N423" s="566"/>
      <c r="O423" s="604"/>
      <c r="P423" s="566" t="s">
        <v>1684</v>
      </c>
    </row>
    <row r="424" spans="1:16" customFormat="1" ht="12.75" customHeight="1" x14ac:dyDescent="0.3">
      <c r="A424" s="566"/>
      <c r="B424" s="566"/>
      <c r="C424" s="566"/>
      <c r="D424" s="566" t="s">
        <v>1686</v>
      </c>
      <c r="E424" s="566"/>
      <c r="F424" s="566"/>
      <c r="G424" s="567" t="s">
        <v>2391</v>
      </c>
      <c r="H424" s="567" t="s">
        <v>813</v>
      </c>
      <c r="I424" s="677"/>
      <c r="J424" s="294" t="str">
        <f>IF(ISBLANK(HLOOKUP(CaseName,CaseData,MATCH($G424,cases!$G$4:$G$2494,0),FALSE)),"",HLOOKUP(CaseName,CaseData,MATCH($G424,cases!$G$4:$G$2494,0),FALSE))</f>
        <v/>
      </c>
      <c r="K424" s="620">
        <f>1*10^-5</f>
        <v>1.0000000000000001E-5</v>
      </c>
      <c r="L424" s="550">
        <f t="shared" si="20"/>
        <v>1.0000000000000001E-5</v>
      </c>
      <c r="M424" s="567" t="s">
        <v>813</v>
      </c>
      <c r="N424" s="566"/>
      <c r="O424" s="604"/>
      <c r="P424" s="566" t="s">
        <v>1684</v>
      </c>
    </row>
    <row r="425" spans="1:16" customFormat="1" ht="12.75" customHeight="1" x14ac:dyDescent="0.3">
      <c r="A425" s="566"/>
      <c r="B425" s="566"/>
      <c r="C425" s="566"/>
      <c r="D425" s="566" t="s">
        <v>1688</v>
      </c>
      <c r="E425" s="566"/>
      <c r="F425" s="566"/>
      <c r="G425" s="567" t="s">
        <v>2392</v>
      </c>
      <c r="H425" s="567" t="s">
        <v>813</v>
      </c>
      <c r="I425" s="677"/>
      <c r="J425" s="294" t="str">
        <f>IF(ISBLANK(HLOOKUP(CaseName,CaseData,MATCH($G425,cases!$G$4:$G$2494,0),FALSE)),"",HLOOKUP(CaseName,CaseData,MATCH($G425,cases!$G$4:$G$2494,0),FALSE))</f>
        <v/>
      </c>
      <c r="K425" s="620">
        <f>0.0005</f>
        <v>5.0000000000000001E-4</v>
      </c>
      <c r="L425" s="550">
        <f t="shared" si="20"/>
        <v>5.0000000000000001E-4</v>
      </c>
      <c r="M425" s="567" t="s">
        <v>813</v>
      </c>
      <c r="N425" s="566"/>
      <c r="O425" s="604"/>
      <c r="P425" s="566" t="s">
        <v>1684</v>
      </c>
    </row>
    <row r="426" spans="1:16" customFormat="1" ht="12.75" customHeight="1" x14ac:dyDescent="0.3">
      <c r="A426" s="566"/>
      <c r="B426" s="566"/>
      <c r="C426" s="566"/>
      <c r="D426" s="566" t="s">
        <v>1690</v>
      </c>
      <c r="E426" s="566"/>
      <c r="F426" s="566"/>
      <c r="G426" s="567" t="s">
        <v>2393</v>
      </c>
      <c r="H426" s="567" t="s">
        <v>291</v>
      </c>
      <c r="I426" s="677"/>
      <c r="J426" s="294" t="str">
        <f>IF(ISBLANK(HLOOKUP(CaseName,CaseData,MATCH($G426,cases!$G$4:$G$2494,0),FALSE)),"",HLOOKUP(CaseName,CaseData,MATCH($G426,cases!$G$4:$G$2494,0),FALSE))</f>
        <v/>
      </c>
      <c r="K426" s="620">
        <v>0.01</v>
      </c>
      <c r="L426" s="550">
        <f t="shared" si="20"/>
        <v>0.01</v>
      </c>
      <c r="M426" s="567" t="s">
        <v>291</v>
      </c>
      <c r="N426" s="566"/>
      <c r="O426" s="604"/>
      <c r="P426" s="566" t="s">
        <v>1684</v>
      </c>
    </row>
    <row r="427" spans="1:16" customFormat="1" ht="12.75" customHeight="1" x14ac:dyDescent="0.3">
      <c r="A427" s="566"/>
      <c r="B427" s="566"/>
      <c r="C427" s="566" t="s">
        <v>1645</v>
      </c>
      <c r="D427" s="566"/>
      <c r="E427" s="566"/>
      <c r="F427" s="566"/>
      <c r="G427" s="567" t="s">
        <v>2394</v>
      </c>
      <c r="H427" s="567" t="s">
        <v>291</v>
      </c>
      <c r="I427" s="677"/>
      <c r="J427" s="294" t="str">
        <f>IF(ISBLANK(HLOOKUP(CaseName,CaseData,MATCH($G427,cases!$G$4:$G$2494,0),FALSE)),"",HLOOKUP(CaseName,CaseData,MATCH($G427,cases!$G$4:$G$2494,0),FALSE))</f>
        <v/>
      </c>
      <c r="K427" s="620">
        <f>(L376/(L376+0.8))^2</f>
        <v>4.2303808415551069E-6</v>
      </c>
      <c r="L427" s="550">
        <f t="shared" si="20"/>
        <v>4.2303808415551069E-6</v>
      </c>
      <c r="M427" s="567" t="s">
        <v>291</v>
      </c>
      <c r="N427" s="566"/>
      <c r="O427" s="604"/>
      <c r="P427" s="566" t="s">
        <v>1684</v>
      </c>
    </row>
    <row r="428" spans="1:16" customFormat="1" ht="12.75" customHeight="1" x14ac:dyDescent="0.3">
      <c r="A428" s="566" t="s">
        <v>1718</v>
      </c>
      <c r="B428" s="566"/>
      <c r="C428" s="566"/>
      <c r="D428" s="566"/>
      <c r="E428" s="566"/>
      <c r="F428" s="566"/>
      <c r="G428" s="567" t="s">
        <v>2395</v>
      </c>
      <c r="H428" s="567" t="s">
        <v>335</v>
      </c>
      <c r="I428" s="677"/>
      <c r="J428" s="294" t="str">
        <f>IF(ISBLANK(HLOOKUP(CaseName,CaseData,MATCH($G428,cases!$G$4:$G$2494,0),FALSE)),"",HLOOKUP(CaseName,CaseData,MATCH($G428,cases!$G$4:$G$2494,0),FALSE))</f>
        <v/>
      </c>
      <c r="K428" s="620">
        <f>(L429*L19*L16)/(L5)</f>
        <v>3.5897025807819397E-8</v>
      </c>
      <c r="L428" s="550">
        <f t="shared" si="20"/>
        <v>3.5897025807819397E-8</v>
      </c>
      <c r="M428" s="567" t="s">
        <v>335</v>
      </c>
      <c r="N428" s="566"/>
      <c r="O428" s="604"/>
      <c r="P428" s="566"/>
    </row>
    <row r="429" spans="1:16" customFormat="1" ht="12.75" customHeight="1" x14ac:dyDescent="0.3">
      <c r="A429" s="566"/>
      <c r="B429" s="566" t="s">
        <v>1669</v>
      </c>
      <c r="C429" s="566"/>
      <c r="D429" s="566"/>
      <c r="E429" s="566"/>
      <c r="F429" s="566"/>
      <c r="G429" s="567" t="s">
        <v>2396</v>
      </c>
      <c r="H429" s="567" t="s">
        <v>866</v>
      </c>
      <c r="I429" s="677"/>
      <c r="J429" s="294" t="str">
        <f>IF(ISBLANK(HLOOKUP(CaseName,CaseData,MATCH($G429,cases!$G$4:$G$2494,0),FALSE)),"",HLOOKUP(CaseName,CaseData,MATCH($G429,cases!$G$4:$G$2494,0),FALSE))</f>
        <v/>
      </c>
      <c r="K429" s="620">
        <f>1/(L397+L430)+L388</f>
        <v>2.7458346350807292E-4</v>
      </c>
      <c r="L429" s="550">
        <f t="shared" si="20"/>
        <v>2.7458346350807292E-4</v>
      </c>
      <c r="M429" s="567" t="s">
        <v>866</v>
      </c>
      <c r="N429" s="566"/>
      <c r="O429" s="604"/>
      <c r="P429" s="566"/>
    </row>
    <row r="430" spans="1:16" customFormat="1" ht="12.75" customHeight="1" x14ac:dyDescent="0.3">
      <c r="A430" s="566"/>
      <c r="B430" s="566" t="s">
        <v>1676</v>
      </c>
      <c r="C430" s="566"/>
      <c r="D430" s="566"/>
      <c r="E430" s="566"/>
      <c r="F430" s="566"/>
      <c r="G430" s="567" t="s">
        <v>2397</v>
      </c>
      <c r="H430" s="567" t="s">
        <v>1673</v>
      </c>
      <c r="I430" s="677"/>
      <c r="J430" s="294" t="str">
        <f>IF(ISBLANK(HLOOKUP(CaseName,CaseData,MATCH($G430,cases!$G$4:$G$2494,0),FALSE)),"",HLOOKUP(CaseName,CaseData,MATCH($G430,cases!$G$4:$G$2494,0),FALSE))</f>
        <v/>
      </c>
      <c r="K430" s="620">
        <f>1/(L399*(L431+L432+L433))</f>
        <v>3588.2456859546251</v>
      </c>
      <c r="L430" s="550">
        <f t="shared" si="20"/>
        <v>3588.2456859546251</v>
      </c>
      <c r="M430" s="567" t="s">
        <v>1673</v>
      </c>
      <c r="N430" s="566"/>
      <c r="O430" s="604"/>
      <c r="P430" s="566"/>
    </row>
    <row r="431" spans="1:16" customFormat="1" ht="12.75" customHeight="1" x14ac:dyDescent="0.3">
      <c r="A431" s="566"/>
      <c r="B431" s="566"/>
      <c r="C431" s="566" t="s">
        <v>1641</v>
      </c>
      <c r="D431" s="566"/>
      <c r="E431" s="566"/>
      <c r="F431" s="566"/>
      <c r="G431" s="567" t="s">
        <v>2398</v>
      </c>
      <c r="H431" s="567" t="s">
        <v>291</v>
      </c>
      <c r="I431" s="677"/>
      <c r="J431" s="294" t="str">
        <f>IF(ISBLANK(HLOOKUP(CaseName,CaseData,MATCH($G431,cases!$G$4:$G$2494,0),FALSE)),"",HLOOKUP(CaseName,CaseData,MATCH($G431,cases!$G$4:$G$2494,0),FALSE))</f>
        <v/>
      </c>
      <c r="K431" s="620">
        <f>L389^(-2/3)</f>
        <v>1.4075475589468128E-3</v>
      </c>
      <c r="L431" s="550">
        <f t="shared" si="20"/>
        <v>1.4075475589468128E-3</v>
      </c>
      <c r="M431" s="567" t="s">
        <v>291</v>
      </c>
      <c r="N431" s="566"/>
      <c r="O431" s="604"/>
      <c r="P431" s="566" t="s">
        <v>1684</v>
      </c>
    </row>
    <row r="432" spans="1:16" customFormat="1" ht="12.75" customHeight="1" x14ac:dyDescent="0.3">
      <c r="A432" s="566"/>
      <c r="B432" s="566"/>
      <c r="C432" s="566" t="s">
        <v>1643</v>
      </c>
      <c r="D432" s="566"/>
      <c r="E432" s="566"/>
      <c r="F432" s="566"/>
      <c r="G432" s="567" t="s">
        <v>2399</v>
      </c>
      <c r="H432" s="567" t="s">
        <v>291</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291</v>
      </c>
      <c r="N432" s="566"/>
      <c r="O432" s="604"/>
      <c r="P432" s="566" t="s">
        <v>1684</v>
      </c>
    </row>
    <row r="433" spans="1:16" customFormat="1" ht="12.75" customHeight="1" x14ac:dyDescent="0.3">
      <c r="A433" s="566"/>
      <c r="B433" s="566"/>
      <c r="C433" s="566" t="s">
        <v>1645</v>
      </c>
      <c r="D433" s="566"/>
      <c r="E433" s="566"/>
      <c r="F433" s="566"/>
      <c r="G433" s="567" t="s">
        <v>2400</v>
      </c>
      <c r="H433" s="567" t="s">
        <v>291</v>
      </c>
      <c r="I433" s="677"/>
      <c r="J433" s="294" t="str">
        <f>IF(ISBLANK(HLOOKUP(CaseName,CaseData,MATCH($G433,cases!$G$4:$G$2494,0),FALSE)),"",HLOOKUP(CaseName,CaseData,MATCH($G433,cases!$G$4:$G$2494,0),FALSE))</f>
        <v/>
      </c>
      <c r="K433" s="620">
        <f>(L387/(L387+0.8))^2</f>
        <v>1.8730663904199339E-5</v>
      </c>
      <c r="L433" s="550">
        <f t="shared" si="20"/>
        <v>1.8730663904199339E-5</v>
      </c>
      <c r="M433" s="567" t="s">
        <v>291</v>
      </c>
      <c r="N433" s="566"/>
      <c r="O433" s="604"/>
      <c r="P433" s="566" t="s">
        <v>1684</v>
      </c>
    </row>
    <row r="434" spans="1:16" customFormat="1" ht="12.75" customHeight="1" x14ac:dyDescent="0.3">
      <c r="A434" s="566" t="s">
        <v>1725</v>
      </c>
      <c r="B434" s="566"/>
      <c r="C434" s="566"/>
      <c r="D434" s="566"/>
      <c r="E434" s="566"/>
      <c r="F434" s="566"/>
      <c r="G434" s="567" t="s">
        <v>2401</v>
      </c>
      <c r="H434" s="567" t="s">
        <v>335</v>
      </c>
      <c r="I434" s="677"/>
      <c r="J434" s="294" t="str">
        <f>IF(ISBLANK(HLOOKUP(CaseName,CaseData,MATCH($G434,cases!$G$4:$G$2494,0),FALSE)),"",HLOOKUP(CaseName,CaseData,MATCH($G434,cases!$G$4:$G$2494,0),FALSE))</f>
        <v/>
      </c>
      <c r="K434" s="620">
        <f>(L435*L20*L16)/(L5)</f>
        <v>7.9771168461820873E-8</v>
      </c>
      <c r="L434" s="550">
        <f t="shared" ref="L434:L465" si="21">IF(ISBLANK(I434),IF(ISNUMBER(J434)=FALSE,K434,J434),I434)</f>
        <v>7.9771168461820873E-8</v>
      </c>
      <c r="M434" s="567" t="s">
        <v>335</v>
      </c>
      <c r="N434" s="566"/>
      <c r="O434" s="604"/>
      <c r="P434" s="566"/>
    </row>
    <row r="435" spans="1:16" customFormat="1" ht="12.75" customHeight="1" x14ac:dyDescent="0.3">
      <c r="A435" s="566"/>
      <c r="B435" s="566" t="s">
        <v>1669</v>
      </c>
      <c r="C435" s="566"/>
      <c r="D435" s="566"/>
      <c r="E435" s="566"/>
      <c r="F435" s="566"/>
      <c r="G435" s="567" t="s">
        <v>2402</v>
      </c>
      <c r="H435" s="567" t="s">
        <v>866</v>
      </c>
      <c r="I435" s="677"/>
      <c r="J435" s="294" t="str">
        <f>IF(ISBLANK(HLOOKUP(CaseName,CaseData,MATCH($G435,cases!$G$4:$G$2494,0),FALSE)),"",HLOOKUP(CaseName,CaseData,MATCH($G435,cases!$G$4:$G$2494,0),FALSE))</f>
        <v/>
      </c>
      <c r="K435" s="620">
        <f>1/(L408+L436)+L388</f>
        <v>2.7458346350807292E-4</v>
      </c>
      <c r="L435" s="550">
        <f t="shared" si="21"/>
        <v>2.7458346350807292E-4</v>
      </c>
      <c r="M435" s="567" t="s">
        <v>866</v>
      </c>
      <c r="N435" s="566"/>
      <c r="O435" s="604"/>
      <c r="P435" s="566"/>
    </row>
    <row r="436" spans="1:16" customFormat="1" ht="12.75" customHeight="1" x14ac:dyDescent="0.3">
      <c r="A436" s="566"/>
      <c r="B436" s="566" t="s">
        <v>1676</v>
      </c>
      <c r="C436" s="566"/>
      <c r="D436" s="566"/>
      <c r="E436" s="566"/>
      <c r="F436" s="566"/>
      <c r="G436" s="567" t="s">
        <v>2403</v>
      </c>
      <c r="H436" s="567" t="s">
        <v>1673</v>
      </c>
      <c r="I436" s="677"/>
      <c r="J436" s="294" t="str">
        <f>IF(ISBLANK(HLOOKUP(CaseName,CaseData,MATCH($G436,cases!$G$4:$G$2494,0),FALSE)),"",HLOOKUP(CaseName,CaseData,MATCH($G436,cases!$G$4:$G$2494,0),FALSE))</f>
        <v/>
      </c>
      <c r="K436" s="620">
        <f>1/(L410*(L437+L438+L439))</f>
        <v>3588.2456859546251</v>
      </c>
      <c r="L436" s="550">
        <f t="shared" si="21"/>
        <v>3588.2456859546251</v>
      </c>
      <c r="M436" s="567" t="s">
        <v>1673</v>
      </c>
      <c r="N436" s="566"/>
      <c r="O436" s="604"/>
      <c r="P436" s="566"/>
    </row>
    <row r="437" spans="1:16" customFormat="1" ht="12.75" customHeight="1" x14ac:dyDescent="0.3">
      <c r="A437" s="566"/>
      <c r="B437" s="566"/>
      <c r="C437" s="566" t="s">
        <v>1641</v>
      </c>
      <c r="D437" s="566"/>
      <c r="E437" s="566"/>
      <c r="F437" s="566"/>
      <c r="G437" s="567" t="s">
        <v>2404</v>
      </c>
      <c r="H437" s="567" t="s">
        <v>291</v>
      </c>
      <c r="I437" s="677"/>
      <c r="J437" s="294" t="str">
        <f>IF(ISBLANK(HLOOKUP(CaseName,CaseData,MATCH($G437,cases!$G$4:$G$2494,0),FALSE)),"",HLOOKUP(CaseName,CaseData,MATCH($G437,cases!$G$4:$G$2494,0),FALSE))</f>
        <v/>
      </c>
      <c r="K437" s="620">
        <f>L389^(-2/3)</f>
        <v>1.4075475589468128E-3</v>
      </c>
      <c r="L437" s="550">
        <f t="shared" si="21"/>
        <v>1.4075475589468128E-3</v>
      </c>
      <c r="M437" s="567" t="s">
        <v>291</v>
      </c>
      <c r="N437" s="566"/>
      <c r="O437" s="604"/>
      <c r="P437" s="566" t="s">
        <v>1684</v>
      </c>
    </row>
    <row r="438" spans="1:16" customFormat="1" ht="12.75" customHeight="1" x14ac:dyDescent="0.3">
      <c r="A438" s="566"/>
      <c r="B438" s="566"/>
      <c r="C438" s="566" t="s">
        <v>1643</v>
      </c>
      <c r="D438" s="566"/>
      <c r="E438" s="566"/>
      <c r="F438" s="566"/>
      <c r="G438" s="567" t="s">
        <v>2405</v>
      </c>
      <c r="H438" s="567" t="s">
        <v>291</v>
      </c>
      <c r="I438" s="677"/>
      <c r="J438" s="294" t="str">
        <f>IF(ISBLANK(HLOOKUP(CaseName,CaseData,MATCH($G438,cases!$G$4:$G$2494,0),FALSE)),"",HLOOKUP(CaseName,CaseData,MATCH($G438,cases!$G$4:$G$2494,0),FALSE))</f>
        <v/>
      </c>
      <c r="K438" s="620">
        <f>0.3*(L415*(L370/(L370+L413))+(1-L415)*(L370/(L370+L414)))</f>
        <v>4.0499237605021189E-5</v>
      </c>
      <c r="L438" s="550">
        <f t="shared" si="21"/>
        <v>4.0499237605021189E-5</v>
      </c>
      <c r="M438" s="567" t="s">
        <v>291</v>
      </c>
      <c r="N438" s="566"/>
      <c r="O438" s="604"/>
      <c r="P438" s="566" t="s">
        <v>1684</v>
      </c>
    </row>
    <row r="439" spans="1:16" customFormat="1" ht="12.75" customHeight="1" x14ac:dyDescent="0.3">
      <c r="A439" s="566"/>
      <c r="B439" s="566"/>
      <c r="C439" s="566" t="s">
        <v>1645</v>
      </c>
      <c r="D439" s="566"/>
      <c r="E439" s="566"/>
      <c r="F439" s="566"/>
      <c r="G439" s="567" t="s">
        <v>2406</v>
      </c>
      <c r="H439" s="567" t="s">
        <v>291</v>
      </c>
      <c r="I439" s="677"/>
      <c r="J439" s="294" t="str">
        <f>IF(ISBLANK(HLOOKUP(CaseName,CaseData,MATCH($G439,cases!$G$4:$G$2494,0),FALSE)),"",HLOOKUP(CaseName,CaseData,MATCH($G439,cases!$G$4:$G$2494,0),FALSE))</f>
        <v/>
      </c>
      <c r="K439" s="620">
        <f>(L387/(L387+0.8))^2</f>
        <v>1.8730663904199339E-5</v>
      </c>
      <c r="L439" s="550">
        <f t="shared" si="21"/>
        <v>1.8730663904199339E-5</v>
      </c>
      <c r="M439" s="567" t="s">
        <v>291</v>
      </c>
      <c r="N439" s="566"/>
      <c r="O439" s="604"/>
      <c r="P439" s="566" t="s">
        <v>1684</v>
      </c>
    </row>
    <row r="440" spans="1:16" customFormat="1" ht="12.75" customHeight="1" x14ac:dyDescent="0.3">
      <c r="A440" s="566" t="s">
        <v>1732</v>
      </c>
      <c r="B440" s="566"/>
      <c r="C440" s="566"/>
      <c r="D440" s="566"/>
      <c r="E440" s="566"/>
      <c r="F440" s="566"/>
      <c r="G440" s="567" t="s">
        <v>2407</v>
      </c>
      <c r="H440" s="567" t="s">
        <v>335</v>
      </c>
      <c r="I440" s="677"/>
      <c r="J440" s="294" t="str">
        <f>IF(ISBLANK(HLOOKUP(CaseName,CaseData,MATCH($G440,cases!$G$4:$G$2494,0),FALSE)),"",HLOOKUP(CaseName,CaseData,MATCH($G440,cases!$G$4:$G$2494,0),FALSE))</f>
        <v/>
      </c>
      <c r="K440" s="620">
        <f>(L441*L21*L16)/(L5)</f>
        <v>1.3295194743636812E-8</v>
      </c>
      <c r="L440" s="550">
        <f t="shared" si="21"/>
        <v>1.3295194743636812E-8</v>
      </c>
      <c r="M440" s="567" t="s">
        <v>335</v>
      </c>
      <c r="N440" s="566"/>
      <c r="O440" s="604"/>
      <c r="P440" s="566"/>
    </row>
    <row r="441" spans="1:16" customFormat="1" ht="12.75" customHeight="1" x14ac:dyDescent="0.3">
      <c r="A441" s="566"/>
      <c r="B441" s="566" t="s">
        <v>1669</v>
      </c>
      <c r="C441" s="566"/>
      <c r="D441" s="566"/>
      <c r="E441" s="566"/>
      <c r="F441" s="566"/>
      <c r="G441" s="567" t="s">
        <v>2408</v>
      </c>
      <c r="H441" s="567" t="s">
        <v>866</v>
      </c>
      <c r="I441" s="677"/>
      <c r="J441" s="294" t="str">
        <f>IF(ISBLANK(HLOOKUP(CaseName,CaseData,MATCH($G441,cases!$G$4:$G$2494,0),FALSE)),"",HLOOKUP(CaseName,CaseData,MATCH($G441,cases!$G$4:$G$2494,0),FALSE))</f>
        <v/>
      </c>
      <c r="K441" s="620">
        <f>1/(L419+L442)+L388</f>
        <v>2.7458346350807292E-4</v>
      </c>
      <c r="L441" s="550">
        <f t="shared" si="21"/>
        <v>2.7458346350807292E-4</v>
      </c>
      <c r="M441" s="567" t="s">
        <v>866</v>
      </c>
      <c r="N441" s="566"/>
      <c r="O441" s="604"/>
      <c r="P441" s="566"/>
    </row>
    <row r="442" spans="1:16" customFormat="1" ht="12.75" customHeight="1" x14ac:dyDescent="0.3">
      <c r="A442" s="566"/>
      <c r="B442" s="566" t="s">
        <v>1676</v>
      </c>
      <c r="C442" s="566"/>
      <c r="D442" s="566"/>
      <c r="E442" s="566"/>
      <c r="F442" s="566"/>
      <c r="G442" s="567" t="s">
        <v>2409</v>
      </c>
      <c r="H442" s="567" t="s">
        <v>1673</v>
      </c>
      <c r="I442" s="677"/>
      <c r="J442" s="294" t="str">
        <f>IF(ISBLANK(HLOOKUP(CaseName,CaseData,MATCH($G442,cases!$G$4:$G$2494,0),FALSE)),"",HLOOKUP(CaseName,CaseData,MATCH($G442,cases!$G$4:$G$2494,0),FALSE))</f>
        <v/>
      </c>
      <c r="K442" s="620">
        <f>1/(L421*(L443+L444+L445))</f>
        <v>3588.2456859546251</v>
      </c>
      <c r="L442" s="550">
        <f t="shared" si="21"/>
        <v>3588.2456859546251</v>
      </c>
      <c r="M442" s="567" t="s">
        <v>1673</v>
      </c>
      <c r="N442" s="566"/>
      <c r="O442" s="604"/>
      <c r="P442" s="566"/>
    </row>
    <row r="443" spans="1:16" customFormat="1" ht="12.75" customHeight="1" x14ac:dyDescent="0.3">
      <c r="A443" s="566"/>
      <c r="B443" s="566"/>
      <c r="C443" s="566" t="s">
        <v>1641</v>
      </c>
      <c r="D443" s="566"/>
      <c r="E443" s="566"/>
      <c r="F443" s="566"/>
      <c r="G443" s="567" t="s">
        <v>2410</v>
      </c>
      <c r="H443" s="567" t="s">
        <v>291</v>
      </c>
      <c r="I443" s="677"/>
      <c r="J443" s="294" t="str">
        <f>IF(ISBLANK(HLOOKUP(CaseName,CaseData,MATCH($G443,cases!$G$4:$G$2494,0),FALSE)),"",HLOOKUP(CaseName,CaseData,MATCH($G443,cases!$G$4:$G$2494,0),FALSE))</f>
        <v/>
      </c>
      <c r="K443" s="620">
        <f>L389^(-2/3)</f>
        <v>1.4075475589468128E-3</v>
      </c>
      <c r="L443" s="550">
        <f t="shared" si="21"/>
        <v>1.4075475589468128E-3</v>
      </c>
      <c r="M443" s="567" t="s">
        <v>291</v>
      </c>
      <c r="N443" s="566"/>
      <c r="O443" s="604"/>
      <c r="P443" s="566" t="s">
        <v>1684</v>
      </c>
    </row>
    <row r="444" spans="1:16" customFormat="1" ht="12.75" customHeight="1" x14ac:dyDescent="0.3">
      <c r="A444" s="566"/>
      <c r="B444" s="566"/>
      <c r="C444" s="566" t="s">
        <v>1643</v>
      </c>
      <c r="D444" s="566"/>
      <c r="E444" s="566"/>
      <c r="F444" s="566"/>
      <c r="G444" s="567" t="s">
        <v>2411</v>
      </c>
      <c r="H444" s="567" t="s">
        <v>291</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291</v>
      </c>
      <c r="N444" s="566"/>
      <c r="O444" s="604"/>
      <c r="P444" s="566" t="s">
        <v>1684</v>
      </c>
    </row>
    <row r="445" spans="1:16" customFormat="1" ht="12.75" customHeight="1" x14ac:dyDescent="0.3">
      <c r="A445" s="566"/>
      <c r="B445" s="566"/>
      <c r="C445" s="566" t="s">
        <v>1645</v>
      </c>
      <c r="D445" s="566"/>
      <c r="E445" s="566"/>
      <c r="F445" s="566"/>
      <c r="G445" s="567" t="s">
        <v>2412</v>
      </c>
      <c r="H445" s="567" t="s">
        <v>291</v>
      </c>
      <c r="I445" s="677"/>
      <c r="J445" s="294" t="str">
        <f>IF(ISBLANK(HLOOKUP(CaseName,CaseData,MATCH($G445,cases!$G$4:$G$2494,0),FALSE)),"",HLOOKUP(CaseName,CaseData,MATCH($G445,cases!$G$4:$G$2494,0),FALSE))</f>
        <v/>
      </c>
      <c r="K445" s="620">
        <f>(L387/(L387+0.8))^2</f>
        <v>1.8730663904199339E-5</v>
      </c>
      <c r="L445" s="550">
        <f t="shared" si="21"/>
        <v>1.8730663904199339E-5</v>
      </c>
      <c r="M445" s="567" t="s">
        <v>291</v>
      </c>
      <c r="N445" s="566"/>
      <c r="O445" s="604"/>
      <c r="P445" s="566" t="s">
        <v>1684</v>
      </c>
    </row>
    <row r="446" spans="1:16" customFormat="1" ht="12.75" customHeight="1" x14ac:dyDescent="0.3">
      <c r="A446" s="566" t="s">
        <v>1739</v>
      </c>
      <c r="B446" s="566"/>
      <c r="C446" s="566"/>
      <c r="D446" s="566"/>
      <c r="E446" s="566"/>
      <c r="F446" s="566"/>
      <c r="G446" s="567" t="s">
        <v>2413</v>
      </c>
      <c r="H446" s="567" t="s">
        <v>335</v>
      </c>
      <c r="I446" s="677"/>
      <c r="J446" s="294" t="str">
        <f>IF(ISBLANK(HLOOKUP(CaseName,CaseData,MATCH($G446,cases!$G$4:$G$2494,0),FALSE)),"",HLOOKUP(CaseName,CaseData,MATCH($G446,cases!$G$4:$G$2494,0),FALSE))</f>
        <v/>
      </c>
      <c r="K446" s="620">
        <f>(L136*L19*L16)/(L5)</f>
        <v>1.3073265720083687E-7</v>
      </c>
      <c r="L446" s="550">
        <f t="shared" si="21"/>
        <v>1.3073265720083687E-7</v>
      </c>
      <c r="M446" s="567" t="s">
        <v>335</v>
      </c>
      <c r="N446" s="566" t="s">
        <v>2414</v>
      </c>
      <c r="O446" s="604"/>
      <c r="P446" s="566"/>
    </row>
    <row r="447" spans="1:16" customFormat="1" ht="12.75" customHeight="1" x14ac:dyDescent="0.3">
      <c r="A447" s="566" t="s">
        <v>1742</v>
      </c>
      <c r="B447" s="566"/>
      <c r="C447" s="566"/>
      <c r="D447" s="566"/>
      <c r="E447" s="566"/>
      <c r="F447" s="566"/>
      <c r="G447" s="567" t="s">
        <v>2415</v>
      </c>
      <c r="H447" s="567" t="s">
        <v>335</v>
      </c>
      <c r="I447" s="677"/>
      <c r="J447" s="294" t="str">
        <f>IF(ISBLANK(HLOOKUP(CaseName,CaseData,MATCH($G447,cases!$G$4:$G$2494,0),FALSE)),"",HLOOKUP(CaseName,CaseData,MATCH($G447,cases!$G$4:$G$2494,0),FALSE))</f>
        <v/>
      </c>
      <c r="K447" s="620">
        <f>(L136*L20*L16)/(L5)</f>
        <v>2.9051701600185967E-7</v>
      </c>
      <c r="L447" s="550">
        <f t="shared" si="21"/>
        <v>2.9051701600185967E-7</v>
      </c>
      <c r="M447" s="567" t="s">
        <v>335</v>
      </c>
      <c r="N447" s="566" t="s">
        <v>2414</v>
      </c>
      <c r="O447" s="604"/>
      <c r="P447" s="566"/>
    </row>
    <row r="448" spans="1:16" customFormat="1" ht="12.75" customHeight="1" x14ac:dyDescent="0.3">
      <c r="A448" s="566" t="s">
        <v>1744</v>
      </c>
      <c r="B448" s="566"/>
      <c r="C448" s="566"/>
      <c r="D448" s="566"/>
      <c r="E448" s="566"/>
      <c r="F448" s="566"/>
      <c r="G448" s="567" t="s">
        <v>2416</v>
      </c>
      <c r="H448" s="567" t="s">
        <v>335</v>
      </c>
      <c r="I448" s="677"/>
      <c r="J448" s="294" t="str">
        <f>IF(ISBLANK(HLOOKUP(CaseName,CaseData,MATCH($G448,cases!$G$4:$G$2494,0),FALSE)),"",HLOOKUP(CaseName,CaseData,MATCH($G448,cases!$G$4:$G$2494,0),FALSE))</f>
        <v/>
      </c>
      <c r="K448" s="620">
        <f>(L136*L21*L16)/(L5)</f>
        <v>4.8419502666976612E-8</v>
      </c>
      <c r="L448" s="550">
        <f t="shared" si="21"/>
        <v>4.8419502666976612E-8</v>
      </c>
      <c r="M448" s="567" t="s">
        <v>335</v>
      </c>
      <c r="N448" s="566" t="s">
        <v>2414</v>
      </c>
      <c r="O448" s="604"/>
      <c r="P448" s="566"/>
    </row>
    <row r="449" spans="1:16" customFormat="1" ht="12.75" customHeight="1" x14ac:dyDescent="0.3">
      <c r="A449" s="566" t="s">
        <v>1746</v>
      </c>
      <c r="B449" s="566"/>
      <c r="C449" s="566"/>
      <c r="D449" s="566"/>
      <c r="E449" s="566"/>
      <c r="F449" s="566"/>
      <c r="G449" s="567" t="s">
        <v>2417</v>
      </c>
      <c r="H449" s="567" t="s">
        <v>335</v>
      </c>
      <c r="I449" s="677"/>
      <c r="J449" s="294" t="str">
        <f>IF(ISBLANK(HLOOKUP(CaseName,CaseData,MATCH($G449,cases!$G$4:$G$2494,0),FALSE)),"",HLOOKUP(CaseName,CaseData,MATCH($G449,cases!$G$4:$G$2494,0),FALSE))</f>
        <v/>
      </c>
      <c r="K449" s="620">
        <f>(L450*L17*L16)/(L5)</f>
        <v>7.4721025921179402E-9</v>
      </c>
      <c r="L449" s="550">
        <f t="shared" si="21"/>
        <v>7.4721025921179402E-9</v>
      </c>
      <c r="M449" s="567" t="s">
        <v>335</v>
      </c>
      <c r="N449" s="566"/>
      <c r="O449" s="604"/>
      <c r="P449" s="566"/>
    </row>
    <row r="450" spans="1:16" customFormat="1" ht="12.75" customHeight="1" x14ac:dyDescent="0.3">
      <c r="A450" s="566"/>
      <c r="B450" s="566" t="s">
        <v>1669</v>
      </c>
      <c r="C450" s="566"/>
      <c r="D450" s="566"/>
      <c r="E450" s="566"/>
      <c r="F450" s="566"/>
      <c r="G450" s="567" t="s">
        <v>2418</v>
      </c>
      <c r="H450" s="567" t="s">
        <v>866</v>
      </c>
      <c r="I450" s="677"/>
      <c r="J450" s="294" t="str">
        <f>IF(ISBLANK(HLOOKUP(CaseName,CaseData,MATCH($G450,cases!$G$4:$G$2494,0),FALSE)),"",HLOOKUP(CaseName,CaseData,MATCH($G450,cases!$G$4:$G$2494,0),FALSE))</f>
        <v/>
      </c>
      <c r="K450" s="620">
        <f>1/(L451+L452)+L377</f>
        <v>6.1728040814546508E-3</v>
      </c>
      <c r="L450" s="550">
        <f t="shared" si="21"/>
        <v>6.1728040814546508E-3</v>
      </c>
      <c r="M450" s="567" t="s">
        <v>866</v>
      </c>
      <c r="N450" s="566"/>
      <c r="O450" s="604"/>
      <c r="P450" s="566"/>
    </row>
    <row r="451" spans="1:16" customFormat="1" ht="12.75" customHeight="1" x14ac:dyDescent="0.3">
      <c r="A451" s="566"/>
      <c r="B451" s="566"/>
      <c r="C451" s="566" t="s">
        <v>1749</v>
      </c>
      <c r="D451" s="566"/>
      <c r="E451" s="566"/>
      <c r="F451" s="566"/>
      <c r="G451" s="566" t="s">
        <v>2419</v>
      </c>
      <c r="H451" s="567" t="s">
        <v>1673</v>
      </c>
      <c r="I451" s="677"/>
      <c r="J451" s="294" t="str">
        <f>IF(ISBLANK(HLOOKUP(CaseName,CaseData,MATCH($G451,cases!$G$4:$G$2494,0),FALSE)),"",HLOOKUP(CaseName,CaseData,MATCH($G451,cases!$G$4:$G$2494,0),FALSE))</f>
        <v/>
      </c>
      <c r="K451" s="620">
        <v>74</v>
      </c>
      <c r="L451" s="550">
        <f t="shared" si="21"/>
        <v>74</v>
      </c>
      <c r="M451" s="567" t="s">
        <v>1673</v>
      </c>
      <c r="N451" s="566"/>
      <c r="O451" s="604"/>
      <c r="P451" s="566" t="s">
        <v>1675</v>
      </c>
    </row>
    <row r="452" spans="1:16" customFormat="1" ht="12.75" customHeight="1" x14ac:dyDescent="0.3">
      <c r="A452" s="566"/>
      <c r="B452" s="566"/>
      <c r="C452" s="566" t="s">
        <v>1751</v>
      </c>
      <c r="D452" s="566"/>
      <c r="E452" s="566"/>
      <c r="F452" s="566"/>
      <c r="G452" s="567" t="s">
        <v>2420</v>
      </c>
      <c r="H452" s="567" t="s">
        <v>1673</v>
      </c>
      <c r="I452" s="677"/>
      <c r="J452" s="294" t="str">
        <f>IF(ISBLANK(HLOOKUP(CaseName,CaseData,MATCH($G452,cases!$G$4:$G$2494,0),FALSE)),"",HLOOKUP(CaseName,CaseData,MATCH($G452,cases!$G$4:$G$2494,0),FALSE))</f>
        <v/>
      </c>
      <c r="K452" s="620">
        <f>1/(L453*(L454+L455))</f>
        <v>88.019933355846689</v>
      </c>
      <c r="L452" s="550">
        <f t="shared" si="21"/>
        <v>88.019933355846689</v>
      </c>
      <c r="M452" s="567" t="s">
        <v>1673</v>
      </c>
      <c r="N452" s="566"/>
      <c r="O452" s="604"/>
      <c r="P452" s="566"/>
    </row>
    <row r="453" spans="1:16" customFormat="1" ht="12.75" customHeight="1" x14ac:dyDescent="0.3">
      <c r="A453" s="566"/>
      <c r="B453" s="566"/>
      <c r="C453" s="566" t="s">
        <v>1753</v>
      </c>
      <c r="D453" s="566"/>
      <c r="E453" s="566"/>
      <c r="F453" s="566"/>
      <c r="G453" s="567" t="s">
        <v>2421</v>
      </c>
      <c r="H453" s="567" t="s">
        <v>866</v>
      </c>
      <c r="I453" s="677"/>
      <c r="J453" s="294" t="str">
        <f>IF(ISBLANK(HLOOKUP(CaseName,CaseData,MATCH($G453,cases!$G$4:$G$2494,0),FALSE)),"",HLOOKUP(CaseName,CaseData,MATCH($G453,cases!$G$4:$G$2494,0),FALSE))</f>
        <v/>
      </c>
      <c r="K453" s="620">
        <v>0.19</v>
      </c>
      <c r="L453" s="550">
        <f t="shared" si="21"/>
        <v>0.19</v>
      </c>
      <c r="M453" s="567" t="s">
        <v>866</v>
      </c>
      <c r="N453" s="566"/>
      <c r="O453" s="604" t="s">
        <v>1681</v>
      </c>
      <c r="P453" s="566" t="s">
        <v>1682</v>
      </c>
    </row>
    <row r="454" spans="1:16" customFormat="1" ht="12.75" customHeight="1" x14ac:dyDescent="0.3">
      <c r="A454" s="566"/>
      <c r="B454" s="566"/>
      <c r="C454" s="566"/>
      <c r="D454" s="566" t="s">
        <v>1641</v>
      </c>
      <c r="E454" s="566"/>
      <c r="F454" s="566"/>
      <c r="G454" s="567" t="s">
        <v>2422</v>
      </c>
      <c r="H454" s="567" t="s">
        <v>291</v>
      </c>
      <c r="I454" s="677"/>
      <c r="J454" s="294" t="str">
        <f>IF(ISBLANK(HLOOKUP(CaseName,CaseData,MATCH($G454,cases!$G$4:$G$2494,0),FALSE)),"",HLOOKUP(CaseName,CaseData,MATCH($G454,cases!$G$4:$G$2494,0),FALSE))</f>
        <v/>
      </c>
      <c r="K454" s="620">
        <f>L378^-(1/2)</f>
        <v>5.9795067936020407E-2</v>
      </c>
      <c r="L454" s="550">
        <f t="shared" si="21"/>
        <v>5.9795067936020407E-2</v>
      </c>
      <c r="M454" s="567" t="s">
        <v>291</v>
      </c>
      <c r="N454" s="566"/>
      <c r="O454" s="604"/>
      <c r="P454" s="566"/>
    </row>
    <row r="455" spans="1:16" customFormat="1" ht="12.75" customHeight="1" x14ac:dyDescent="0.3">
      <c r="A455" s="566"/>
      <c r="B455" s="566"/>
      <c r="C455" s="566"/>
      <c r="D455" s="566" t="s">
        <v>1645</v>
      </c>
      <c r="E455" s="566"/>
      <c r="F455" s="566"/>
      <c r="G455" s="567" t="s">
        <v>2423</v>
      </c>
      <c r="H455" s="567" t="s">
        <v>291</v>
      </c>
      <c r="I455" s="677"/>
      <c r="J455" s="294" t="str">
        <f>IF(ISBLANK(HLOOKUP(CaseName,CaseData,MATCH($G455,cases!$G$4:$G$2494,0),FALSE)),"",HLOOKUP(CaseName,CaseData,MATCH($G455,cases!$G$4:$G$2494,0),FALSE))</f>
        <v/>
      </c>
      <c r="K455" s="620">
        <f>10^(-3/L376)</f>
        <v>0</v>
      </c>
      <c r="L455" s="550">
        <f t="shared" si="21"/>
        <v>0</v>
      </c>
      <c r="M455" s="567" t="s">
        <v>291</v>
      </c>
      <c r="N455" s="566"/>
      <c r="O455" s="604"/>
      <c r="P455" s="566"/>
    </row>
    <row r="456" spans="1:16" customFormat="1" ht="12.75" customHeight="1" x14ac:dyDescent="0.3">
      <c r="A456" s="566" t="s">
        <v>1757</v>
      </c>
      <c r="B456" s="566"/>
      <c r="C456" s="566"/>
      <c r="D456" s="566"/>
      <c r="E456" s="566"/>
      <c r="F456" s="566"/>
      <c r="G456" s="567" t="s">
        <v>2424</v>
      </c>
      <c r="H456" s="567" t="s">
        <v>335</v>
      </c>
      <c r="I456" s="677"/>
      <c r="J456" s="294" t="str">
        <f>IF(ISBLANK(HLOOKUP(CaseName,CaseData,MATCH($G456,cases!$G$4:$G$2494,0),FALSE)),"",HLOOKUP(CaseName,CaseData,MATCH($G456,cases!$G$4:$G$2494,0),FALSE))</f>
        <v/>
      </c>
      <c r="K456" s="620">
        <f>(L457*L18*L16)/(L5)</f>
        <v>8.2193128513297335E-8</v>
      </c>
      <c r="L456" s="550">
        <f t="shared" si="21"/>
        <v>8.2193128513297335E-8</v>
      </c>
      <c r="M456" s="567" t="s">
        <v>335</v>
      </c>
      <c r="N456" s="566"/>
      <c r="O456" s="604"/>
      <c r="P456" s="566"/>
    </row>
    <row r="457" spans="1:16" customFormat="1" ht="12.75" customHeight="1" x14ac:dyDescent="0.3">
      <c r="A457" s="566"/>
      <c r="B457" s="566" t="s">
        <v>1669</v>
      </c>
      <c r="C457" s="566"/>
      <c r="D457" s="566"/>
      <c r="E457" s="566"/>
      <c r="F457" s="566"/>
      <c r="G457" s="567" t="s">
        <v>2425</v>
      </c>
      <c r="H457" s="567" t="s">
        <v>866</v>
      </c>
      <c r="I457" s="677"/>
      <c r="J457" s="294" t="str">
        <f>IF(ISBLANK(HLOOKUP(CaseName,CaseData,MATCH($G457,cases!$G$4:$G$2494,0),FALSE)),"",HLOOKUP(CaseName,CaseData,MATCH($G457,cases!$G$4:$G$2494,0),FALSE))</f>
        <v/>
      </c>
      <c r="K457" s="620">
        <f>1/(L458+L452)+L377</f>
        <v>6.1728040814546508E-3</v>
      </c>
      <c r="L457" s="550">
        <f t="shared" si="21"/>
        <v>6.1728040814546508E-3</v>
      </c>
      <c r="M457" s="567" t="s">
        <v>866</v>
      </c>
      <c r="N457" s="566"/>
      <c r="O457" s="604"/>
      <c r="P457" s="566"/>
    </row>
    <row r="458" spans="1:16" customFormat="1" ht="12.75" customHeight="1" x14ac:dyDescent="0.3">
      <c r="A458" s="566"/>
      <c r="B458" s="566"/>
      <c r="C458" s="566" t="s">
        <v>1760</v>
      </c>
      <c r="D458" s="566"/>
      <c r="E458" s="566"/>
      <c r="F458" s="566"/>
      <c r="G458" s="566" t="s">
        <v>2426</v>
      </c>
      <c r="H458" s="567" t="s">
        <v>1673</v>
      </c>
      <c r="I458" s="677"/>
      <c r="J458" s="294" t="str">
        <f>IF(ISBLANK(HLOOKUP(CaseName,CaseData,MATCH($G458,cases!$G$4:$G$2494,0),FALSE)),"",HLOOKUP(CaseName,CaseData,MATCH($G458,cases!$G$4:$G$2494,0),FALSE))</f>
        <v/>
      </c>
      <c r="K458" s="620">
        <v>74</v>
      </c>
      <c r="L458" s="550">
        <f t="shared" si="21"/>
        <v>74</v>
      </c>
      <c r="M458" s="567" t="s">
        <v>1673</v>
      </c>
      <c r="N458" s="566"/>
      <c r="O458" s="604" t="s">
        <v>1674</v>
      </c>
      <c r="P458" s="566" t="s">
        <v>1675</v>
      </c>
    </row>
    <row r="459" spans="1:16" customFormat="1" ht="12.75" customHeight="1" x14ac:dyDescent="0.3">
      <c r="A459" s="566" t="s">
        <v>1762</v>
      </c>
      <c r="B459" s="566"/>
      <c r="C459" s="566"/>
      <c r="D459" s="566"/>
      <c r="E459" s="566"/>
      <c r="F459" s="566"/>
      <c r="G459" s="567" t="s">
        <v>2427</v>
      </c>
      <c r="H459" s="567" t="s">
        <v>335</v>
      </c>
      <c r="I459" s="677"/>
      <c r="J459" s="294" t="str">
        <f>IF(ISBLANK(HLOOKUP(CaseName,CaseData,MATCH($G459,cases!$G$4:$G$2494,0),FALSE)),"",HLOOKUP(CaseName,CaseData,MATCH($G459,cases!$G$4:$G$2494,0),FALSE))</f>
        <v/>
      </c>
      <c r="K459" s="620">
        <f>(L460*L22*L16)/(L5)</f>
        <v>2.313194848837852E-6</v>
      </c>
      <c r="L459" s="550">
        <f t="shared" si="21"/>
        <v>2.313194848837852E-6</v>
      </c>
      <c r="M459" s="567" t="s">
        <v>335</v>
      </c>
      <c r="N459" s="566"/>
      <c r="O459" s="604"/>
      <c r="P459" s="566"/>
    </row>
    <row r="460" spans="1:16" customFormat="1" ht="12.75" customHeight="1" x14ac:dyDescent="0.3">
      <c r="A460" s="566"/>
      <c r="B460" s="566" t="s">
        <v>1669</v>
      </c>
      <c r="C460" s="566"/>
      <c r="D460" s="566"/>
      <c r="E460" s="566"/>
      <c r="F460" s="566"/>
      <c r="G460" s="567" t="s">
        <v>2428</v>
      </c>
      <c r="H460" s="567" t="s">
        <v>866</v>
      </c>
      <c r="I460" s="677"/>
      <c r="J460" s="294" t="str">
        <f>IF(ISBLANK(HLOOKUP(CaseName,CaseData,MATCH($G460,cases!$G$4:$G$2494,0),FALSE)),"",HLOOKUP(CaseName,CaseData,MATCH($G460,cases!$G$4:$G$2494,0),FALSE))</f>
        <v/>
      </c>
      <c r="K460" s="620">
        <f>1/(L461+L452)+L377</f>
        <v>4.4846281502757572E-3</v>
      </c>
      <c r="L460" s="550">
        <f t="shared" si="21"/>
        <v>4.4846281502757572E-3</v>
      </c>
      <c r="M460" s="567" t="s">
        <v>866</v>
      </c>
      <c r="N460" s="566"/>
      <c r="O460" s="604"/>
      <c r="P460" s="566"/>
    </row>
    <row r="461" spans="1:16" customFormat="1" ht="12.75" customHeight="1" x14ac:dyDescent="0.3">
      <c r="A461" s="566"/>
      <c r="B461" s="566"/>
      <c r="C461" s="566" t="s">
        <v>1765</v>
      </c>
      <c r="D461" s="566"/>
      <c r="E461" s="566"/>
      <c r="F461" s="566"/>
      <c r="G461" s="566" t="s">
        <v>2429</v>
      </c>
      <c r="H461" s="567" t="s">
        <v>1673</v>
      </c>
      <c r="I461" s="677"/>
      <c r="J461" s="294" t="str">
        <f>IF(ISBLANK(HLOOKUP(CaseName,CaseData,MATCH($G461,cases!$G$4:$G$2494,0),FALSE)),"",HLOOKUP(CaseName,CaseData,MATCH($G461,cases!$G$4:$G$2494,0),FALSE))</f>
        <v/>
      </c>
      <c r="K461" s="620">
        <v>135</v>
      </c>
      <c r="L461" s="550">
        <f t="shared" si="21"/>
        <v>135</v>
      </c>
      <c r="M461" s="567" t="s">
        <v>1673</v>
      </c>
      <c r="N461" s="566"/>
      <c r="O461" s="604" t="s">
        <v>1674</v>
      </c>
      <c r="P461" s="566" t="s">
        <v>1675</v>
      </c>
    </row>
    <row r="462" spans="1:16" customFormat="1" ht="12.75" customHeight="1" x14ac:dyDescent="0.3">
      <c r="A462" s="566" t="s">
        <v>1767</v>
      </c>
      <c r="B462" s="566"/>
      <c r="C462" s="566"/>
      <c r="D462" s="566"/>
      <c r="E462" s="566"/>
      <c r="F462" s="566"/>
      <c r="G462" s="566" t="s">
        <v>2430</v>
      </c>
      <c r="H462" s="567" t="s">
        <v>335</v>
      </c>
      <c r="I462" s="677"/>
      <c r="J462" s="294" t="str">
        <f>IF(ISBLANK(HLOOKUP(CaseName,CaseData,MATCH($G462,cases!$G$4:$G$2494,0),FALSE)),"",HLOOKUP(CaseName,CaseData,MATCH($G462,cases!$G$4:$G$2494,0),FALSE))</f>
        <v/>
      </c>
      <c r="K462" s="620">
        <f>L463*L17*L16/L5</f>
        <v>1.5182414698717136E-9</v>
      </c>
      <c r="L462" s="550">
        <f t="shared" si="21"/>
        <v>1.5182414698717136E-9</v>
      </c>
      <c r="M462" s="567" t="s">
        <v>335</v>
      </c>
      <c r="N462" s="566"/>
      <c r="O462" s="604"/>
      <c r="P462" s="566"/>
    </row>
    <row r="463" spans="1:16" customFormat="1" ht="12.75" customHeight="1" x14ac:dyDescent="0.3">
      <c r="A463" s="566"/>
      <c r="B463" s="566" t="s">
        <v>1669</v>
      </c>
      <c r="C463" s="566"/>
      <c r="D463" s="566"/>
      <c r="E463" s="566"/>
      <c r="F463" s="566"/>
      <c r="G463" s="567" t="s">
        <v>2431</v>
      </c>
      <c r="H463" s="567" t="s">
        <v>866</v>
      </c>
      <c r="I463" s="677"/>
      <c r="J463" s="294" t="str">
        <f>IF(ISBLANK(HLOOKUP(CaseName,CaseData,MATCH($G463,cases!$G$4:$G$2494,0),FALSE)),"",HLOOKUP(CaseName,CaseData,MATCH($G463,cases!$G$4:$G$2494,0),FALSE))</f>
        <v/>
      </c>
      <c r="K463" s="620">
        <f>1/($L$451+L464)+$L$388</f>
        <v>1.254239623495509E-3</v>
      </c>
      <c r="L463" s="550">
        <f t="shared" si="21"/>
        <v>1.254239623495509E-3</v>
      </c>
      <c r="M463" s="567" t="s">
        <v>866</v>
      </c>
      <c r="N463" s="566"/>
      <c r="O463" s="604"/>
      <c r="P463" s="566"/>
    </row>
    <row r="464" spans="1:16" s="386" customFormat="1" ht="12.75" customHeight="1" x14ac:dyDescent="0.3">
      <c r="A464" s="566"/>
      <c r="B464" s="566"/>
      <c r="C464" s="566" t="s">
        <v>1751</v>
      </c>
      <c r="D464" s="566"/>
      <c r="E464" s="566"/>
      <c r="F464" s="566"/>
      <c r="G464" s="567" t="s">
        <v>2432</v>
      </c>
      <c r="H464" s="567" t="s">
        <v>1673</v>
      </c>
      <c r="I464" s="700"/>
      <c r="J464" s="294" t="str">
        <f>IF(ISBLANK(HLOOKUP(CaseName,CaseData,MATCH($G464,cases!$G$4:$G$2494,0),FALSE)),"",HLOOKUP(CaseName,CaseData,MATCH($G464,cases!$G$4:$G$2494,0),FALSE))</f>
        <v/>
      </c>
      <c r="K464" s="620">
        <f>1/(L453*(L465+L466))</f>
        <v>724.26765512559666</v>
      </c>
      <c r="L464" s="550">
        <f t="shared" si="21"/>
        <v>724.26765512559666</v>
      </c>
      <c r="M464" s="567" t="s">
        <v>1673</v>
      </c>
      <c r="N464" s="577"/>
      <c r="O464" s="577"/>
      <c r="P464" s="606"/>
    </row>
    <row r="465" spans="1:16" s="386" customFormat="1" ht="12.75" customHeight="1" x14ac:dyDescent="0.3">
      <c r="A465" s="566"/>
      <c r="B465" s="566"/>
      <c r="C465" s="566"/>
      <c r="D465" s="566" t="s">
        <v>1641</v>
      </c>
      <c r="E465" s="566"/>
      <c r="F465" s="566"/>
      <c r="G465" s="567" t="s">
        <v>2433</v>
      </c>
      <c r="H465" s="567" t="s">
        <v>291</v>
      </c>
      <c r="I465" s="700"/>
      <c r="J465" s="294" t="str">
        <f>IF(ISBLANK(HLOOKUP(CaseName,CaseData,MATCH($G465,cases!$G$4:$G$2494,0),FALSE)),"",HLOOKUP(CaseName,CaseData,MATCH($G465,cases!$G$4:$G$2494,0),FALSE))</f>
        <v/>
      </c>
      <c r="K465" s="620">
        <f>L389^-(1/2)</f>
        <v>7.2668686189281051E-3</v>
      </c>
      <c r="L465" s="550">
        <f t="shared" si="21"/>
        <v>7.2668686189281051E-3</v>
      </c>
      <c r="M465" s="567" t="s">
        <v>291</v>
      </c>
      <c r="N465" s="577"/>
      <c r="O465" s="577"/>
      <c r="P465" s="606"/>
    </row>
    <row r="466" spans="1:16" s="386" customFormat="1" ht="12.75" customHeight="1" x14ac:dyDescent="0.3">
      <c r="A466" s="566"/>
      <c r="B466" s="566"/>
      <c r="C466" s="566"/>
      <c r="D466" s="566" t="s">
        <v>1645</v>
      </c>
      <c r="E466" s="566"/>
      <c r="F466" s="566"/>
      <c r="G466" s="567" t="s">
        <v>2434</v>
      </c>
      <c r="H466" s="567" t="s">
        <v>291</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291</v>
      </c>
      <c r="N466" s="577"/>
      <c r="O466" s="577"/>
      <c r="P466" s="606"/>
    </row>
    <row r="467" spans="1:16" customFormat="1" ht="12.75" customHeight="1" x14ac:dyDescent="0.3">
      <c r="A467" s="566" t="s">
        <v>1774</v>
      </c>
      <c r="B467" s="566"/>
      <c r="C467" s="566"/>
      <c r="D467" s="566"/>
      <c r="E467" s="566"/>
      <c r="F467" s="566"/>
      <c r="G467" s="566" t="s">
        <v>2435</v>
      </c>
      <c r="H467" s="567" t="s">
        <v>335</v>
      </c>
      <c r="I467" s="677"/>
      <c r="J467" s="294" t="str">
        <f>IF(ISBLANK(HLOOKUP(CaseName,CaseData,MATCH($G467,cases!$G$4:$G$2494,0),FALSE)),"",HLOOKUP(CaseName,CaseData,MATCH($G467,cases!$G$4:$G$2494,0),FALSE))</f>
        <v/>
      </c>
      <c r="K467" s="620">
        <f>L468*L18*L16/L5</f>
        <v>1.6700656168588847E-8</v>
      </c>
      <c r="L467" s="550">
        <f t="shared" si="22"/>
        <v>1.6700656168588847E-8</v>
      </c>
      <c r="M467" s="567" t="s">
        <v>335</v>
      </c>
      <c r="N467" s="566"/>
      <c r="O467" s="604"/>
      <c r="P467" s="566"/>
    </row>
    <row r="468" spans="1:16" customFormat="1" ht="12.75" customHeight="1" x14ac:dyDescent="0.3">
      <c r="A468" s="566"/>
      <c r="B468" s="566" t="s">
        <v>1669</v>
      </c>
      <c r="C468" s="566"/>
      <c r="D468" s="566"/>
      <c r="E468" s="566"/>
      <c r="F468" s="566"/>
      <c r="G468" s="567" t="s">
        <v>2436</v>
      </c>
      <c r="H468" s="567" t="s">
        <v>866</v>
      </c>
      <c r="I468" s="677"/>
      <c r="J468" s="294" t="str">
        <f>IF(ISBLANK(HLOOKUP(CaseName,CaseData,MATCH($G468,cases!$G$4:$G$2494,0),FALSE)),"",HLOOKUP(CaseName,CaseData,MATCH($G468,cases!$G$4:$G$2494,0),FALSE))</f>
        <v/>
      </c>
      <c r="K468" s="620">
        <f>1/(L458+L464)+L388</f>
        <v>1.254239623495509E-3</v>
      </c>
      <c r="L468" s="550">
        <f t="shared" si="22"/>
        <v>1.254239623495509E-3</v>
      </c>
      <c r="M468" s="567" t="s">
        <v>866</v>
      </c>
      <c r="N468" s="566"/>
      <c r="O468" s="604"/>
      <c r="P468" s="566"/>
    </row>
    <row r="469" spans="1:16" customFormat="1" ht="12.75" customHeight="1" x14ac:dyDescent="0.3">
      <c r="A469" s="566" t="s">
        <v>1777</v>
      </c>
      <c r="B469" s="566"/>
      <c r="C469" s="566"/>
      <c r="D469" s="566"/>
      <c r="E469" s="566"/>
      <c r="F469" s="566"/>
      <c r="G469" s="566" t="s">
        <v>2437</v>
      </c>
      <c r="H469" s="567" t="s">
        <v>335</v>
      </c>
      <c r="I469" s="677"/>
      <c r="J469" s="294" t="str">
        <f>IF(ISBLANK(HLOOKUP(CaseName,CaseData,MATCH($G469,cases!$G$4:$G$2494,0),FALSE)),"",HLOOKUP(CaseName,CaseData,MATCH($G469,cases!$G$4:$G$2494,0),FALSE))</f>
        <v/>
      </c>
      <c r="K469" s="620">
        <f>L470*L22*L16/L5</f>
        <v>6.0107236871197808E-7</v>
      </c>
      <c r="L469" s="550">
        <f t="shared" si="22"/>
        <v>6.0107236871197808E-7</v>
      </c>
      <c r="M469" s="567" t="s">
        <v>335</v>
      </c>
      <c r="N469" s="566"/>
      <c r="O469" s="604"/>
      <c r="P469" s="566"/>
    </row>
    <row r="470" spans="1:16" customFormat="1" ht="12.75" customHeight="1" x14ac:dyDescent="0.3">
      <c r="A470" s="566"/>
      <c r="B470" s="566" t="s">
        <v>1669</v>
      </c>
      <c r="C470" s="566"/>
      <c r="D470" s="566"/>
      <c r="E470" s="566"/>
      <c r="F470" s="566"/>
      <c r="G470" s="567" t="s">
        <v>2438</v>
      </c>
      <c r="H470" s="567" t="s">
        <v>866</v>
      </c>
      <c r="I470" s="677"/>
      <c r="J470" s="294" t="str">
        <f>IF(ISBLANK(HLOOKUP(CaseName,CaseData,MATCH($G470,cases!$G$4:$G$2494,0),FALSE)),"",HLOOKUP(CaseName,CaseData,MATCH($G470,cases!$G$4:$G$2494,0),FALSE))</f>
        <v/>
      </c>
      <c r="K470" s="620">
        <f>1/(L461+L464)+L388</f>
        <v>1.1653086926217769E-3</v>
      </c>
      <c r="L470" s="550">
        <f t="shared" si="22"/>
        <v>1.1653086926217769E-3</v>
      </c>
      <c r="M470" s="567" t="s">
        <v>866</v>
      </c>
      <c r="N470" s="566"/>
      <c r="O470" s="604"/>
      <c r="P470" s="566"/>
    </row>
    <row r="471" spans="1:16" customFormat="1" ht="12.75" customHeight="1" x14ac:dyDescent="0.3">
      <c r="A471" s="566" t="s">
        <v>1780</v>
      </c>
      <c r="B471" s="566"/>
      <c r="C471" s="566"/>
      <c r="D471" s="566"/>
      <c r="E471" s="566"/>
      <c r="F471" s="566"/>
      <c r="G471" s="566" t="s">
        <v>2439</v>
      </c>
      <c r="H471" s="567" t="s">
        <v>335</v>
      </c>
      <c r="I471" s="677"/>
      <c r="J471" s="294" t="str">
        <f>IF(ISBLANK(HLOOKUP(CaseName,CaseData,MATCH($G471,cases!$G$4:$G$2494,0),FALSE)),"",HLOOKUP(CaseName,CaseData,MATCH($G471,cases!$G$4:$G$2494,0),FALSE))</f>
        <v/>
      </c>
      <c r="K471" s="620">
        <f>(L136*L17*L16)/L5</f>
        <v>1.2104875666744156E-9</v>
      </c>
      <c r="L471" s="550">
        <f t="shared" si="22"/>
        <v>1.2104875666744156E-9</v>
      </c>
      <c r="M471" s="567" t="s">
        <v>335</v>
      </c>
      <c r="N471" s="566"/>
      <c r="O471" s="604"/>
      <c r="P471" s="566"/>
    </row>
    <row r="472" spans="1:16" customFormat="1" ht="12.75" customHeight="1" x14ac:dyDescent="0.3">
      <c r="A472" s="566" t="s">
        <v>1782</v>
      </c>
      <c r="B472" s="566"/>
      <c r="C472" s="566"/>
      <c r="D472" s="566"/>
      <c r="E472" s="566"/>
      <c r="F472" s="566"/>
      <c r="G472" s="566" t="s">
        <v>2440</v>
      </c>
      <c r="H472" s="567" t="s">
        <v>335</v>
      </c>
      <c r="I472" s="677"/>
      <c r="J472" s="294" t="str">
        <f>IF(ISBLANK(HLOOKUP(CaseName,CaseData,MATCH($G472,cases!$G$4:$G$2494,0),FALSE)),"",HLOOKUP(CaseName,CaseData,MATCH($G472,cases!$G$4:$G$2494,0),FALSE))</f>
        <v/>
      </c>
      <c r="K472" s="620">
        <f>(L136*L18*L16)/L5</f>
        <v>1.3315363233418569E-8</v>
      </c>
      <c r="L472" s="550">
        <f t="shared" si="22"/>
        <v>1.3315363233418569E-8</v>
      </c>
      <c r="M472" s="567" t="s">
        <v>335</v>
      </c>
      <c r="N472" s="566"/>
      <c r="O472" s="604"/>
      <c r="P472" s="566"/>
    </row>
    <row r="473" spans="1:16" customFormat="1" ht="12.75" customHeight="1" x14ac:dyDescent="0.3">
      <c r="A473" s="566" t="s">
        <v>1784</v>
      </c>
      <c r="B473" s="566"/>
      <c r="C473" s="566"/>
      <c r="D473" s="566"/>
      <c r="E473" s="566"/>
      <c r="F473" s="566"/>
      <c r="G473" s="566" t="s">
        <v>2441</v>
      </c>
      <c r="H473" s="567" t="s">
        <v>335</v>
      </c>
      <c r="I473" s="677"/>
      <c r="J473" s="294" t="str">
        <f>IF(ISBLANK(HLOOKUP(CaseName,CaseData,MATCH($G473,cases!$G$4:$G$2494,0),FALSE)),"",HLOOKUP(CaseName,CaseData,MATCH($G473,cases!$G$4:$G$2494,0),FALSE))</f>
        <v/>
      </c>
      <c r="K473" s="620">
        <f>(L136*L22*L16)/L5</f>
        <v>5.1580527333032397E-7</v>
      </c>
      <c r="L473" s="550">
        <f t="shared" si="22"/>
        <v>5.1580527333032397E-7</v>
      </c>
      <c r="M473" s="567" t="s">
        <v>335</v>
      </c>
      <c r="N473" s="566"/>
      <c r="O473" s="604"/>
      <c r="P473" s="566"/>
    </row>
    <row r="474" spans="1:16" s="633" customFormat="1" ht="12.75" customHeight="1" x14ac:dyDescent="0.3">
      <c r="A474" s="582" t="s">
        <v>1786</v>
      </c>
      <c r="B474" s="582"/>
      <c r="C474" s="582"/>
      <c r="D474" s="582"/>
      <c r="E474" s="582"/>
      <c r="F474" s="582"/>
      <c r="G474" s="581" t="s">
        <v>2442</v>
      </c>
      <c r="H474" s="581" t="s">
        <v>335</v>
      </c>
      <c r="I474" s="707"/>
      <c r="J474" s="294" t="str">
        <f>IF(ISBLANK(HLOOKUP(CaseName,CaseData,MATCH($G474,cases!$G$4:$G$2494,0),FALSE)),"",HLOOKUP(CaseName,CaseData,MATCH($G474,cases!$G$4:$G$2494,0),FALSE))</f>
        <v/>
      </c>
      <c r="K474" s="622">
        <f>(RAINrate.C*L19*L16)/(L6)</f>
        <v>9.6728458524211268E-6</v>
      </c>
      <c r="L474" s="706">
        <f t="shared" si="22"/>
        <v>9.6728458524211268E-6</v>
      </c>
      <c r="M474" s="581" t="s">
        <v>335</v>
      </c>
      <c r="N474" s="582"/>
      <c r="O474" s="663"/>
      <c r="P474" s="582"/>
    </row>
    <row r="475" spans="1:16" customFormat="1" ht="12" customHeight="1" x14ac:dyDescent="0.3">
      <c r="A475" s="566" t="s">
        <v>1789</v>
      </c>
      <c r="B475" s="566"/>
      <c r="C475" s="566"/>
      <c r="D475" s="566"/>
      <c r="E475" s="566"/>
      <c r="F475" s="566"/>
      <c r="G475" s="567" t="s">
        <v>2443</v>
      </c>
      <c r="H475" s="567" t="s">
        <v>335</v>
      </c>
      <c r="I475" s="677"/>
      <c r="J475" s="294" t="str">
        <f>IF(ISBLANK(HLOOKUP(CaseName,CaseData,MATCH($G475,cases!$G$4:$G$2494,0),FALSE)),"",HLOOKUP(CaseName,CaseData,MATCH($G475,cases!$G$4:$G$2494,0),FALSE))</f>
        <v/>
      </c>
      <c r="K475" s="620">
        <f>(RAINrate.C*L20*L16)/L6</f>
        <v>2.1495213005380281E-5</v>
      </c>
      <c r="L475" s="550">
        <f t="shared" si="22"/>
        <v>2.1495213005380281E-5</v>
      </c>
      <c r="M475" s="567" t="s">
        <v>335</v>
      </c>
      <c r="N475" s="566"/>
      <c r="O475" s="604"/>
      <c r="P475" s="566"/>
    </row>
    <row r="476" spans="1:16" customFormat="1" ht="12.75" customHeight="1" x14ac:dyDescent="0.3">
      <c r="A476" s="566" t="s">
        <v>1791</v>
      </c>
      <c r="B476" s="566"/>
      <c r="C476" s="566"/>
      <c r="D476" s="566"/>
      <c r="E476" s="566"/>
      <c r="F476" s="566"/>
      <c r="G476" s="567" t="s">
        <v>2444</v>
      </c>
      <c r="H476" s="567" t="s">
        <v>335</v>
      </c>
      <c r="I476" s="677"/>
      <c r="J476" s="294" t="str">
        <f>IF(ISBLANK(HLOOKUP(CaseName,CaseData,MATCH($G476,cases!$G$4:$G$2494,0),FALSE)),"",HLOOKUP(CaseName,CaseData,MATCH($G476,cases!$G$4:$G$2494,0),FALSE))</f>
        <v/>
      </c>
      <c r="K476" s="620">
        <f>(RAINrate.C*L21*L16)/(L6)</f>
        <v>3.5825355008967127E-6</v>
      </c>
      <c r="L476" s="550">
        <f t="shared" si="22"/>
        <v>3.5825355008967127E-6</v>
      </c>
      <c r="M476" s="567" t="s">
        <v>335</v>
      </c>
      <c r="N476" s="566"/>
      <c r="O476" s="604"/>
      <c r="P476" s="566"/>
    </row>
    <row r="477" spans="1:16" customFormat="1" ht="12.75" customHeight="1" x14ac:dyDescent="0.3">
      <c r="A477" s="566" t="s">
        <v>1793</v>
      </c>
      <c r="B477" s="566"/>
      <c r="C477" s="566"/>
      <c r="D477" s="566"/>
      <c r="E477" s="566"/>
      <c r="F477" s="566"/>
      <c r="G477" s="567" t="s">
        <v>2445</v>
      </c>
      <c r="H477" s="567" t="s">
        <v>335</v>
      </c>
      <c r="I477" s="677"/>
      <c r="J477" s="294" t="str">
        <f>IF(ISBLANK(HLOOKUP(CaseName,CaseData,MATCH($G477,cases!$G$4:$G$2494,0),FALSE)),"",HLOOKUP(CaseName,CaseData,MATCH($G477,cases!$G$4:$G$2494,0),FALSE))</f>
        <v/>
      </c>
      <c r="K477" s="620">
        <f>(RAINrate.C*L19*L16)/(L6)</f>
        <v>9.6728458524211268E-6</v>
      </c>
      <c r="L477" s="550">
        <f t="shared" si="22"/>
        <v>9.6728458524211268E-6</v>
      </c>
      <c r="M477" s="567" t="s">
        <v>335</v>
      </c>
      <c r="N477" s="566"/>
      <c r="O477" s="604"/>
      <c r="P477" s="566"/>
    </row>
    <row r="478" spans="1:16" customFormat="1" ht="12.75" customHeight="1" x14ac:dyDescent="0.3">
      <c r="A478" s="566" t="s">
        <v>1795</v>
      </c>
      <c r="B478" s="566"/>
      <c r="C478" s="566"/>
      <c r="D478" s="566"/>
      <c r="E478" s="566"/>
      <c r="F478" s="566"/>
      <c r="G478" s="567" t="s">
        <v>2446</v>
      </c>
      <c r="H478" s="567" t="s">
        <v>335</v>
      </c>
      <c r="I478" s="677"/>
      <c r="J478" s="294" t="str">
        <f>IF(ISBLANK(HLOOKUP(CaseName,CaseData,MATCH($G478,cases!$G$4:$G$2494,0),FALSE)),"",HLOOKUP(CaseName,CaseData,MATCH($G478,cases!$G$4:$G$2494,0),FALSE))</f>
        <v/>
      </c>
      <c r="K478" s="620">
        <f>(RAINrate.C*L20*L16)/L6</f>
        <v>2.1495213005380281E-5</v>
      </c>
      <c r="L478" s="550">
        <f t="shared" si="22"/>
        <v>2.1495213005380281E-5</v>
      </c>
      <c r="M478" s="567" t="s">
        <v>335</v>
      </c>
      <c r="N478" s="566"/>
      <c r="O478" s="604"/>
      <c r="P478" s="566"/>
    </row>
    <row r="479" spans="1:16" customFormat="1" ht="12.75" customHeight="1" x14ac:dyDescent="0.3">
      <c r="A479" s="566" t="s">
        <v>1797</v>
      </c>
      <c r="B479" s="566"/>
      <c r="C479" s="566"/>
      <c r="D479" s="566"/>
      <c r="E479" s="566"/>
      <c r="F479" s="566"/>
      <c r="G479" s="567" t="s">
        <v>2447</v>
      </c>
      <c r="H479" s="567" t="s">
        <v>335</v>
      </c>
      <c r="I479" s="677"/>
      <c r="J479" s="294" t="str">
        <f>IF(ISBLANK(HLOOKUP(CaseName,CaseData,MATCH($G479,cases!$G$4:$G$2494,0),FALSE)),"",HLOOKUP(CaseName,CaseData,MATCH($G479,cases!$G$4:$G$2494,0),FALSE))</f>
        <v/>
      </c>
      <c r="K479" s="620">
        <f>(RAINrate.C*L21*L16)/(L6)</f>
        <v>3.5825355008967127E-6</v>
      </c>
      <c r="L479" s="550">
        <f t="shared" si="22"/>
        <v>3.5825355008967127E-6</v>
      </c>
      <c r="M479" s="567" t="s">
        <v>335</v>
      </c>
      <c r="N479" s="566"/>
      <c r="O479" s="604"/>
      <c r="P479" s="566"/>
    </row>
    <row r="480" spans="1:16" customFormat="1" ht="12.75" customHeight="1" x14ac:dyDescent="0.3">
      <c r="A480" s="566" t="s">
        <v>1799</v>
      </c>
      <c r="B480" s="566"/>
      <c r="C480" s="566"/>
      <c r="D480" s="566"/>
      <c r="E480" s="566"/>
      <c r="F480" s="566"/>
      <c r="G480" s="567" t="s">
        <v>2448</v>
      </c>
      <c r="H480" s="567" t="s">
        <v>335</v>
      </c>
      <c r="I480" s="677"/>
      <c r="J480" s="294" t="str">
        <f>IF(ISBLANK(HLOOKUP(CaseName,CaseData,MATCH($G480,cases!$G$4:$G$2494,0),FALSE)),"",HLOOKUP(CaseName,CaseData,MATCH($G480,cases!$G$4:$G$2494,0),FALSE))</f>
        <v/>
      </c>
      <c r="K480" s="620">
        <f>(RAINrate.C*L19*L16)/(L6)</f>
        <v>9.6728458524211268E-6</v>
      </c>
      <c r="L480" s="550">
        <f t="shared" si="22"/>
        <v>9.6728458524211268E-6</v>
      </c>
      <c r="M480" s="567" t="s">
        <v>335</v>
      </c>
      <c r="N480" s="566"/>
      <c r="O480" s="604"/>
      <c r="P480" s="566"/>
    </row>
    <row r="481" spans="1:21" customFormat="1" ht="12.75" customHeight="1" x14ac:dyDescent="0.3">
      <c r="A481" s="566" t="s">
        <v>1801</v>
      </c>
      <c r="B481" s="566"/>
      <c r="C481" s="566"/>
      <c r="D481" s="566"/>
      <c r="E481" s="566"/>
      <c r="F481" s="566"/>
      <c r="G481" s="567" t="s">
        <v>2449</v>
      </c>
      <c r="H481" s="567" t="s">
        <v>335</v>
      </c>
      <c r="I481" s="677"/>
      <c r="J481" s="294" t="str">
        <f>IF(ISBLANK(HLOOKUP(CaseName,CaseData,MATCH($G481,cases!$G$4:$G$2494,0),FALSE)),"",HLOOKUP(CaseName,CaseData,MATCH($G481,cases!$G$4:$G$2494,0),FALSE))</f>
        <v/>
      </c>
      <c r="K481" s="620">
        <f>(RAINrate.C*L20*L16)/(L6)</f>
        <v>2.1495213005380281E-5</v>
      </c>
      <c r="L481" s="550">
        <f t="shared" si="22"/>
        <v>2.1495213005380281E-5</v>
      </c>
      <c r="M481" s="567" t="s">
        <v>335</v>
      </c>
      <c r="N481" s="566"/>
      <c r="O481" s="604"/>
      <c r="P481" s="566"/>
    </row>
    <row r="482" spans="1:21" customFormat="1" ht="12.75" customHeight="1" x14ac:dyDescent="0.3">
      <c r="A482" s="566" t="s">
        <v>1803</v>
      </c>
      <c r="B482" s="566"/>
      <c r="C482" s="566"/>
      <c r="D482" s="566"/>
      <c r="E482" s="566"/>
      <c r="F482" s="566"/>
      <c r="G482" s="567" t="s">
        <v>2450</v>
      </c>
      <c r="H482" s="567" t="s">
        <v>335</v>
      </c>
      <c r="I482" s="677"/>
      <c r="J482" s="294" t="str">
        <f>IF(ISBLANK(HLOOKUP(CaseName,CaseData,MATCH($G482,cases!$G$4:$G$2494,0),FALSE)),"",HLOOKUP(CaseName,CaseData,MATCH($G482,cases!$G$4:$G$2494,0),FALSE))</f>
        <v/>
      </c>
      <c r="K482" s="620">
        <f>(RAINrate.C*L21*L16)/L6</f>
        <v>3.5825355008967127E-6</v>
      </c>
      <c r="L482" s="550">
        <f t="shared" si="22"/>
        <v>3.5825355008967127E-6</v>
      </c>
      <c r="M482" s="567" t="s">
        <v>335</v>
      </c>
      <c r="N482" s="566"/>
      <c r="O482" s="604"/>
      <c r="P482" s="566"/>
    </row>
    <row r="483" spans="1:21" customFormat="1" ht="12.75" customHeight="1" x14ac:dyDescent="0.3">
      <c r="A483" s="566" t="s">
        <v>1805</v>
      </c>
      <c r="B483" s="566"/>
      <c r="C483" s="566"/>
      <c r="D483" s="566"/>
      <c r="E483" s="566"/>
      <c r="F483" s="566"/>
      <c r="G483" s="567" t="s">
        <v>2451</v>
      </c>
      <c r="H483" s="567" t="s">
        <v>335</v>
      </c>
      <c r="I483" s="677"/>
      <c r="J483" s="294" t="str">
        <f>IF(ISBLANK(HLOOKUP(CaseName,CaseData,MATCH($G483,cases!$G$4:$G$2494,0),FALSE)),"",HLOOKUP(CaseName,CaseData,MATCH($G483,cases!$G$4:$G$2494,0),FALSE))</f>
        <v/>
      </c>
      <c r="K483" s="620">
        <f>(RAINrate.C*L17*L16)/(L6)</f>
        <v>8.9563387522417847E-8</v>
      </c>
      <c r="L483" s="550">
        <f t="shared" si="22"/>
        <v>8.9563387522417847E-8</v>
      </c>
      <c r="M483" s="567" t="s">
        <v>335</v>
      </c>
      <c r="N483" s="566"/>
      <c r="O483" s="604"/>
      <c r="P483" s="566"/>
    </row>
    <row r="484" spans="1:21" customFormat="1" ht="12.75" customHeight="1" x14ac:dyDescent="0.3">
      <c r="A484" s="566" t="s">
        <v>1807</v>
      </c>
      <c r="B484" s="566"/>
      <c r="C484" s="566"/>
      <c r="D484" s="566"/>
      <c r="E484" s="566"/>
      <c r="F484" s="566"/>
      <c r="G484" s="567" t="s">
        <v>2452</v>
      </c>
      <c r="H484" s="567" t="s">
        <v>335</v>
      </c>
      <c r="I484" s="677"/>
      <c r="J484" s="294" t="str">
        <f>IF(ISBLANK(HLOOKUP(CaseName,CaseData,MATCH($G484,cases!$G$4:$G$2494,0),FALSE)),"",HLOOKUP(CaseName,CaseData,MATCH($G484,cases!$G$4:$G$2494,0),FALSE))</f>
        <v/>
      </c>
      <c r="K484" s="620">
        <f>(RAINrate.C*L18*L16)/(L6)</f>
        <v>9.8519726274659594E-7</v>
      </c>
      <c r="L484" s="550">
        <f t="shared" si="22"/>
        <v>9.8519726274659594E-7</v>
      </c>
      <c r="M484" s="567" t="s">
        <v>335</v>
      </c>
      <c r="N484" s="566"/>
      <c r="O484" s="604"/>
      <c r="P484" s="566"/>
    </row>
    <row r="485" spans="1:21" customFormat="1" ht="12.75" customHeight="1" x14ac:dyDescent="0.3">
      <c r="A485" s="566" t="s">
        <v>1809</v>
      </c>
      <c r="B485" s="566"/>
      <c r="C485" s="566"/>
      <c r="D485" s="566"/>
      <c r="E485" s="566"/>
      <c r="F485" s="566"/>
      <c r="G485" s="567" t="s">
        <v>2453</v>
      </c>
      <c r="H485" s="567" t="s">
        <v>335</v>
      </c>
      <c r="I485" s="677"/>
      <c r="J485" s="294" t="str">
        <f>IF(ISBLANK(HLOOKUP(CaseName,CaseData,MATCH($G485,cases!$G$4:$G$2494,0),FALSE)),"",HLOOKUP(CaseName,CaseData,MATCH($G485,cases!$G$4:$G$2494,0),FALSE))</f>
        <v/>
      </c>
      <c r="K485" s="620">
        <f>(RAINrate.C*L22*L16)/(L6)</f>
        <v>3.8164181816677947E-5</v>
      </c>
      <c r="L485" s="550">
        <f t="shared" si="22"/>
        <v>3.8164181816677947E-5</v>
      </c>
      <c r="M485" s="567" t="s">
        <v>335</v>
      </c>
      <c r="N485" s="566"/>
      <c r="O485" s="604"/>
      <c r="P485" s="566"/>
    </row>
    <row r="486" spans="1:21" customFormat="1" ht="12.75" customHeight="1" x14ac:dyDescent="0.3">
      <c r="A486" s="566" t="s">
        <v>1811</v>
      </c>
      <c r="B486" s="566"/>
      <c r="C486" s="566"/>
      <c r="D486" s="566"/>
      <c r="E486" s="566"/>
      <c r="F486" s="566"/>
      <c r="G486" s="567" t="s">
        <v>2454</v>
      </c>
      <c r="H486" s="567" t="s">
        <v>335</v>
      </c>
      <c r="I486" s="677"/>
      <c r="J486" s="294" t="str">
        <f>IF(ISBLANK(HLOOKUP(CaseName,CaseData,MATCH($G486,cases!$G$4:$G$2494,0),FALSE)),"",HLOOKUP(CaseName,CaseData,MATCH($G486,cases!$G$4:$G$2494,0),FALSE))</f>
        <v/>
      </c>
      <c r="K486" s="620">
        <f>(RAINrate.C*L17*L16)/(L6)</f>
        <v>8.9563387522417847E-8</v>
      </c>
      <c r="L486" s="550">
        <f t="shared" si="22"/>
        <v>8.9563387522417847E-8</v>
      </c>
      <c r="M486" s="567" t="s">
        <v>335</v>
      </c>
      <c r="N486" s="566"/>
      <c r="O486" s="604"/>
      <c r="P486" s="566"/>
    </row>
    <row r="487" spans="1:21" customFormat="1" ht="12.75" customHeight="1" x14ac:dyDescent="0.3">
      <c r="A487" s="566" t="s">
        <v>1813</v>
      </c>
      <c r="B487" s="566"/>
      <c r="C487" s="566"/>
      <c r="D487" s="566"/>
      <c r="E487" s="566"/>
      <c r="F487" s="566"/>
      <c r="G487" s="567" t="s">
        <v>2455</v>
      </c>
      <c r="H487" s="567" t="s">
        <v>335</v>
      </c>
      <c r="I487" s="677"/>
      <c r="J487" s="294" t="str">
        <f>IF(ISBLANK(HLOOKUP(CaseName,CaseData,MATCH($G487,cases!$G$4:$G$2494,0),FALSE)),"",HLOOKUP(CaseName,CaseData,MATCH($G487,cases!$G$4:$G$2494,0),FALSE))</f>
        <v/>
      </c>
      <c r="K487" s="620">
        <f>(RAINrate.C*L18*L16)/(L6)</f>
        <v>9.8519726274659594E-7</v>
      </c>
      <c r="L487" s="550">
        <f t="shared" si="22"/>
        <v>9.8519726274659594E-7</v>
      </c>
      <c r="M487" s="567" t="s">
        <v>335</v>
      </c>
      <c r="N487" s="566"/>
      <c r="O487" s="604"/>
      <c r="P487" s="566"/>
    </row>
    <row r="488" spans="1:21" customFormat="1" ht="12.75" customHeight="1" x14ac:dyDescent="0.3">
      <c r="A488" s="566" t="s">
        <v>1815</v>
      </c>
      <c r="B488" s="566"/>
      <c r="C488" s="566"/>
      <c r="D488" s="566"/>
      <c r="E488" s="566"/>
      <c r="F488" s="566"/>
      <c r="G488" s="567" t="s">
        <v>2456</v>
      </c>
      <c r="H488" s="567" t="s">
        <v>335</v>
      </c>
      <c r="I488" s="677"/>
      <c r="J488" s="294" t="str">
        <f>IF(ISBLANK(HLOOKUP(CaseName,CaseData,MATCH($G488,cases!$G$4:$G$2494,0),FALSE)),"",HLOOKUP(CaseName,CaseData,MATCH($G488,cases!$G$4:$G$2494,0),FALSE))</f>
        <v/>
      </c>
      <c r="K488" s="620">
        <f>(RAINrate.C*L22*L16)/(L6)</f>
        <v>3.8164181816677947E-5</v>
      </c>
      <c r="L488" s="550">
        <f t="shared" si="22"/>
        <v>3.8164181816677947E-5</v>
      </c>
      <c r="M488" s="567" t="s">
        <v>335</v>
      </c>
      <c r="N488" s="566"/>
      <c r="O488" s="604"/>
      <c r="P488" s="566"/>
    </row>
    <row r="489" spans="1:21" customFormat="1" ht="12.75" customHeight="1" x14ac:dyDescent="0.3">
      <c r="A489" s="566" t="s">
        <v>1817</v>
      </c>
      <c r="B489" s="566"/>
      <c r="C489" s="566"/>
      <c r="D489" s="566"/>
      <c r="E489" s="566"/>
      <c r="F489" s="566"/>
      <c r="G489" s="567" t="s">
        <v>2457</v>
      </c>
      <c r="H489" s="567" t="s">
        <v>335</v>
      </c>
      <c r="I489" s="677"/>
      <c r="J489" s="294" t="str">
        <f>IF(ISBLANK(HLOOKUP(CaseName,CaseData,MATCH($G489,cases!$G$4:$G$2494,0),FALSE)),"",HLOOKUP(CaseName,CaseData,MATCH($G489,cases!$G$4:$G$2494,0),FALSE))</f>
        <v/>
      </c>
      <c r="K489" s="620">
        <f>(RAINrate.C*L17*L16)/(L6)</f>
        <v>8.9563387522417847E-8</v>
      </c>
      <c r="L489" s="550">
        <f t="shared" si="22"/>
        <v>8.9563387522417847E-8</v>
      </c>
      <c r="M489" s="567" t="s">
        <v>335</v>
      </c>
      <c r="N489" s="566"/>
      <c r="O489" s="604"/>
      <c r="P489" s="566"/>
    </row>
    <row r="490" spans="1:21" customFormat="1" ht="12.75" customHeight="1" x14ac:dyDescent="0.3">
      <c r="A490" s="566" t="s">
        <v>1819</v>
      </c>
      <c r="B490" s="566"/>
      <c r="C490" s="566"/>
      <c r="D490" s="566"/>
      <c r="E490" s="566"/>
      <c r="F490" s="566"/>
      <c r="G490" s="567" t="s">
        <v>2458</v>
      </c>
      <c r="H490" s="567" t="s">
        <v>335</v>
      </c>
      <c r="I490" s="677"/>
      <c r="J490" s="294" t="str">
        <f>IF(ISBLANK(HLOOKUP(CaseName,CaseData,MATCH($G490,cases!$G$4:$G$2494,0),FALSE)),"",HLOOKUP(CaseName,CaseData,MATCH($G490,cases!$G$4:$G$2494,0),FALSE))</f>
        <v/>
      </c>
      <c r="K490" s="620">
        <f>(RAINrate.C*L18*L16)/(L6)</f>
        <v>9.8519726274659594E-7</v>
      </c>
      <c r="L490" s="550">
        <f t="shared" si="22"/>
        <v>9.8519726274659594E-7</v>
      </c>
      <c r="M490" s="567" t="s">
        <v>335</v>
      </c>
      <c r="N490" s="566"/>
      <c r="O490" s="604"/>
      <c r="P490" s="566"/>
    </row>
    <row r="491" spans="1:21" customFormat="1" ht="12.75" customHeight="1" x14ac:dyDescent="0.3">
      <c r="A491" s="566" t="s">
        <v>1821</v>
      </c>
      <c r="B491" s="566"/>
      <c r="C491" s="566"/>
      <c r="D491" s="566"/>
      <c r="E491" s="566"/>
      <c r="F491" s="566"/>
      <c r="G491" s="567" t="s">
        <v>2459</v>
      </c>
      <c r="H491" s="567" t="s">
        <v>335</v>
      </c>
      <c r="I491" s="677"/>
      <c r="J491" s="294" t="str">
        <f>IF(ISBLANK(HLOOKUP(CaseName,CaseData,MATCH($G491,cases!$G$4:$G$2494,0),FALSE)),"",HLOOKUP(CaseName,CaseData,MATCH($G491,cases!$G$4:$G$2494,0),FALSE))</f>
        <v/>
      </c>
      <c r="K491" s="620">
        <f>(RAINrate.C*L22*L16)/(L6)</f>
        <v>3.8164181816677947E-5</v>
      </c>
      <c r="L491" s="550">
        <f t="shared" si="22"/>
        <v>3.8164181816677947E-5</v>
      </c>
      <c r="M491" s="567" t="s">
        <v>335</v>
      </c>
      <c r="N491" s="566"/>
      <c r="O491" s="604"/>
      <c r="P491" s="566"/>
    </row>
    <row r="492" spans="1:21" s="633" customFormat="1" ht="12.75" customHeight="1" x14ac:dyDescent="0.3">
      <c r="A492" s="582" t="s">
        <v>1823</v>
      </c>
      <c r="B492" s="582"/>
      <c r="C492" s="582"/>
      <c r="D492" s="582"/>
      <c r="E492" s="582"/>
      <c r="F492" s="582"/>
      <c r="G492" s="581" t="s">
        <v>2460</v>
      </c>
      <c r="H492" s="581" t="s">
        <v>335</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335</v>
      </c>
      <c r="N492" s="566"/>
      <c r="O492" s="797"/>
      <c r="P492" s="566"/>
      <c r="Q492"/>
      <c r="R492"/>
      <c r="S492"/>
      <c r="T492"/>
      <c r="U492"/>
    </row>
    <row r="493" spans="1:21" customFormat="1" ht="12.75" customHeight="1" x14ac:dyDescent="0.3">
      <c r="A493" s="566" t="s">
        <v>1825</v>
      </c>
      <c r="B493" s="566"/>
      <c r="C493" s="566"/>
      <c r="D493" s="566"/>
      <c r="E493" s="566"/>
      <c r="F493" s="566"/>
      <c r="G493" s="567" t="s">
        <v>2461</v>
      </c>
      <c r="H493" s="567" t="s">
        <v>335</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335</v>
      </c>
      <c r="N493" s="566"/>
      <c r="O493" s="797"/>
      <c r="P493" s="566"/>
    </row>
    <row r="494" spans="1:21" customFormat="1" ht="12.75" customHeight="1" x14ac:dyDescent="0.3">
      <c r="A494" s="566" t="s">
        <v>1827</v>
      </c>
      <c r="B494" s="566"/>
      <c r="C494" s="566"/>
      <c r="D494" s="566"/>
      <c r="E494" s="566"/>
      <c r="F494" s="566"/>
      <c r="G494" s="567" t="s">
        <v>2462</v>
      </c>
      <c r="H494" s="567" t="s">
        <v>335</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335</v>
      </c>
      <c r="N494" s="566"/>
      <c r="O494" s="797"/>
      <c r="P494" s="566"/>
    </row>
    <row r="495" spans="1:21" customFormat="1" ht="12.75" customHeight="1" x14ac:dyDescent="0.3">
      <c r="A495" s="566" t="s">
        <v>1829</v>
      </c>
      <c r="B495" s="566"/>
      <c r="C495" s="566"/>
      <c r="D495" s="566"/>
      <c r="E495" s="566"/>
      <c r="F495" s="566"/>
      <c r="G495" s="567" t="s">
        <v>2463</v>
      </c>
      <c r="H495" s="567" t="s">
        <v>335</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335</v>
      </c>
      <c r="N495" s="566"/>
      <c r="O495" s="797"/>
      <c r="P495" s="566"/>
    </row>
    <row r="496" spans="1:21" customFormat="1" ht="12.75" customHeight="1" x14ac:dyDescent="0.3">
      <c r="A496" s="566" t="s">
        <v>1831</v>
      </c>
      <c r="B496" s="566"/>
      <c r="C496" s="566"/>
      <c r="D496" s="566"/>
      <c r="E496" s="566"/>
      <c r="F496" s="566"/>
      <c r="G496" s="567" t="s">
        <v>2464</v>
      </c>
      <c r="H496" s="567" t="s">
        <v>335</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335</v>
      </c>
      <c r="N496" s="566"/>
      <c r="O496" s="797"/>
      <c r="P496" s="566"/>
    </row>
    <row r="497" spans="1:21" customFormat="1" ht="12.75" customHeight="1" x14ac:dyDescent="0.3">
      <c r="A497" s="566" t="s">
        <v>1833</v>
      </c>
      <c r="B497" s="566"/>
      <c r="C497" s="566"/>
      <c r="D497" s="566"/>
      <c r="E497" s="566"/>
      <c r="F497" s="566"/>
      <c r="G497" s="567" t="s">
        <v>2465</v>
      </c>
      <c r="H497" s="567" t="s">
        <v>335</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335</v>
      </c>
      <c r="N497" s="566"/>
      <c r="O497" s="797"/>
      <c r="P497" s="566"/>
    </row>
    <row r="498" spans="1:21" customFormat="1" ht="12.75" customHeight="1" x14ac:dyDescent="0.3">
      <c r="A498" s="566" t="s">
        <v>1835</v>
      </c>
      <c r="B498" s="566"/>
      <c r="C498" s="566"/>
      <c r="D498" s="566"/>
      <c r="E498" s="566"/>
      <c r="F498" s="566"/>
      <c r="G498" s="567" t="s">
        <v>2466</v>
      </c>
      <c r="H498" s="567" t="s">
        <v>335</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335</v>
      </c>
      <c r="N498" s="566"/>
      <c r="O498" s="797"/>
      <c r="P498" s="566"/>
    </row>
    <row r="499" spans="1:21" customFormat="1" ht="12.75" customHeight="1" x14ac:dyDescent="0.3">
      <c r="A499" s="566" t="s">
        <v>1837</v>
      </c>
      <c r="B499" s="566"/>
      <c r="C499" s="566"/>
      <c r="D499" s="566"/>
      <c r="E499" s="566"/>
      <c r="F499" s="566"/>
      <c r="G499" s="567" t="s">
        <v>2467</v>
      </c>
      <c r="H499" s="567" t="s">
        <v>335</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335</v>
      </c>
      <c r="N499" s="566"/>
      <c r="O499" s="797"/>
      <c r="P499" s="566"/>
    </row>
    <row r="500" spans="1:21" customFormat="1" ht="12.75" customHeight="1" x14ac:dyDescent="0.3">
      <c r="A500" s="566" t="s">
        <v>1839</v>
      </c>
      <c r="B500" s="566"/>
      <c r="C500" s="566"/>
      <c r="D500" s="566"/>
      <c r="E500" s="566"/>
      <c r="F500" s="566"/>
      <c r="G500" s="567" t="s">
        <v>2468</v>
      </c>
      <c r="H500" s="567" t="s">
        <v>335</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335</v>
      </c>
      <c r="N500" s="566"/>
      <c r="O500" s="797"/>
      <c r="P500" s="566"/>
    </row>
    <row r="501" spans="1:21" s="633" customFormat="1" ht="12.75" customHeight="1" x14ac:dyDescent="0.3">
      <c r="A501" s="582" t="s">
        <v>1841</v>
      </c>
      <c r="B501" s="582"/>
      <c r="C501" s="582"/>
      <c r="D501" s="582"/>
      <c r="E501" s="582"/>
      <c r="F501" s="582"/>
      <c r="G501" s="581" t="s">
        <v>2469</v>
      </c>
      <c r="H501" s="581" t="s">
        <v>335</v>
      </c>
      <c r="I501" s="707"/>
      <c r="J501" s="294" t="str">
        <f>IF(ISBLANK(HLOOKUP(CaseName,CaseData,MATCH($G501,cases!$G$4:$G$2494,0),FALSE)),"",HLOOKUP(CaseName,CaseData,MATCH($G501,cases!$G$4:$G$2494,0),FALSE))</f>
        <v/>
      </c>
      <c r="K501" s="622">
        <f>$L$161/$L$27</f>
        <v>0</v>
      </c>
      <c r="L501" s="706">
        <f t="shared" si="23"/>
        <v>0</v>
      </c>
      <c r="M501" s="581" t="s">
        <v>335</v>
      </c>
      <c r="N501" s="566" t="s">
        <v>1843</v>
      </c>
      <c r="O501" s="604"/>
      <c r="P501" s="566"/>
      <c r="Q501"/>
      <c r="R501"/>
      <c r="S501"/>
      <c r="T501"/>
      <c r="U501"/>
    </row>
    <row r="502" spans="1:21" customFormat="1" ht="12.75" customHeight="1" x14ac:dyDescent="0.3">
      <c r="A502" s="566" t="s">
        <v>1844</v>
      </c>
      <c r="B502" s="566"/>
      <c r="C502" s="566"/>
      <c r="D502" s="566"/>
      <c r="E502" s="566"/>
      <c r="F502" s="566"/>
      <c r="G502" s="567" t="s">
        <v>2470</v>
      </c>
      <c r="H502" s="567" t="s">
        <v>335</v>
      </c>
      <c r="I502" s="677"/>
      <c r="J502" s="294" t="str">
        <f>IF(ISBLANK(HLOOKUP(CaseName,CaseData,MATCH($G502,cases!$G$4:$G$2494,0),FALSE)),"",HLOOKUP(CaseName,CaseData,MATCH($G502,cases!$G$4:$G$2494,0),FALSE))</f>
        <v/>
      </c>
      <c r="K502" s="620">
        <f>$L$163/$L$28</f>
        <v>2.6060956790031634E-8</v>
      </c>
      <c r="L502" s="550">
        <f t="shared" si="23"/>
        <v>2.6060956790031634E-8</v>
      </c>
      <c r="M502" s="567" t="s">
        <v>335</v>
      </c>
      <c r="N502" s="566" t="s">
        <v>1843</v>
      </c>
      <c r="O502" s="604"/>
      <c r="P502" s="566"/>
    </row>
    <row r="503" spans="1:21" customFormat="1" ht="12.75" customHeight="1" x14ac:dyDescent="0.3">
      <c r="A503" s="566" t="s">
        <v>1846</v>
      </c>
      <c r="B503" s="566"/>
      <c r="C503" s="566"/>
      <c r="D503" s="566"/>
      <c r="E503" s="566"/>
      <c r="F503" s="566"/>
      <c r="G503" s="567" t="s">
        <v>2471</v>
      </c>
      <c r="H503" s="567" t="s">
        <v>335</v>
      </c>
      <c r="I503" s="677"/>
      <c r="J503" s="294" t="str">
        <f>IF(ISBLANK(HLOOKUP(CaseName,CaseData,MATCH($G503,cases!$G$4:$G$2494,0),FALSE)),"",HLOOKUP(CaseName,CaseData,MATCH($G503,cases!$G$4:$G$2494,0),FALSE))</f>
        <v/>
      </c>
      <c r="K503" s="620">
        <f>$L$165/$L$29</f>
        <v>8.7317283950617312E-9</v>
      </c>
      <c r="L503" s="550">
        <f t="shared" si="23"/>
        <v>8.7317283950617312E-9</v>
      </c>
      <c r="M503" s="567" t="s">
        <v>335</v>
      </c>
      <c r="N503" s="566" t="s">
        <v>1843</v>
      </c>
      <c r="O503" s="604"/>
      <c r="P503" s="566"/>
    </row>
    <row r="504" spans="1:21" customFormat="1" ht="12.75" customHeight="1" x14ac:dyDescent="0.3">
      <c r="A504" s="566" t="s">
        <v>1848</v>
      </c>
      <c r="B504" s="566"/>
      <c r="C504" s="566"/>
      <c r="D504" s="566"/>
      <c r="E504" s="566"/>
      <c r="F504" s="566"/>
      <c r="G504" s="567" t="s">
        <v>2472</v>
      </c>
      <c r="H504" s="567" t="s">
        <v>335</v>
      </c>
      <c r="I504" s="677"/>
      <c r="J504" s="294" t="str">
        <f>IF(ISBLANK(HLOOKUP(CaseName,CaseData,MATCH($G504,cases!$G$4:$G$2494,0),FALSE)),"",HLOOKUP(CaseName,CaseData,MATCH($G504,cases!$G$4:$G$2494,0),FALSE))</f>
        <v/>
      </c>
      <c r="K504" s="620">
        <f>$L$161/$L$27</f>
        <v>0</v>
      </c>
      <c r="L504" s="550">
        <f t="shared" si="23"/>
        <v>0</v>
      </c>
      <c r="M504" s="567" t="s">
        <v>335</v>
      </c>
      <c r="N504" s="566" t="s">
        <v>1843</v>
      </c>
      <c r="O504" s="604"/>
      <c r="P504" s="566"/>
    </row>
    <row r="505" spans="1:21" customFormat="1" ht="12.75" customHeight="1" x14ac:dyDescent="0.3">
      <c r="A505" s="566" t="s">
        <v>1850</v>
      </c>
      <c r="B505" s="566"/>
      <c r="C505" s="566"/>
      <c r="D505" s="566"/>
      <c r="E505" s="566"/>
      <c r="F505" s="566"/>
      <c r="G505" s="567" t="s">
        <v>2473</v>
      </c>
      <c r="H505" s="567" t="s">
        <v>335</v>
      </c>
      <c r="I505" s="677"/>
      <c r="J505" s="294" t="str">
        <f>IF(ISBLANK(HLOOKUP(CaseName,CaseData,MATCH($G505,cases!$G$4:$G$2494,0),FALSE)),"",HLOOKUP(CaseName,CaseData,MATCH($G505,cases!$G$4:$G$2494,0),FALSE))</f>
        <v/>
      </c>
      <c r="K505" s="620">
        <f>$L$163/$L$28</f>
        <v>2.6060956790031634E-8</v>
      </c>
      <c r="L505" s="550">
        <f t="shared" si="23"/>
        <v>2.6060956790031634E-8</v>
      </c>
      <c r="M505" s="567" t="s">
        <v>335</v>
      </c>
      <c r="N505" s="566" t="s">
        <v>1843</v>
      </c>
      <c r="O505" s="604"/>
      <c r="P505" s="566"/>
    </row>
    <row r="506" spans="1:21" customFormat="1" ht="12.75" customHeight="1" x14ac:dyDescent="0.3">
      <c r="A506" s="566" t="s">
        <v>1852</v>
      </c>
      <c r="B506" s="566"/>
      <c r="C506" s="566"/>
      <c r="D506" s="566"/>
      <c r="E506" s="566"/>
      <c r="F506" s="566"/>
      <c r="G506" s="567" t="s">
        <v>2474</v>
      </c>
      <c r="H506" s="567" t="s">
        <v>335</v>
      </c>
      <c r="I506" s="677"/>
      <c r="J506" s="294" t="str">
        <f>IF(ISBLANK(HLOOKUP(CaseName,CaseData,MATCH($G506,cases!$G$4:$G$2494,0),FALSE)),"",HLOOKUP(CaseName,CaseData,MATCH($G506,cases!$G$4:$G$2494,0),FALSE))</f>
        <v/>
      </c>
      <c r="K506" s="620">
        <f>$L$165/$L$29</f>
        <v>8.7317283950617312E-9</v>
      </c>
      <c r="L506" s="550">
        <f t="shared" si="23"/>
        <v>8.7317283950617312E-9</v>
      </c>
      <c r="M506" s="567" t="s">
        <v>335</v>
      </c>
      <c r="N506" s="566" t="s">
        <v>1843</v>
      </c>
      <c r="O506" s="604"/>
      <c r="P506" s="566"/>
    </row>
    <row r="507" spans="1:21" customFormat="1" ht="12.75" customHeight="1" x14ac:dyDescent="0.3">
      <c r="A507" s="566" t="s">
        <v>1854</v>
      </c>
      <c r="B507" s="566"/>
      <c r="C507" s="566"/>
      <c r="D507" s="566"/>
      <c r="E507" s="566"/>
      <c r="F507" s="566"/>
      <c r="G507" s="567" t="s">
        <v>2475</v>
      </c>
      <c r="H507" s="567" t="s">
        <v>335</v>
      </c>
      <c r="I507" s="677"/>
      <c r="J507" s="294" t="str">
        <f>IF(ISBLANK(HLOOKUP(CaseName,CaseData,MATCH($G507,cases!$G$4:$G$2494,0),FALSE)),"",HLOOKUP(CaseName,CaseData,MATCH($G507,cases!$G$4:$G$2494,0),FALSE))</f>
        <v/>
      </c>
      <c r="K507" s="620">
        <f>$L$161/$L$27</f>
        <v>0</v>
      </c>
      <c r="L507" s="550">
        <f t="shared" si="23"/>
        <v>0</v>
      </c>
      <c r="M507" s="567" t="s">
        <v>335</v>
      </c>
      <c r="N507" s="566" t="s">
        <v>1843</v>
      </c>
      <c r="O507" s="604"/>
      <c r="P507" s="566"/>
    </row>
    <row r="508" spans="1:21" customFormat="1" ht="12.75" customHeight="1" x14ac:dyDescent="0.3">
      <c r="A508" s="566" t="s">
        <v>1856</v>
      </c>
      <c r="B508" s="566"/>
      <c r="C508" s="566"/>
      <c r="D508" s="566"/>
      <c r="E508" s="566"/>
      <c r="F508" s="566"/>
      <c r="G508" s="567" t="s">
        <v>2476</v>
      </c>
      <c r="H508" s="567" t="s">
        <v>335</v>
      </c>
      <c r="I508" s="677"/>
      <c r="J508" s="294" t="str">
        <f>IF(ISBLANK(HLOOKUP(CaseName,CaseData,MATCH($G508,cases!$G$4:$G$2494,0),FALSE)),"",HLOOKUP(CaseName,CaseData,MATCH($G508,cases!$G$4:$G$2494,0),FALSE))</f>
        <v/>
      </c>
      <c r="K508" s="620">
        <f>$L$163/$L$28</f>
        <v>2.6060956790031634E-8</v>
      </c>
      <c r="L508" s="550">
        <f t="shared" si="23"/>
        <v>2.6060956790031634E-8</v>
      </c>
      <c r="M508" s="567" t="s">
        <v>335</v>
      </c>
      <c r="N508" s="566" t="s">
        <v>1843</v>
      </c>
      <c r="O508" s="604"/>
      <c r="P508" s="566"/>
    </row>
    <row r="509" spans="1:21" customFormat="1" ht="12.75" customHeight="1" x14ac:dyDescent="0.3">
      <c r="A509" s="566" t="s">
        <v>1858</v>
      </c>
      <c r="B509" s="566"/>
      <c r="C509" s="566"/>
      <c r="D509" s="566"/>
      <c r="E509" s="566"/>
      <c r="F509" s="566"/>
      <c r="G509" s="567" t="s">
        <v>2477</v>
      </c>
      <c r="H509" s="567" t="s">
        <v>335</v>
      </c>
      <c r="I509" s="677"/>
      <c r="J509" s="294" t="str">
        <f>IF(ISBLANK(HLOOKUP(CaseName,CaseData,MATCH($G509,cases!$G$4:$G$2494,0),FALSE)),"",HLOOKUP(CaseName,CaseData,MATCH($G509,cases!$G$4:$G$2494,0),FALSE))</f>
        <v/>
      </c>
      <c r="K509" s="620">
        <f>$L$165/$L$29</f>
        <v>8.7317283950617312E-9</v>
      </c>
      <c r="L509" s="550">
        <f t="shared" si="23"/>
        <v>8.7317283950617312E-9</v>
      </c>
      <c r="M509" s="567" t="s">
        <v>335</v>
      </c>
      <c r="N509" s="566" t="s">
        <v>1843</v>
      </c>
      <c r="O509" s="604"/>
      <c r="P509" s="566"/>
    </row>
    <row r="510" spans="1:21" customFormat="1" ht="12.75" customHeight="1" x14ac:dyDescent="0.3">
      <c r="A510" s="582" t="s">
        <v>1860</v>
      </c>
      <c r="B510" s="582"/>
      <c r="C510" s="582"/>
      <c r="D510" s="582"/>
      <c r="E510" s="582"/>
      <c r="F510" s="582"/>
      <c r="G510" s="581" t="s">
        <v>4757</v>
      </c>
      <c r="H510" s="581" t="s">
        <v>335</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335</v>
      </c>
      <c r="N510" s="582" t="s">
        <v>1862</v>
      </c>
      <c r="O510" s="604"/>
      <c r="P510" s="566"/>
    </row>
    <row r="511" spans="1:21" customFormat="1" ht="12.75" customHeight="1" x14ac:dyDescent="0.3">
      <c r="A511" s="566" t="s">
        <v>1863</v>
      </c>
      <c r="B511" s="566"/>
      <c r="C511" s="566"/>
      <c r="D511" s="566"/>
      <c r="E511" s="566"/>
      <c r="F511" s="566"/>
      <c r="G511" s="567" t="s">
        <v>4758</v>
      </c>
      <c r="H511" s="567" t="s">
        <v>335</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335</v>
      </c>
      <c r="N511" s="566" t="s">
        <v>1862</v>
      </c>
      <c r="O511" s="604"/>
      <c r="P511" s="566"/>
    </row>
    <row r="512" spans="1:21" customFormat="1" ht="12.75" customHeight="1" x14ac:dyDescent="0.3">
      <c r="A512" s="566" t="s">
        <v>1865</v>
      </c>
      <c r="B512" s="566"/>
      <c r="C512" s="566"/>
      <c r="D512" s="566"/>
      <c r="E512" s="566"/>
      <c r="F512" s="566"/>
      <c r="G512" s="567" t="s">
        <v>4759</v>
      </c>
      <c r="H512" s="567" t="s">
        <v>335</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335</v>
      </c>
      <c r="N512" s="566" t="s">
        <v>1862</v>
      </c>
      <c r="O512" s="604"/>
      <c r="P512" s="566"/>
    </row>
    <row r="513" spans="1:16" customFormat="1" ht="12.75" customHeight="1" x14ac:dyDescent="0.3">
      <c r="A513" s="566" t="s">
        <v>1867</v>
      </c>
      <c r="B513" s="566"/>
      <c r="C513" s="566"/>
      <c r="D513" s="566"/>
      <c r="E513" s="566"/>
      <c r="F513" s="566"/>
      <c r="G513" s="567" t="s">
        <v>4760</v>
      </c>
      <c r="H513" s="567" t="s">
        <v>335</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335</v>
      </c>
      <c r="N513" s="566" t="s">
        <v>1862</v>
      </c>
      <c r="O513" s="604"/>
      <c r="P513" s="566"/>
    </row>
    <row r="514" spans="1:16" customFormat="1" ht="12.75" customHeight="1" x14ac:dyDescent="0.3">
      <c r="A514" s="566" t="s">
        <v>1869</v>
      </c>
      <c r="B514" s="566"/>
      <c r="C514" s="566"/>
      <c r="D514" s="566"/>
      <c r="E514" s="566"/>
      <c r="F514" s="566"/>
      <c r="G514" s="567" t="s">
        <v>4761</v>
      </c>
      <c r="H514" s="567" t="s">
        <v>335</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335</v>
      </c>
      <c r="N514" s="566" t="s">
        <v>1862</v>
      </c>
      <c r="O514" s="604"/>
      <c r="P514" s="566"/>
    </row>
    <row r="515" spans="1:16" customFormat="1" ht="12.75" customHeight="1" x14ac:dyDescent="0.3">
      <c r="A515" s="566" t="s">
        <v>1871</v>
      </c>
      <c r="B515" s="566"/>
      <c r="C515" s="566"/>
      <c r="D515" s="566"/>
      <c r="E515" s="566"/>
      <c r="F515" s="566"/>
      <c r="G515" s="567" t="s">
        <v>4762</v>
      </c>
      <c r="H515" s="567" t="s">
        <v>335</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335</v>
      </c>
      <c r="N515" s="566" t="s">
        <v>1862</v>
      </c>
      <c r="O515" s="604"/>
      <c r="P515" s="566"/>
    </row>
    <row r="516" spans="1:16" customFormat="1" ht="12.75" customHeight="1" x14ac:dyDescent="0.3">
      <c r="A516" s="566" t="s">
        <v>1873</v>
      </c>
      <c r="B516" s="566"/>
      <c r="C516" s="566"/>
      <c r="D516" s="566"/>
      <c r="E516" s="566"/>
      <c r="F516" s="566"/>
      <c r="G516" s="567" t="s">
        <v>4763</v>
      </c>
      <c r="H516" s="567" t="s">
        <v>335</v>
      </c>
      <c r="I516" s="677"/>
      <c r="J516" s="294" t="str">
        <f>IF(ISBLANK(HLOOKUP(CaseName,CaseData,MATCH($G516,cases!$G$4:$G$2494,0),FALSE)),"",HLOOKUP(CaseName,CaseData,MATCH($G516,cases!$G$4:$G$2494,0),FALSE))</f>
        <v/>
      </c>
      <c r="K516" s="620">
        <f>L188/L30*L17/(L18+L17)</f>
        <v>1.5854895991882296E-12</v>
      </c>
      <c r="L516" s="550">
        <f t="shared" si="24"/>
        <v>1.5854895991882296E-12</v>
      </c>
      <c r="M516" s="567" t="s">
        <v>335</v>
      </c>
      <c r="N516" s="566" t="s">
        <v>1875</v>
      </c>
      <c r="O516" s="604"/>
      <c r="P516" s="566"/>
    </row>
    <row r="517" spans="1:16" customFormat="1" ht="12.75" customHeight="1" x14ac:dyDescent="0.3">
      <c r="A517" s="566" t="s">
        <v>1876</v>
      </c>
      <c r="B517" s="566"/>
      <c r="C517" s="566"/>
      <c r="D517" s="566"/>
      <c r="E517" s="566"/>
      <c r="F517" s="566"/>
      <c r="G517" s="567" t="s">
        <v>4764</v>
      </c>
      <c r="H517" s="567" t="s">
        <v>335</v>
      </c>
      <c r="I517" s="677"/>
      <c r="J517" s="294" t="str">
        <f>IF(ISBLANK(HLOOKUP(CaseName,CaseData,MATCH($G517,cases!$G$4:$G$2494,0),FALSE)),"",HLOOKUP(CaseName,CaseData,MATCH($G517,cases!$G$4:$G$2494,0),FALSE))</f>
        <v/>
      </c>
      <c r="K517" s="620">
        <f>L189/L31*L17/(L18+L17)</f>
        <v>3.9637239979705739E-13</v>
      </c>
      <c r="L517" s="550">
        <f t="shared" si="24"/>
        <v>3.9637239979705739E-13</v>
      </c>
      <c r="M517" s="567" t="s">
        <v>335</v>
      </c>
      <c r="N517" s="566" t="s">
        <v>1875</v>
      </c>
      <c r="O517" s="604"/>
      <c r="P517" s="566"/>
    </row>
    <row r="518" spans="1:16" customFormat="1" ht="12.75" customHeight="1" x14ac:dyDescent="0.3">
      <c r="A518" s="598" t="s">
        <v>1878</v>
      </c>
      <c r="B518" s="598"/>
      <c r="C518" s="598"/>
      <c r="D518" s="598"/>
      <c r="E518" s="598"/>
      <c r="F518" s="598"/>
      <c r="G518" s="601" t="s">
        <v>4765</v>
      </c>
      <c r="H518" s="601" t="s">
        <v>335</v>
      </c>
      <c r="I518" s="682"/>
      <c r="J518" s="294" t="str">
        <f>IF(ISBLANK(HLOOKUP(CaseName,CaseData,MATCH($G518,cases!$G$4:$G$2494,0),FALSE)),"",HLOOKUP(CaseName,CaseData,MATCH($G518,cases!$G$4:$G$2494,0),FALSE))</f>
        <v/>
      </c>
      <c r="K518" s="621">
        <f>L190/L32*L17/(L18+L17)</f>
        <v>1.5854895991882296E-12</v>
      </c>
      <c r="L518" s="705">
        <f t="shared" si="24"/>
        <v>1.5854895991882296E-12</v>
      </c>
      <c r="M518" s="567" t="s">
        <v>335</v>
      </c>
      <c r="N518" s="598" t="s">
        <v>1875</v>
      </c>
      <c r="O518" s="604"/>
      <c r="P518" s="566"/>
    </row>
    <row r="519" spans="1:16" s="633" customFormat="1" ht="12.75" customHeight="1" x14ac:dyDescent="0.3">
      <c r="A519" s="582" t="s">
        <v>1860</v>
      </c>
      <c r="B519" s="582"/>
      <c r="C519" s="582"/>
      <c r="D519" s="582"/>
      <c r="E519" s="582"/>
      <c r="F519" s="582"/>
      <c r="G519" s="581" t="s">
        <v>2478</v>
      </c>
      <c r="H519" s="581" t="s">
        <v>335</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335</v>
      </c>
      <c r="N519" s="582" t="s">
        <v>1862</v>
      </c>
      <c r="O519" s="664"/>
      <c r="P519" s="582"/>
    </row>
    <row r="520" spans="1:16" customFormat="1" ht="12.75" customHeight="1" x14ac:dyDescent="0.3">
      <c r="A520" s="566" t="s">
        <v>1863</v>
      </c>
      <c r="B520" s="566"/>
      <c r="C520" s="566"/>
      <c r="D520" s="566"/>
      <c r="E520" s="566"/>
      <c r="F520" s="566"/>
      <c r="G520" s="567" t="s">
        <v>2479</v>
      </c>
      <c r="H520" s="567" t="s">
        <v>335</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335</v>
      </c>
      <c r="N520" s="566" t="s">
        <v>1862</v>
      </c>
      <c r="O520" s="604"/>
      <c r="P520" s="566"/>
    </row>
    <row r="521" spans="1:16" customFormat="1" ht="12.75" customHeight="1" x14ac:dyDescent="0.3">
      <c r="A521" s="566" t="s">
        <v>1865</v>
      </c>
      <c r="B521" s="566"/>
      <c r="C521" s="566"/>
      <c r="D521" s="566"/>
      <c r="E521" s="566"/>
      <c r="F521" s="566"/>
      <c r="G521" s="567" t="s">
        <v>2480</v>
      </c>
      <c r="H521" s="567" t="s">
        <v>335</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335</v>
      </c>
      <c r="N521" s="566" t="s">
        <v>1862</v>
      </c>
      <c r="O521" s="604"/>
      <c r="P521" s="566"/>
    </row>
    <row r="522" spans="1:16" customFormat="1" ht="12.75" customHeight="1" x14ac:dyDescent="0.3">
      <c r="A522" s="566" t="s">
        <v>1867</v>
      </c>
      <c r="B522" s="566"/>
      <c r="C522" s="566"/>
      <c r="D522" s="566"/>
      <c r="E522" s="566"/>
      <c r="F522" s="566"/>
      <c r="G522" s="567" t="s">
        <v>2481</v>
      </c>
      <c r="H522" s="567" t="s">
        <v>335</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335</v>
      </c>
      <c r="N522" s="566" t="s">
        <v>1862</v>
      </c>
      <c r="O522" s="604"/>
      <c r="P522" s="566"/>
    </row>
    <row r="523" spans="1:16" customFormat="1" ht="12.75" customHeight="1" x14ac:dyDescent="0.3">
      <c r="A523" s="566" t="s">
        <v>1869</v>
      </c>
      <c r="B523" s="566"/>
      <c r="C523" s="566"/>
      <c r="D523" s="566"/>
      <c r="E523" s="566"/>
      <c r="F523" s="566"/>
      <c r="G523" s="567" t="s">
        <v>2482</v>
      </c>
      <c r="H523" s="567" t="s">
        <v>335</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335</v>
      </c>
      <c r="N523" s="566" t="s">
        <v>1862</v>
      </c>
      <c r="O523" s="604"/>
      <c r="P523" s="566"/>
    </row>
    <row r="524" spans="1:16" customFormat="1" ht="12" customHeight="1" x14ac:dyDescent="0.3">
      <c r="A524" s="566" t="s">
        <v>1871</v>
      </c>
      <c r="B524" s="566"/>
      <c r="C524" s="566"/>
      <c r="D524" s="566"/>
      <c r="E524" s="566"/>
      <c r="F524" s="566"/>
      <c r="G524" s="567" t="s">
        <v>2483</v>
      </c>
      <c r="H524" s="567" t="s">
        <v>335</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335</v>
      </c>
      <c r="N524" s="566" t="s">
        <v>1862</v>
      </c>
      <c r="O524" s="604"/>
      <c r="P524" s="566"/>
    </row>
    <row r="525" spans="1:16" customFormat="1" ht="12.75" customHeight="1" x14ac:dyDescent="0.3">
      <c r="A525" s="566" t="s">
        <v>1873</v>
      </c>
      <c r="B525" s="566"/>
      <c r="C525" s="566"/>
      <c r="D525" s="566"/>
      <c r="E525" s="566"/>
      <c r="F525" s="566"/>
      <c r="G525" s="567" t="s">
        <v>2484</v>
      </c>
      <c r="H525" s="567" t="s">
        <v>335</v>
      </c>
      <c r="I525" s="677"/>
      <c r="J525" s="294" t="str">
        <f>IF(ISBLANK(HLOOKUP(CaseName,CaseData,MATCH($G525,cases!$G$4:$G$2494,0),FALSE)),"",HLOOKUP(CaseName,CaseData,MATCH($G525,cases!$G$4:$G$2494,0),FALSE))</f>
        <v/>
      </c>
      <c r="K525" s="620">
        <f>L188/L30*L18/(L18+L17)</f>
        <v>1.744038559107052E-11</v>
      </c>
      <c r="L525" s="550">
        <f t="shared" si="23"/>
        <v>1.744038559107052E-11</v>
      </c>
      <c r="M525" s="567" t="s">
        <v>335</v>
      </c>
      <c r="N525" s="566" t="s">
        <v>1875</v>
      </c>
      <c r="O525" s="604"/>
      <c r="P525" s="566"/>
    </row>
    <row r="526" spans="1:16" customFormat="1" ht="12.75" customHeight="1" x14ac:dyDescent="0.3">
      <c r="A526" s="566" t="s">
        <v>1876</v>
      </c>
      <c r="B526" s="566"/>
      <c r="C526" s="566"/>
      <c r="D526" s="566"/>
      <c r="E526" s="566"/>
      <c r="F526" s="566"/>
      <c r="G526" s="567" t="s">
        <v>2485</v>
      </c>
      <c r="H526" s="567" t="s">
        <v>335</v>
      </c>
      <c r="I526" s="677"/>
      <c r="J526" s="294" t="str">
        <f>IF(ISBLANK(HLOOKUP(CaseName,CaseData,MATCH($G526,cases!$G$4:$G$2494,0),FALSE)),"",HLOOKUP(CaseName,CaseData,MATCH($G526,cases!$G$4:$G$2494,0),FALSE))</f>
        <v/>
      </c>
      <c r="K526" s="620">
        <f>L189/L31*L18/(L18+L17)</f>
        <v>4.3600963977676301E-12</v>
      </c>
      <c r="L526" s="550">
        <f t="shared" si="23"/>
        <v>4.3600963977676301E-12</v>
      </c>
      <c r="M526" s="567" t="s">
        <v>335</v>
      </c>
      <c r="N526" s="566" t="s">
        <v>1875</v>
      </c>
      <c r="O526" s="604"/>
      <c r="P526" s="566"/>
    </row>
    <row r="527" spans="1:16" s="487" customFormat="1" ht="12.75" customHeight="1" x14ac:dyDescent="0.3">
      <c r="A527" s="598" t="s">
        <v>1878</v>
      </c>
      <c r="B527" s="598"/>
      <c r="C527" s="598"/>
      <c r="D527" s="598"/>
      <c r="E527" s="598"/>
      <c r="F527" s="598"/>
      <c r="G527" s="601" t="s">
        <v>2486</v>
      </c>
      <c r="H527" s="601" t="s">
        <v>335</v>
      </c>
      <c r="I527" s="682"/>
      <c r="J527" s="294" t="str">
        <f>IF(ISBLANK(HLOOKUP(CaseName,CaseData,MATCH($G527,cases!$G$4:$G$2494,0),FALSE)),"",HLOOKUP(CaseName,CaseData,MATCH($G527,cases!$G$4:$G$2494,0),FALSE))</f>
        <v/>
      </c>
      <c r="K527" s="621">
        <f>L190/L32*L18/(L18+L17)</f>
        <v>1.744038559107052E-11</v>
      </c>
      <c r="L527" s="705">
        <f t="shared" si="23"/>
        <v>1.744038559107052E-11</v>
      </c>
      <c r="M527" s="601" t="s">
        <v>335</v>
      </c>
      <c r="N527" s="598" t="s">
        <v>1875</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2487</v>
      </c>
      <c r="G529" s="630" t="s">
        <v>258</v>
      </c>
      <c r="H529" s="630" t="s">
        <v>274</v>
      </c>
      <c r="I529" s="413" t="s">
        <v>259</v>
      </c>
      <c r="J529" s="498" t="s">
        <v>275</v>
      </c>
      <c r="K529" s="647" t="s">
        <v>260</v>
      </c>
      <c r="L529" s="648" t="s">
        <v>261</v>
      </c>
      <c r="N529" s="630" t="s">
        <v>262</v>
      </c>
      <c r="O529" s="209"/>
    </row>
    <row r="530" spans="1:20" customFormat="1" ht="12.75" customHeight="1" x14ac:dyDescent="0.3">
      <c r="A530" s="567" t="s">
        <v>1315</v>
      </c>
      <c r="B530" s="566"/>
      <c r="C530" s="566"/>
      <c r="D530" s="566"/>
      <c r="E530" s="566"/>
      <c r="F530" s="566"/>
      <c r="G530" s="567" t="s">
        <v>2488</v>
      </c>
      <c r="H530" s="567" t="s">
        <v>617</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1041</v>
      </c>
      <c r="N530" s="567"/>
      <c r="O530" s="604"/>
      <c r="P530" s="577"/>
      <c r="Q530" s="576"/>
      <c r="R530" s="386"/>
      <c r="S530" s="802"/>
      <c r="T530" s="386"/>
    </row>
    <row r="531" spans="1:20" customFormat="1" ht="12.75" customHeight="1" x14ac:dyDescent="0.3">
      <c r="A531" s="567" t="s">
        <v>1315</v>
      </c>
      <c r="B531" s="566"/>
      <c r="C531" s="566"/>
      <c r="D531" s="566"/>
      <c r="E531" s="566"/>
      <c r="F531" s="566"/>
      <c r="G531" s="567" t="s">
        <v>2489</v>
      </c>
      <c r="H531" s="567" t="s">
        <v>617</v>
      </c>
      <c r="I531" s="711"/>
      <c r="J531" s="294" t="str">
        <f>IF(ISBLANK(HLOOKUP(CaseName,CaseData,MATCH($G531,cases!$G$4:$G$2494,0),FALSE)),"",HLOOKUP(CaseName,CaseData,MATCH($G531,cases!$G$4:$G$2494,0),FALSE))</f>
        <v/>
      </c>
      <c r="K531" s="576">
        <f>L210+kdegA.a</f>
        <v>3.663258818281463E-10</v>
      </c>
      <c r="L531" s="298">
        <f t="shared" si="25"/>
        <v>3.663258818281463E-10</v>
      </c>
      <c r="M531" s="566" t="s">
        <v>1041</v>
      </c>
      <c r="N531" s="567"/>
      <c r="O531" s="604"/>
      <c r="P531" s="577"/>
      <c r="Q531" s="576"/>
      <c r="R531" s="386"/>
      <c r="S531" s="802"/>
      <c r="T531" s="386"/>
    </row>
    <row r="532" spans="1:20" customFormat="1" ht="12.75" customHeight="1" x14ac:dyDescent="0.3">
      <c r="A532" s="567" t="s">
        <v>1315</v>
      </c>
      <c r="B532" s="566"/>
      <c r="C532" s="566"/>
      <c r="D532" s="566"/>
      <c r="E532" s="566"/>
      <c r="F532" s="566"/>
      <c r="G532" s="567" t="s">
        <v>2490</v>
      </c>
      <c r="H532" s="567" t="s">
        <v>617</v>
      </c>
      <c r="I532" s="711"/>
      <c r="J532" s="294" t="str">
        <f>IF(ISBLANK(HLOOKUP(CaseName,CaseData,MATCH($G532,cases!$G$4:$G$2494,0),FALSE)),"",HLOOKUP(CaseName,CaseData,MATCH($G532,cases!$G$4:$G$2494,0),FALSE))</f>
        <v/>
      </c>
      <c r="K532" s="576">
        <f>L210+kdegP.a</f>
        <v>3.663258818281463E-10</v>
      </c>
      <c r="L532" s="298">
        <f t="shared" si="25"/>
        <v>3.663258818281463E-10</v>
      </c>
      <c r="M532" s="566" t="s">
        <v>1041</v>
      </c>
      <c r="N532" s="567"/>
      <c r="O532" s="604"/>
      <c r="P532" s="577"/>
      <c r="Q532" s="576"/>
      <c r="R532" s="386"/>
      <c r="S532" s="802"/>
      <c r="T532" s="386"/>
    </row>
    <row r="533" spans="1:20" customFormat="1" ht="12.75" customHeight="1" x14ac:dyDescent="0.3">
      <c r="A533" s="567" t="s">
        <v>1317</v>
      </c>
      <c r="B533" s="566"/>
      <c r="C533" s="566"/>
      <c r="D533" s="566"/>
      <c r="E533" s="566"/>
      <c r="F533" s="566"/>
      <c r="G533" s="567" t="s">
        <v>2491</v>
      </c>
      <c r="H533" s="567" t="s">
        <v>617</v>
      </c>
      <c r="I533" s="711"/>
      <c r="J533" s="294" t="str">
        <f>IF(ISBLANK(HLOOKUP(CaseName,CaseData,MATCH($G533,cases!$G$4:$G$2494,0),FALSE)),"",HLOOKUP(CaseName,CaseData,MATCH($G533,cases!$G$4:$G$2494,0),FALSE))</f>
        <v/>
      </c>
      <c r="K533" s="576">
        <f>kdegS.w0</f>
        <v>0</v>
      </c>
      <c r="L533" s="298">
        <f t="shared" si="25"/>
        <v>0</v>
      </c>
      <c r="M533" s="566" t="s">
        <v>1885</v>
      </c>
      <c r="N533" s="567"/>
      <c r="O533" s="604"/>
      <c r="P533" s="577"/>
      <c r="Q533" s="576"/>
      <c r="R533" s="386"/>
      <c r="S533" s="802"/>
      <c r="T533" s="386"/>
    </row>
    <row r="534" spans="1:20" customFormat="1" ht="12.75" customHeight="1" x14ac:dyDescent="0.3">
      <c r="A534" s="567" t="s">
        <v>1317</v>
      </c>
      <c r="B534" s="566"/>
      <c r="C534" s="566"/>
      <c r="D534" s="566"/>
      <c r="E534" s="566"/>
      <c r="F534" s="566"/>
      <c r="G534" s="567" t="s">
        <v>2492</v>
      </c>
      <c r="H534" s="567" t="s">
        <v>617</v>
      </c>
      <c r="I534" s="711"/>
      <c r="J534" s="294" t="str">
        <f>IF(ISBLANK(HLOOKUP(CaseName,CaseData,MATCH($G534,cases!$G$4:$G$2494,0),FALSE)),"",HLOOKUP(CaseName,CaseData,MATCH($G534,cases!$G$4:$G$2494,0),FALSE))</f>
        <v/>
      </c>
      <c r="K534" s="576">
        <f>kdegA.w0</f>
        <v>0</v>
      </c>
      <c r="L534" s="298">
        <f t="shared" si="25"/>
        <v>0</v>
      </c>
      <c r="M534" s="566" t="s">
        <v>1885</v>
      </c>
      <c r="N534" s="567"/>
      <c r="O534" s="604"/>
      <c r="P534" s="577"/>
      <c r="Q534" s="576"/>
      <c r="R534" s="386"/>
      <c r="S534" s="802"/>
      <c r="T534" s="386"/>
    </row>
    <row r="535" spans="1:20" customFormat="1" ht="12.75" customHeight="1" x14ac:dyDescent="0.3">
      <c r="A535" s="567" t="s">
        <v>1317</v>
      </c>
      <c r="B535" s="566"/>
      <c r="C535" s="566"/>
      <c r="D535" s="566"/>
      <c r="E535" s="566"/>
      <c r="F535" s="566"/>
      <c r="G535" s="567" t="s">
        <v>2493</v>
      </c>
      <c r="H535" s="567" t="s">
        <v>617</v>
      </c>
      <c r="I535" s="711"/>
      <c r="J535" s="294" t="str">
        <f>IF(ISBLANK(HLOOKUP(CaseName,CaseData,MATCH($G535,cases!$G$4:$G$2494,0),FALSE)),"",HLOOKUP(CaseName,CaseData,MATCH($G535,cases!$G$4:$G$2494,0),FALSE))</f>
        <v/>
      </c>
      <c r="K535" s="576">
        <f>kdegP.w0</f>
        <v>0</v>
      </c>
      <c r="L535" s="298">
        <f t="shared" si="25"/>
        <v>0</v>
      </c>
      <c r="M535" s="566" t="s">
        <v>1885</v>
      </c>
      <c r="N535" s="567"/>
      <c r="O535" s="604"/>
      <c r="P535" s="577"/>
      <c r="Q535" s="576"/>
      <c r="R535" s="386"/>
      <c r="S535" s="802"/>
      <c r="T535" s="386"/>
    </row>
    <row r="536" spans="1:20" customFormat="1" ht="12.75" customHeight="1" x14ac:dyDescent="0.3">
      <c r="A536" s="567" t="s">
        <v>1319</v>
      </c>
      <c r="B536" s="566"/>
      <c r="C536" s="566"/>
      <c r="D536" s="566"/>
      <c r="E536" s="566"/>
      <c r="F536" s="566"/>
      <c r="G536" s="567" t="s">
        <v>2494</v>
      </c>
      <c r="H536" s="567" t="s">
        <v>617</v>
      </c>
      <c r="I536" s="711"/>
      <c r="J536" s="294" t="str">
        <f>IF(ISBLANK(HLOOKUP(CaseName,CaseData,MATCH($G536,cases!$G$4:$G$2494,0),FALSE)),"",HLOOKUP(CaseName,CaseData,MATCH($G536,cases!$G$4:$G$2494,0),FALSE))</f>
        <v/>
      </c>
      <c r="K536" s="576">
        <f>kdegS.w1</f>
        <v>0</v>
      </c>
      <c r="L536" s="298">
        <f t="shared" si="25"/>
        <v>0</v>
      </c>
      <c r="M536" s="566" t="s">
        <v>1885</v>
      </c>
      <c r="N536" s="567"/>
      <c r="O536" s="604"/>
      <c r="P536" s="577"/>
      <c r="Q536" s="576"/>
      <c r="R536" s="386"/>
      <c r="S536" s="802"/>
      <c r="T536" s="386"/>
    </row>
    <row r="537" spans="1:20" customFormat="1" ht="12.75" customHeight="1" x14ac:dyDescent="0.3">
      <c r="A537" s="567" t="s">
        <v>1319</v>
      </c>
      <c r="B537" s="566"/>
      <c r="C537" s="566"/>
      <c r="D537" s="566"/>
      <c r="E537" s="566"/>
      <c r="F537" s="566"/>
      <c r="G537" s="567" t="s">
        <v>2495</v>
      </c>
      <c r="H537" s="567" t="s">
        <v>617</v>
      </c>
      <c r="I537" s="711"/>
      <c r="J537" s="294" t="str">
        <f>IF(ISBLANK(HLOOKUP(CaseName,CaseData,MATCH($G537,cases!$G$4:$G$2494,0),FALSE)),"",HLOOKUP(CaseName,CaseData,MATCH($G537,cases!$G$4:$G$2494,0),FALSE))</f>
        <v/>
      </c>
      <c r="K537" s="576">
        <f>kdegA.w1</f>
        <v>0</v>
      </c>
      <c r="L537" s="298">
        <f t="shared" si="25"/>
        <v>0</v>
      </c>
      <c r="M537" s="566" t="s">
        <v>1885</v>
      </c>
      <c r="N537" s="567"/>
      <c r="O537" s="604"/>
      <c r="P537" s="577"/>
      <c r="Q537" s="576"/>
      <c r="R537" s="386"/>
      <c r="S537" s="802"/>
      <c r="T537" s="386"/>
    </row>
    <row r="538" spans="1:20" customFormat="1" ht="12.75" customHeight="1" x14ac:dyDescent="0.3">
      <c r="A538" s="567" t="s">
        <v>1319</v>
      </c>
      <c r="B538" s="566"/>
      <c r="C538" s="566"/>
      <c r="D538" s="566"/>
      <c r="E538" s="566"/>
      <c r="F538" s="566"/>
      <c r="G538" s="567" t="s">
        <v>2496</v>
      </c>
      <c r="H538" s="567" t="s">
        <v>617</v>
      </c>
      <c r="I538" s="711"/>
      <c r="J538" s="294" t="str">
        <f>IF(ISBLANK(HLOOKUP(CaseName,CaseData,MATCH($G538,cases!$G$4:$G$2494,0),FALSE)),"",HLOOKUP(CaseName,CaseData,MATCH($G538,cases!$G$4:$G$2494,0),FALSE))</f>
        <v/>
      </c>
      <c r="K538" s="576">
        <f>kdegP.w1</f>
        <v>0</v>
      </c>
      <c r="L538" s="298">
        <f t="shared" si="25"/>
        <v>0</v>
      </c>
      <c r="M538" s="566" t="s">
        <v>1885</v>
      </c>
      <c r="N538" s="567"/>
      <c r="O538" s="604"/>
      <c r="P538" s="577"/>
      <c r="Q538" s="576"/>
      <c r="R538" s="386"/>
      <c r="S538" s="802"/>
      <c r="T538" s="386"/>
    </row>
    <row r="539" spans="1:20" customFormat="1" ht="12.75" customHeight="1" x14ac:dyDescent="0.3">
      <c r="A539" s="567" t="s">
        <v>1321</v>
      </c>
      <c r="B539" s="566"/>
      <c r="C539" s="566"/>
      <c r="D539" s="566"/>
      <c r="E539" s="566"/>
      <c r="F539" s="566"/>
      <c r="G539" s="567" t="s">
        <v>2497</v>
      </c>
      <c r="H539" s="567" t="s">
        <v>617</v>
      </c>
      <c r="I539" s="711"/>
      <c r="J539" s="294" t="str">
        <f>IF(ISBLANK(HLOOKUP(CaseName,CaseData,MATCH($G539,cases!$G$4:$G$2494,0),FALSE)),"",HLOOKUP(CaseName,CaseData,MATCH($G539,cases!$G$4:$G$2494,0),FALSE))</f>
        <v/>
      </c>
      <c r="K539" s="576">
        <f>kdegS.w2</f>
        <v>0</v>
      </c>
      <c r="L539" s="298">
        <f t="shared" si="25"/>
        <v>0</v>
      </c>
      <c r="M539" s="566" t="s">
        <v>1885</v>
      </c>
      <c r="N539" s="567"/>
      <c r="O539" s="604"/>
      <c r="P539" s="577"/>
      <c r="Q539" s="576"/>
      <c r="R539" s="386"/>
      <c r="S539" s="802"/>
      <c r="T539" s="386"/>
    </row>
    <row r="540" spans="1:20" customFormat="1" ht="12.75" customHeight="1" x14ac:dyDescent="0.3">
      <c r="A540" s="567" t="s">
        <v>1321</v>
      </c>
      <c r="B540" s="566"/>
      <c r="C540" s="566"/>
      <c r="D540" s="566"/>
      <c r="E540" s="566"/>
      <c r="F540" s="566"/>
      <c r="G540" s="567" t="s">
        <v>2498</v>
      </c>
      <c r="H540" s="567" t="s">
        <v>617</v>
      </c>
      <c r="I540" s="711"/>
      <c r="J540" s="294" t="str">
        <f>IF(ISBLANK(HLOOKUP(CaseName,CaseData,MATCH($G540,cases!$G$4:$G$2494,0),FALSE)),"",HLOOKUP(CaseName,CaseData,MATCH($G540,cases!$G$4:$G$2494,0),FALSE))</f>
        <v/>
      </c>
      <c r="K540" s="576">
        <f>kdegA.w2</f>
        <v>0</v>
      </c>
      <c r="L540" s="298">
        <f t="shared" si="25"/>
        <v>0</v>
      </c>
      <c r="M540" s="566" t="s">
        <v>1885</v>
      </c>
      <c r="N540" s="567"/>
      <c r="O540" s="604"/>
      <c r="P540" s="577"/>
      <c r="Q540" s="576"/>
      <c r="R540" s="386"/>
      <c r="S540" s="802"/>
      <c r="T540" s="386"/>
    </row>
    <row r="541" spans="1:20" customFormat="1" ht="12.75" customHeight="1" x14ac:dyDescent="0.3">
      <c r="A541" s="567" t="s">
        <v>1321</v>
      </c>
      <c r="B541" s="566"/>
      <c r="C541" s="566"/>
      <c r="D541" s="566"/>
      <c r="E541" s="566"/>
      <c r="F541" s="566"/>
      <c r="G541" s="567" t="s">
        <v>2499</v>
      </c>
      <c r="H541" s="567" t="s">
        <v>617</v>
      </c>
      <c r="I541" s="711"/>
      <c r="J541" s="294" t="str">
        <f>IF(ISBLANK(HLOOKUP(CaseName,CaseData,MATCH($G541,cases!$G$4:$G$2494,0),FALSE)),"",HLOOKUP(CaseName,CaseData,MATCH($G541,cases!$G$4:$G$2494,0),FALSE))</f>
        <v/>
      </c>
      <c r="K541" s="576">
        <f>kdegP.w2</f>
        <v>0</v>
      </c>
      <c r="L541" s="298">
        <f t="shared" si="25"/>
        <v>0</v>
      </c>
      <c r="M541" s="566" t="s">
        <v>1885</v>
      </c>
      <c r="N541" s="567"/>
      <c r="O541" s="604"/>
      <c r="P541" s="577"/>
      <c r="Q541" s="576"/>
      <c r="R541" s="386"/>
      <c r="S541" s="802"/>
      <c r="T541" s="386"/>
    </row>
    <row r="542" spans="1:20" customFormat="1" ht="12.75" customHeight="1" x14ac:dyDescent="0.3">
      <c r="A542" s="567" t="s">
        <v>1323</v>
      </c>
      <c r="B542" s="566"/>
      <c r="C542" s="566"/>
      <c r="D542" s="566"/>
      <c r="E542" s="566"/>
      <c r="F542" s="566"/>
      <c r="G542" s="567" t="s">
        <v>2500</v>
      </c>
      <c r="H542" s="567" t="s">
        <v>617</v>
      </c>
      <c r="I542" s="711"/>
      <c r="J542" s="294" t="str">
        <f>IF(ISBLANK(HLOOKUP(CaseName,CaseData,MATCH($G542,cases!$G$4:$G$2494,0),FALSE)),"",HLOOKUP(CaseName,CaseData,MATCH($G542,cases!$G$4:$G$2494,0),FALSE))</f>
        <v/>
      </c>
      <c r="K542" s="576">
        <f>L563+kdegS.sd0</f>
        <v>2.8742283951535594E-9</v>
      </c>
      <c r="L542" s="298">
        <f t="shared" si="25"/>
        <v>2.8742283951535594E-9</v>
      </c>
      <c r="M542" s="566" t="s">
        <v>1885</v>
      </c>
      <c r="N542" s="567"/>
      <c r="O542" s="604"/>
      <c r="P542" s="577"/>
      <c r="Q542" s="576"/>
      <c r="R542" s="386"/>
      <c r="S542" s="802"/>
      <c r="T542" s="386"/>
    </row>
    <row r="543" spans="1:20" customFormat="1" ht="12.75" customHeight="1" x14ac:dyDescent="0.3">
      <c r="A543" s="567" t="s">
        <v>1323</v>
      </c>
      <c r="B543" s="566"/>
      <c r="C543" s="566"/>
      <c r="D543" s="566"/>
      <c r="E543" s="566"/>
      <c r="F543" s="566"/>
      <c r="G543" s="567" t="s">
        <v>2501</v>
      </c>
      <c r="H543" s="567" t="s">
        <v>617</v>
      </c>
      <c r="I543" s="711"/>
      <c r="J543" s="294" t="str">
        <f>IF(ISBLANK(HLOOKUP(CaseName,CaseData,MATCH($G543,cases!$G$4:$G$2494,0),FALSE)),"",HLOOKUP(CaseName,CaseData,MATCH($G543,cases!$G$4:$G$2494,0),FALSE))</f>
        <v/>
      </c>
      <c r="K543" s="576">
        <f>L563+kdegA.sd0</f>
        <v>2.8742283951535594E-9</v>
      </c>
      <c r="L543" s="298">
        <f t="shared" si="25"/>
        <v>2.8742283951535594E-9</v>
      </c>
      <c r="M543" s="566" t="s">
        <v>1885</v>
      </c>
      <c r="N543" s="567"/>
      <c r="O543" s="604"/>
      <c r="P543" s="577"/>
      <c r="Q543" s="576"/>
      <c r="R543" s="386"/>
      <c r="S543" s="802"/>
      <c r="T543" s="386"/>
    </row>
    <row r="544" spans="1:20" customFormat="1" ht="12.75" customHeight="1" x14ac:dyDescent="0.3">
      <c r="A544" s="567" t="s">
        <v>1323</v>
      </c>
      <c r="B544" s="566"/>
      <c r="C544" s="566"/>
      <c r="D544" s="566"/>
      <c r="E544" s="566"/>
      <c r="F544" s="566"/>
      <c r="G544" s="567" t="s">
        <v>2502</v>
      </c>
      <c r="H544" s="567" t="s">
        <v>617</v>
      </c>
      <c r="I544" s="711"/>
      <c r="J544" s="294" t="str">
        <f>IF(ISBLANK(HLOOKUP(CaseName,CaseData,MATCH($G544,cases!$G$4:$G$2494,0),FALSE)),"",HLOOKUP(CaseName,CaseData,MATCH($G544,cases!$G$4:$G$2494,0),FALSE))</f>
        <v/>
      </c>
      <c r="K544" s="576">
        <f>L563+kdegP.sd0</f>
        <v>2.8742283951535594E-9</v>
      </c>
      <c r="L544" s="298">
        <f t="shared" si="25"/>
        <v>2.8742283951535594E-9</v>
      </c>
      <c r="M544" s="566" t="s">
        <v>1885</v>
      </c>
      <c r="N544" s="567"/>
      <c r="O544" s="604"/>
      <c r="P544" s="577"/>
      <c r="Q544" s="576"/>
      <c r="R544" s="386"/>
      <c r="S544" s="802"/>
      <c r="T544" s="386"/>
    </row>
    <row r="545" spans="1:20" customFormat="1" ht="12.75" customHeight="1" x14ac:dyDescent="0.3">
      <c r="A545" s="567" t="s">
        <v>1325</v>
      </c>
      <c r="B545" s="566"/>
      <c r="C545" s="566"/>
      <c r="D545" s="566"/>
      <c r="E545" s="566"/>
      <c r="F545" s="566"/>
      <c r="G545" s="567" t="s">
        <v>2503</v>
      </c>
      <c r="H545" s="567" t="s">
        <v>617</v>
      </c>
      <c r="I545" s="711"/>
      <c r="J545" s="294" t="str">
        <f>IF(ISBLANK(HLOOKUP(CaseName,CaseData,MATCH($G545,cases!$G$4:$G$2494,0),FALSE)),"",HLOOKUP(CaseName,CaseData,MATCH($G545,cases!$G$4:$G$2494,0),FALSE))</f>
        <v/>
      </c>
      <c r="K545" s="576">
        <f>L564+kdegS.sd1</f>
        <v>2.8742283951535594E-9</v>
      </c>
      <c r="L545" s="298">
        <f t="shared" si="25"/>
        <v>2.8742283951535594E-9</v>
      </c>
      <c r="M545" s="566" t="s">
        <v>1885</v>
      </c>
      <c r="N545" s="567"/>
      <c r="O545" s="604"/>
      <c r="P545" s="577"/>
      <c r="Q545" s="576"/>
      <c r="R545" s="386"/>
      <c r="S545" s="802"/>
      <c r="T545" s="386"/>
    </row>
    <row r="546" spans="1:20" customFormat="1" ht="12.75" customHeight="1" x14ac:dyDescent="0.3">
      <c r="A546" s="567" t="s">
        <v>1325</v>
      </c>
      <c r="B546" s="566"/>
      <c r="C546" s="566"/>
      <c r="D546" s="566"/>
      <c r="E546" s="566"/>
      <c r="F546" s="566"/>
      <c r="G546" s="567" t="s">
        <v>2504</v>
      </c>
      <c r="H546" s="567" t="s">
        <v>617</v>
      </c>
      <c r="I546" s="711"/>
      <c r="J546" s="294" t="str">
        <f>IF(ISBLANK(HLOOKUP(CaseName,CaseData,MATCH($G546,cases!$G$4:$G$2494,0),FALSE)),"",HLOOKUP(CaseName,CaseData,MATCH($G546,cases!$G$4:$G$2494,0),FALSE))</f>
        <v/>
      </c>
      <c r="K546" s="576">
        <f>L564+kdegA.sd1</f>
        <v>2.8742283951535594E-9</v>
      </c>
      <c r="L546" s="298">
        <f t="shared" si="25"/>
        <v>2.8742283951535594E-9</v>
      </c>
      <c r="M546" s="566" t="s">
        <v>1885</v>
      </c>
      <c r="N546" s="567"/>
      <c r="O546" s="604"/>
      <c r="P546" s="577"/>
      <c r="Q546" s="576"/>
      <c r="R546" s="386"/>
      <c r="S546" s="802"/>
      <c r="T546" s="386"/>
    </row>
    <row r="547" spans="1:20" customFormat="1" ht="12.75" customHeight="1" x14ac:dyDescent="0.3">
      <c r="A547" s="567" t="s">
        <v>1325</v>
      </c>
      <c r="B547" s="566"/>
      <c r="C547" s="566"/>
      <c r="D547" s="566"/>
      <c r="E547" s="566"/>
      <c r="F547" s="566"/>
      <c r="G547" s="567" t="s">
        <v>2505</v>
      </c>
      <c r="H547" s="567" t="s">
        <v>617</v>
      </c>
      <c r="I547" s="711"/>
      <c r="J547" s="294" t="str">
        <f>IF(ISBLANK(HLOOKUP(CaseName,CaseData,MATCH($G547,cases!$G$4:$G$2494,0),FALSE)),"",HLOOKUP(CaseName,CaseData,MATCH($G547,cases!$G$4:$G$2494,0),FALSE))</f>
        <v/>
      </c>
      <c r="K547" s="576">
        <f>L564+kdegP.sd1</f>
        <v>2.8742283951535594E-9</v>
      </c>
      <c r="L547" s="298">
        <f t="shared" si="25"/>
        <v>2.8742283951535594E-9</v>
      </c>
      <c r="M547" s="566" t="s">
        <v>1885</v>
      </c>
      <c r="N547" s="567"/>
      <c r="O547" s="604"/>
      <c r="P547" s="577"/>
      <c r="Q547" s="576"/>
      <c r="R547" s="386"/>
      <c r="S547" s="802"/>
      <c r="T547" s="386"/>
    </row>
    <row r="548" spans="1:20" customFormat="1" ht="12.75" customHeight="1" x14ac:dyDescent="0.3">
      <c r="A548" s="567" t="s">
        <v>1327</v>
      </c>
      <c r="B548" s="566"/>
      <c r="C548" s="566"/>
      <c r="D548" s="566"/>
      <c r="E548" s="566"/>
      <c r="F548" s="566"/>
      <c r="G548" s="567" t="s">
        <v>2506</v>
      </c>
      <c r="H548" s="567" t="s">
        <v>617</v>
      </c>
      <c r="I548" s="711"/>
      <c r="J548" s="294" t="str">
        <f>IF(ISBLANK(HLOOKUP(CaseName,CaseData,MATCH($G548,cases!$G$4:$G$2494,0),FALSE)),"",HLOOKUP(CaseName,CaseData,MATCH($G548,cases!$G$4:$G$2494,0),FALSE))</f>
        <v/>
      </c>
      <c r="K548" s="576">
        <f>L565+kdegS.sd2</f>
        <v>9.1333333333333338E-10</v>
      </c>
      <c r="L548" s="298">
        <f t="shared" si="25"/>
        <v>9.1333333333333338E-10</v>
      </c>
      <c r="M548" s="566" t="s">
        <v>1885</v>
      </c>
      <c r="N548" s="567"/>
      <c r="O548" s="604"/>
      <c r="P548" s="577"/>
      <c r="Q548" s="576"/>
      <c r="R548" s="386"/>
      <c r="S548" s="802"/>
      <c r="T548" s="386"/>
    </row>
    <row r="549" spans="1:20" customFormat="1" ht="12.75" customHeight="1" x14ac:dyDescent="0.3">
      <c r="A549" s="567" t="s">
        <v>1327</v>
      </c>
      <c r="B549" s="566"/>
      <c r="C549" s="566"/>
      <c r="D549" s="566"/>
      <c r="E549" s="566"/>
      <c r="F549" s="566"/>
      <c r="G549" s="567" t="s">
        <v>2507</v>
      </c>
      <c r="H549" s="567" t="s">
        <v>617</v>
      </c>
      <c r="I549" s="711"/>
      <c r="J549" s="294" t="str">
        <f>IF(ISBLANK(HLOOKUP(CaseName,CaseData,MATCH($G549,cases!$G$4:$G$2494,0),FALSE)),"",HLOOKUP(CaseName,CaseData,MATCH($G549,cases!$G$4:$G$2494,0),FALSE))</f>
        <v/>
      </c>
      <c r="K549" s="576">
        <f>L565+kdegA.sd2</f>
        <v>9.1333333333333338E-10</v>
      </c>
      <c r="L549" s="298">
        <f t="shared" si="25"/>
        <v>9.1333333333333338E-10</v>
      </c>
      <c r="M549" s="566" t="s">
        <v>1885</v>
      </c>
      <c r="N549" s="567"/>
      <c r="O549" s="604"/>
      <c r="P549" s="577"/>
      <c r="Q549" s="576"/>
      <c r="R549" s="386"/>
      <c r="S549" s="802"/>
      <c r="T549" s="386"/>
    </row>
    <row r="550" spans="1:20" customFormat="1" ht="12.75" customHeight="1" x14ac:dyDescent="0.3">
      <c r="A550" s="567" t="s">
        <v>1327</v>
      </c>
      <c r="B550" s="566"/>
      <c r="C550" s="566"/>
      <c r="D550" s="566"/>
      <c r="E550" s="566"/>
      <c r="F550" s="566"/>
      <c r="G550" s="567" t="s">
        <v>2508</v>
      </c>
      <c r="H550" s="567" t="s">
        <v>617</v>
      </c>
      <c r="I550" s="711"/>
      <c r="J550" s="294" t="str">
        <f>IF(ISBLANK(HLOOKUP(CaseName,CaseData,MATCH($G550,cases!$G$4:$G$2494,0),FALSE)),"",HLOOKUP(CaseName,CaseData,MATCH($G550,cases!$G$4:$G$2494,0),FALSE))</f>
        <v/>
      </c>
      <c r="K550" s="576">
        <f>L565+kdegP.sd2</f>
        <v>9.1333333333333338E-10</v>
      </c>
      <c r="L550" s="298">
        <f t="shared" si="25"/>
        <v>9.1333333333333338E-10</v>
      </c>
      <c r="M550" s="566" t="s">
        <v>1885</v>
      </c>
      <c r="N550" s="567"/>
      <c r="O550" s="604"/>
      <c r="P550" s="577"/>
      <c r="Q550" s="576"/>
      <c r="R550" s="386"/>
      <c r="S550" s="802"/>
      <c r="T550" s="386"/>
    </row>
    <row r="551" spans="1:20" customFormat="1" ht="12.75" customHeight="1" x14ac:dyDescent="0.3">
      <c r="A551" s="567" t="s">
        <v>1329</v>
      </c>
      <c r="B551" s="566"/>
      <c r="C551" s="566"/>
      <c r="D551" s="566"/>
      <c r="E551" s="566"/>
      <c r="F551" s="566"/>
      <c r="G551" s="567" t="s">
        <v>2509</v>
      </c>
      <c r="H551" s="567" t="s">
        <v>617</v>
      </c>
      <c r="I551" s="711"/>
      <c r="J551" s="294" t="str">
        <f>IF(ISBLANK(HLOOKUP(CaseName,CaseData,MATCH($G551,cases!$G$4:$G$2494,0),FALSE)),"",HLOOKUP(CaseName,CaseData,MATCH($G551,cases!$G$4:$G$2494,0),FALSE))</f>
        <v/>
      </c>
      <c r="K551" s="576">
        <f>L560+kdegS.s1</f>
        <v>9.5027244249711473E-10</v>
      </c>
      <c r="L551" s="298">
        <f t="shared" si="25"/>
        <v>9.5027244249711473E-10</v>
      </c>
      <c r="M551" s="566" t="s">
        <v>1885</v>
      </c>
      <c r="N551" s="567"/>
      <c r="O551" s="604"/>
      <c r="P551" s="577"/>
      <c r="Q551" s="576"/>
      <c r="R551" s="386"/>
      <c r="S551" s="802"/>
      <c r="T551" s="386"/>
    </row>
    <row r="552" spans="1:20" customFormat="1" ht="12.75" customHeight="1" x14ac:dyDescent="0.3">
      <c r="A552" s="567" t="s">
        <v>1329</v>
      </c>
      <c r="B552" s="566"/>
      <c r="C552" s="566"/>
      <c r="D552" s="566"/>
      <c r="E552" s="566"/>
      <c r="F552" s="566"/>
      <c r="G552" s="567" t="s">
        <v>2510</v>
      </c>
      <c r="H552" s="567" t="s">
        <v>617</v>
      </c>
      <c r="I552" s="711"/>
      <c r="J552" s="294" t="str">
        <f>IF(ISBLANK(HLOOKUP(CaseName,CaseData,MATCH($G552,cases!$G$4:$G$2494,0),FALSE)),"",HLOOKUP(CaseName,CaseData,MATCH($G552,cases!$G$4:$G$2494,0),FALSE))</f>
        <v/>
      </c>
      <c r="K552" s="576">
        <f>L560+kdegA.s1</f>
        <v>9.5027244249711473E-10</v>
      </c>
      <c r="L552" s="298">
        <f t="shared" si="25"/>
        <v>9.5027244249711473E-10</v>
      </c>
      <c r="M552" s="566" t="s">
        <v>1885</v>
      </c>
      <c r="N552" s="567"/>
      <c r="O552" s="604"/>
      <c r="P552" s="577"/>
      <c r="Q552" s="576"/>
      <c r="R552" s="386"/>
      <c r="S552" s="802"/>
      <c r="T552" s="386"/>
    </row>
    <row r="553" spans="1:20" customFormat="1" ht="12.75" customHeight="1" x14ac:dyDescent="0.3">
      <c r="A553" s="567" t="s">
        <v>1329</v>
      </c>
      <c r="B553" s="566"/>
      <c r="C553" s="566"/>
      <c r="D553" s="566"/>
      <c r="E553" s="566"/>
      <c r="F553" s="566"/>
      <c r="G553" s="567" t="s">
        <v>2511</v>
      </c>
      <c r="H553" s="567" t="s">
        <v>617</v>
      </c>
      <c r="I553" s="711"/>
      <c r="J553" s="294" t="str">
        <f>IF(ISBLANK(HLOOKUP(CaseName,CaseData,MATCH($G553,cases!$G$4:$G$2494,0),FALSE)),"",HLOOKUP(CaseName,CaseData,MATCH($G553,cases!$G$4:$G$2494,0),FALSE))</f>
        <v/>
      </c>
      <c r="K553" s="576">
        <f>kdegP.s1</f>
        <v>0</v>
      </c>
      <c r="L553" s="298">
        <f t="shared" si="25"/>
        <v>0</v>
      </c>
      <c r="M553" s="566" t="s">
        <v>1885</v>
      </c>
      <c r="N553" s="567"/>
      <c r="O553" s="604"/>
      <c r="P553" s="577"/>
      <c r="Q553" s="576"/>
      <c r="R553" s="386"/>
      <c r="S553" s="802"/>
      <c r="T553" s="386"/>
    </row>
    <row r="554" spans="1:20" customFormat="1" ht="12.75" customHeight="1" x14ac:dyDescent="0.3">
      <c r="A554" s="567" t="s">
        <v>1331</v>
      </c>
      <c r="B554" s="566"/>
      <c r="C554" s="566"/>
      <c r="D554" s="566"/>
      <c r="E554" s="566"/>
      <c r="F554" s="566"/>
      <c r="G554" s="567" t="s">
        <v>2512</v>
      </c>
      <c r="H554" s="567" t="s">
        <v>617</v>
      </c>
      <c r="I554" s="711"/>
      <c r="J554" s="294" t="str">
        <f>IF(ISBLANK(HLOOKUP(CaseName,CaseData,MATCH($G554,cases!$G$4:$G$2494,0),FALSE)),"",HLOOKUP(CaseName,CaseData,MATCH($G554,cases!$G$4:$G$2494,0),FALSE))</f>
        <v/>
      </c>
      <c r="K554" s="576">
        <f>L561+kdegS.s2</f>
        <v>4.3242549833905347E-10</v>
      </c>
      <c r="L554" s="298">
        <f t="shared" si="25"/>
        <v>4.3242549833905347E-10</v>
      </c>
      <c r="M554" s="566" t="s">
        <v>1885</v>
      </c>
      <c r="N554" s="567"/>
      <c r="O554" s="604"/>
      <c r="P554" s="577"/>
      <c r="Q554" s="576"/>
      <c r="R554" s="386"/>
      <c r="S554" s="802"/>
      <c r="T554" s="386"/>
    </row>
    <row r="555" spans="1:20" customFormat="1" ht="12.75" customHeight="1" x14ac:dyDescent="0.3">
      <c r="A555" s="567" t="s">
        <v>1331</v>
      </c>
      <c r="B555" s="566"/>
      <c r="C555" s="566"/>
      <c r="D555" s="566"/>
      <c r="E555" s="566"/>
      <c r="F555" s="566"/>
      <c r="G555" s="567" t="s">
        <v>2513</v>
      </c>
      <c r="H555" s="567" t="s">
        <v>617</v>
      </c>
      <c r="I555" s="711"/>
      <c r="J555" s="294" t="str">
        <f>IF(ISBLANK(HLOOKUP(CaseName,CaseData,MATCH($G555,cases!$G$4:$G$2494,0),FALSE)),"",HLOOKUP(CaseName,CaseData,MATCH($G555,cases!$G$4:$G$2494,0),FALSE))</f>
        <v/>
      </c>
      <c r="K555" s="576">
        <f>L561+kdegA.s2</f>
        <v>4.3242549833905347E-10</v>
      </c>
      <c r="L555" s="298">
        <f t="shared" si="25"/>
        <v>4.3242549833905347E-10</v>
      </c>
      <c r="M555" s="566" t="s">
        <v>1885</v>
      </c>
      <c r="N555" s="567"/>
      <c r="O555" s="604"/>
      <c r="P555" s="577"/>
      <c r="Q555" s="576"/>
      <c r="R555" s="386"/>
      <c r="S555" s="802"/>
      <c r="T555" s="386"/>
    </row>
    <row r="556" spans="1:20" customFormat="1" ht="12.75" customHeight="1" x14ac:dyDescent="0.3">
      <c r="A556" s="567" t="s">
        <v>1331</v>
      </c>
      <c r="B556" s="566"/>
      <c r="C556" s="566"/>
      <c r="D556" s="566"/>
      <c r="E556" s="566"/>
      <c r="F556" s="566"/>
      <c r="G556" s="567" t="s">
        <v>2514</v>
      </c>
      <c r="H556" s="567" t="s">
        <v>617</v>
      </c>
      <c r="I556" s="711"/>
      <c r="J556" s="294" t="str">
        <f>IF(ISBLANK(HLOOKUP(CaseName,CaseData,MATCH($G556,cases!$G$4:$G$2494,0),FALSE)),"",HLOOKUP(CaseName,CaseData,MATCH($G556,cases!$G$4:$G$2494,0),FALSE))</f>
        <v/>
      </c>
      <c r="K556" s="576">
        <f>kdegP.s2</f>
        <v>0</v>
      </c>
      <c r="L556" s="298">
        <f t="shared" si="25"/>
        <v>0</v>
      </c>
      <c r="M556" s="566" t="s">
        <v>1885</v>
      </c>
      <c r="N556" s="567"/>
      <c r="O556" s="604"/>
      <c r="P556" s="577"/>
      <c r="Q556" s="576"/>
      <c r="R556" s="386"/>
      <c r="S556" s="802"/>
      <c r="T556" s="386"/>
    </row>
    <row r="557" spans="1:20" customFormat="1" ht="12.75" customHeight="1" x14ac:dyDescent="0.3">
      <c r="A557" s="567" t="s">
        <v>1333</v>
      </c>
      <c r="B557" s="566"/>
      <c r="C557" s="566"/>
      <c r="D557" s="566"/>
      <c r="E557" s="566"/>
      <c r="F557" s="566"/>
      <c r="G557" s="567" t="s">
        <v>2515</v>
      </c>
      <c r="H557" s="567" t="s">
        <v>617</v>
      </c>
      <c r="I557" s="711"/>
      <c r="J557" s="294" t="str">
        <f>IF(ISBLANK(HLOOKUP(CaseName,CaseData,MATCH($G557,cases!$G$4:$G$2494,0),FALSE)),"",HLOOKUP(CaseName,CaseData,MATCH($G557,cases!$G$4:$G$2494,0),FALSE))</f>
        <v/>
      </c>
      <c r="K557" s="576">
        <f>L562+kdegS.s3</f>
        <v>9.5027244249711473E-10</v>
      </c>
      <c r="L557" s="298">
        <f t="shared" si="25"/>
        <v>9.5027244249711473E-10</v>
      </c>
      <c r="M557" s="566" t="s">
        <v>1885</v>
      </c>
      <c r="N557" s="567"/>
      <c r="O557" s="604"/>
      <c r="P557" s="577"/>
      <c r="Q557" s="576"/>
      <c r="R557" s="386"/>
      <c r="S557" s="802"/>
      <c r="T557" s="386"/>
    </row>
    <row r="558" spans="1:20" customFormat="1" ht="12.75" customHeight="1" x14ac:dyDescent="0.3">
      <c r="A558" s="567" t="s">
        <v>1333</v>
      </c>
      <c r="B558" s="566"/>
      <c r="C558" s="566"/>
      <c r="D558" s="566"/>
      <c r="E558" s="566"/>
      <c r="F558" s="566"/>
      <c r="G558" s="567" t="s">
        <v>2516</v>
      </c>
      <c r="H558" s="567" t="s">
        <v>617</v>
      </c>
      <c r="I558" s="711"/>
      <c r="J558" s="294" t="str">
        <f>IF(ISBLANK(HLOOKUP(CaseName,CaseData,MATCH($G558,cases!$G$4:$G$2494,0),FALSE)),"",HLOOKUP(CaseName,CaseData,MATCH($G558,cases!$G$4:$G$2494,0),FALSE))</f>
        <v/>
      </c>
      <c r="K558" s="576">
        <f>L562+kdegA.s3</f>
        <v>9.5027244249711473E-10</v>
      </c>
      <c r="L558" s="298">
        <f t="shared" si="25"/>
        <v>9.5027244249711473E-10</v>
      </c>
      <c r="M558" s="566" t="s">
        <v>1885</v>
      </c>
      <c r="N558" s="567"/>
      <c r="O558" s="604"/>
      <c r="P558" s="577"/>
      <c r="Q558" s="576"/>
      <c r="R558" s="386"/>
      <c r="S558" s="802"/>
      <c r="T558" s="386"/>
    </row>
    <row r="559" spans="1:20" customFormat="1" ht="12.75" customHeight="1" x14ac:dyDescent="0.3">
      <c r="A559" s="567" t="s">
        <v>1333</v>
      </c>
      <c r="B559" s="566"/>
      <c r="C559" s="566"/>
      <c r="D559" s="566"/>
      <c r="E559" s="566"/>
      <c r="F559" s="566"/>
      <c r="G559" s="567" t="s">
        <v>2517</v>
      </c>
      <c r="H559" s="567" t="s">
        <v>617</v>
      </c>
      <c r="I559" s="711"/>
      <c r="J559" s="294" t="str">
        <f>IF(ISBLANK(HLOOKUP(CaseName,CaseData,MATCH($G559,cases!$G$4:$G$2494,0),FALSE)),"",HLOOKUP(CaseName,CaseData,MATCH($G559,cases!$G$4:$G$2494,0),FALSE))</f>
        <v/>
      </c>
      <c r="K559" s="576">
        <f>kdegP.s3</f>
        <v>0</v>
      </c>
      <c r="L559" s="298">
        <f t="shared" si="25"/>
        <v>0</v>
      </c>
      <c r="M559" s="566" t="s">
        <v>1885</v>
      </c>
      <c r="N559" s="567"/>
      <c r="O559" s="604"/>
      <c r="P559" s="577"/>
      <c r="Q559" s="576"/>
      <c r="R559" s="386"/>
      <c r="S559" s="802"/>
      <c r="T559" s="386"/>
    </row>
    <row r="560" spans="1:20" customFormat="1" ht="12.75" customHeight="1" x14ac:dyDescent="0.3">
      <c r="A560" s="566"/>
      <c r="B560" s="566" t="s">
        <v>1912</v>
      </c>
      <c r="C560" s="566"/>
      <c r="D560" s="566"/>
      <c r="E560" s="566"/>
      <c r="F560" s="566"/>
      <c r="G560" s="567" t="s">
        <v>2518</v>
      </c>
      <c r="H560" s="567" t="s">
        <v>335</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1885</v>
      </c>
      <c r="N560" s="566" t="s">
        <v>1914</v>
      </c>
      <c r="O560" s="604"/>
      <c r="P560" s="566"/>
    </row>
    <row r="561" spans="1:16" customFormat="1" ht="12.75" customHeight="1" x14ac:dyDescent="0.3">
      <c r="A561" s="566"/>
      <c r="B561" s="566" t="s">
        <v>1915</v>
      </c>
      <c r="C561" s="566"/>
      <c r="D561" s="566"/>
      <c r="E561" s="566"/>
      <c r="F561" s="566"/>
      <c r="G561" s="567" t="s">
        <v>2519</v>
      </c>
      <c r="H561" s="567" t="s">
        <v>335</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1885</v>
      </c>
      <c r="N561" s="566" t="s">
        <v>1914</v>
      </c>
      <c r="O561" s="604"/>
      <c r="P561" s="566"/>
    </row>
    <row r="562" spans="1:16" customFormat="1" ht="12.75" customHeight="1" x14ac:dyDescent="0.3">
      <c r="A562" s="566"/>
      <c r="B562" s="566" t="s">
        <v>1917</v>
      </c>
      <c r="C562" s="566"/>
      <c r="D562" s="566"/>
      <c r="E562" s="566"/>
      <c r="F562" s="566"/>
      <c r="G562" s="567" t="s">
        <v>2520</v>
      </c>
      <c r="H562" s="567" t="s">
        <v>335</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1885</v>
      </c>
      <c r="N562" s="566" t="s">
        <v>1914</v>
      </c>
      <c r="O562" s="604"/>
      <c r="P562" s="566"/>
    </row>
    <row r="563" spans="1:16" customFormat="1" ht="12.75" customHeight="1" x14ac:dyDescent="0.3">
      <c r="A563" s="566"/>
      <c r="B563" s="566" t="s">
        <v>1919</v>
      </c>
      <c r="C563" s="566"/>
      <c r="D563" s="566"/>
      <c r="E563" s="566"/>
      <c r="F563" s="566"/>
      <c r="G563" s="567" t="s">
        <v>2521</v>
      </c>
      <c r="H563" s="567" t="s">
        <v>335</v>
      </c>
      <c r="I563" s="711"/>
      <c r="J563" s="294" t="str">
        <f>IF(ISBLANK(HLOOKUP(CaseName,CaseData,MATCH($G563,cases!$G$4:$G$2494,0),FALSE)),"",HLOOKUP(CaseName,CaseData,MATCH($G563,cases!$G$4:$G$2494,0),FALSE))</f>
        <v/>
      </c>
      <c r="K563" s="576">
        <f>L170/L27</f>
        <v>2.8742283951535594E-9</v>
      </c>
      <c r="L563" s="298">
        <f t="shared" si="25"/>
        <v>2.8742283951535594E-9</v>
      </c>
      <c r="M563" s="566" t="s">
        <v>1885</v>
      </c>
      <c r="N563" s="566" t="s">
        <v>1921</v>
      </c>
      <c r="O563" s="604"/>
      <c r="P563" s="566"/>
    </row>
    <row r="564" spans="1:16" customFormat="1" ht="12.75" customHeight="1" x14ac:dyDescent="0.3">
      <c r="A564" s="566"/>
      <c r="B564" s="566" t="s">
        <v>1922</v>
      </c>
      <c r="C564" s="566"/>
      <c r="D564" s="566"/>
      <c r="E564" s="566"/>
      <c r="F564" s="566"/>
      <c r="G564" s="567" t="s">
        <v>2522</v>
      </c>
      <c r="H564" s="567" t="s">
        <v>335</v>
      </c>
      <c r="I564" s="711"/>
      <c r="J564" s="294" t="str">
        <f>IF(ISBLANK(HLOOKUP(CaseName,CaseData,MATCH($G564,cases!$G$4:$G$2494,0),FALSE)),"",HLOOKUP(CaseName,CaseData,MATCH($G564,cases!$G$4:$G$2494,0),FALSE))</f>
        <v/>
      </c>
      <c r="K564" s="576">
        <f>L171/L28</f>
        <v>2.8742283951535594E-9</v>
      </c>
      <c r="L564" s="298">
        <f t="shared" si="25"/>
        <v>2.8742283951535594E-9</v>
      </c>
      <c r="M564" s="566" t="s">
        <v>1885</v>
      </c>
      <c r="N564" s="566" t="s">
        <v>1921</v>
      </c>
      <c r="O564" s="604"/>
      <c r="P564" s="566"/>
    </row>
    <row r="565" spans="1:16" customFormat="1" ht="12.75" customHeight="1" x14ac:dyDescent="0.3">
      <c r="A565" s="566"/>
      <c r="B565" s="566" t="s">
        <v>1924</v>
      </c>
      <c r="C565" s="566"/>
      <c r="D565" s="566"/>
      <c r="E565" s="566"/>
      <c r="F565" s="566"/>
      <c r="G565" s="567" t="s">
        <v>2523</v>
      </c>
      <c r="H565" s="567" t="s">
        <v>335</v>
      </c>
      <c r="I565" s="711"/>
      <c r="J565" s="294" t="str">
        <f>IF(ISBLANK(HLOOKUP(CaseName,CaseData,MATCH($G565,cases!$G$4:$G$2494,0),FALSE)),"",HLOOKUP(CaseName,CaseData,MATCH($G565,cases!$G$4:$G$2494,0),FALSE))</f>
        <v/>
      </c>
      <c r="K565" s="576">
        <f>L172/L29</f>
        <v>9.1333333333333338E-10</v>
      </c>
      <c r="L565" s="298">
        <f t="shared" si="25"/>
        <v>9.1333333333333338E-10</v>
      </c>
      <c r="M565" s="566" t="s">
        <v>1885</v>
      </c>
      <c r="N565" s="566" t="s">
        <v>1921</v>
      </c>
      <c r="O565" s="604"/>
      <c r="P565" s="566"/>
    </row>
  </sheetData>
  <customSheetViews>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1"/>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133" transitionEvaluation="1" transitionEntry="1" codeName="Sheet4"/>
  <dimension ref="A1:U972"/>
  <sheetViews>
    <sheetView topLeftCell="A133" zoomScaleNormal="100" workbookViewId="0">
      <selection activeCell="I166" sqref="I166"/>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2524</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947</v>
      </c>
      <c r="B3" s="147"/>
      <c r="C3" s="147"/>
      <c r="D3" s="147"/>
      <c r="E3" s="147"/>
      <c r="F3" s="147"/>
      <c r="G3" s="148" t="s">
        <v>258</v>
      </c>
      <c r="H3" s="148" t="s">
        <v>274</v>
      </c>
      <c r="I3" s="147" t="s">
        <v>259</v>
      </c>
      <c r="J3" s="271" t="s">
        <v>275</v>
      </c>
      <c r="K3" s="331" t="s">
        <v>260</v>
      </c>
      <c r="L3" s="331" t="s">
        <v>261</v>
      </c>
      <c r="M3" s="147"/>
      <c r="N3" s="148" t="s">
        <v>262</v>
      </c>
    </row>
    <row r="4" spans="1:14" ht="12.75" customHeight="1" x14ac:dyDescent="0.3">
      <c r="A4" s="17"/>
      <c r="B4" s="17"/>
      <c r="C4" s="17"/>
      <c r="D4" s="17"/>
      <c r="E4" s="17"/>
      <c r="F4" s="17"/>
      <c r="G4" s="17"/>
      <c r="H4" s="38"/>
      <c r="I4" s="13"/>
      <c r="J4" s="270"/>
      <c r="K4" s="296"/>
      <c r="L4" s="296"/>
      <c r="M4" s="17"/>
      <c r="N4" s="17"/>
    </row>
    <row r="5" spans="1:14" ht="12.75" customHeight="1" x14ac:dyDescent="0.3">
      <c r="A5" s="38" t="s">
        <v>948</v>
      </c>
      <c r="B5" s="17"/>
      <c r="C5" s="17"/>
      <c r="D5" s="17"/>
      <c r="E5" s="17"/>
      <c r="F5" s="17"/>
      <c r="G5" s="38" t="s">
        <v>2525</v>
      </c>
      <c r="H5" s="17" t="s">
        <v>950</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951</v>
      </c>
      <c r="N5" s="17"/>
    </row>
    <row r="6" spans="1:14" ht="12.75" customHeight="1" x14ac:dyDescent="0.3">
      <c r="A6" s="567" t="s">
        <v>1928</v>
      </c>
      <c r="B6" s="566"/>
      <c r="C6" s="566"/>
      <c r="D6" s="566"/>
      <c r="E6" s="566"/>
      <c r="F6" s="566"/>
      <c r="G6" s="567" t="s">
        <v>2526</v>
      </c>
      <c r="H6" s="566" t="s">
        <v>950</v>
      </c>
      <c r="I6" s="699"/>
      <c r="J6" s="294" t="str">
        <f>IF(ISBLANK(HLOOKUP(CaseName,CaseData,MATCH($G6,cases!$G$4:$G$2494,0),FALSE)),"",HLOOKUP(CaseName,CaseData,MATCH($G6,cases!$G$4:$G$2494,0),FALSE))</f>
        <v/>
      </c>
      <c r="K6" s="435">
        <f>L19*L5</f>
        <v>23271347018.5938</v>
      </c>
      <c r="L6" s="298">
        <f t="shared" si="0"/>
        <v>23271347018.5938</v>
      </c>
      <c r="M6" s="567" t="s">
        <v>951</v>
      </c>
      <c r="N6" s="566"/>
    </row>
    <row r="7" spans="1:14" ht="12.75" customHeight="1" x14ac:dyDescent="0.3">
      <c r="A7" s="38" t="s">
        <v>2527</v>
      </c>
      <c r="B7" s="17"/>
      <c r="C7" s="17"/>
      <c r="D7" s="17"/>
      <c r="E7" s="17"/>
      <c r="F7" s="17"/>
      <c r="G7" s="38" t="s">
        <v>2528</v>
      </c>
      <c r="H7" s="17" t="s">
        <v>950</v>
      </c>
      <c r="I7" s="281"/>
      <c r="J7" s="294" t="str">
        <f>IF(ISBLANK(HLOOKUP(CaseName,CaseData,MATCH($G7,cases!$G$4:$G$2494,0),FALSE)),"",HLOOKUP(CaseName,CaseData,MATCH($G7,cases!$G$4:$G$2494,0),FALSE))</f>
        <v/>
      </c>
      <c r="K7" s="435">
        <f>L11*L15*L12</f>
        <v>3878559000000000</v>
      </c>
      <c r="L7" s="298">
        <f t="shared" si="0"/>
        <v>3878559000000000</v>
      </c>
      <c r="M7" s="38" t="s">
        <v>951</v>
      </c>
      <c r="N7" s="17"/>
    </row>
    <row r="8" spans="1:14" ht="12.75" customHeight="1" x14ac:dyDescent="0.3">
      <c r="A8" s="38" t="s">
        <v>2529</v>
      </c>
      <c r="B8" s="17"/>
      <c r="C8" s="17"/>
      <c r="D8" s="17"/>
      <c r="E8" s="17"/>
      <c r="F8" s="17"/>
      <c r="G8" s="38" t="s">
        <v>2530</v>
      </c>
      <c r="H8" s="17" t="s">
        <v>950</v>
      </c>
      <c r="I8" s="281"/>
      <c r="J8" s="294" t="str">
        <f>IF(ISBLANK(HLOOKUP(CaseName,CaseData,MATCH($G8,cases!$G$4:$G$2494,0),FALSE)),"",HLOOKUP(CaseName,CaseData,MATCH($G8,cases!$G$4:$G$2494,0),FALSE))</f>
        <v/>
      </c>
      <c r="K8" s="435">
        <f>L11*L16*L12</f>
        <v>1.1635677E+17</v>
      </c>
      <c r="L8" s="298">
        <f t="shared" si="0"/>
        <v>1.1635677E+17</v>
      </c>
      <c r="M8" s="38" t="s">
        <v>951</v>
      </c>
      <c r="N8" s="17"/>
    </row>
    <row r="9" spans="1:14" ht="12.75" customHeight="1" x14ac:dyDescent="0.3">
      <c r="A9" s="38" t="s">
        <v>2531</v>
      </c>
      <c r="B9" s="17"/>
      <c r="C9" s="17"/>
      <c r="D9" s="17"/>
      <c r="E9" s="17"/>
      <c r="F9" s="17"/>
      <c r="G9" s="38" t="s">
        <v>2532</v>
      </c>
      <c r="H9" s="17" t="s">
        <v>950</v>
      </c>
      <c r="I9" s="281"/>
      <c r="J9" s="294" t="str">
        <f>IF(ISBLANK(HLOOKUP(CaseName,CaseData,MATCH($G9,cases!$G$4:$G$2494,0),FALSE)),"",HLOOKUP(CaseName,CaseData,MATCH($G9,cases!$G$4:$G$2494,0),FALSE))</f>
        <v/>
      </c>
      <c r="K9" s="435">
        <f>L11*L17*L12</f>
        <v>1163567700000</v>
      </c>
      <c r="L9" s="298">
        <f t="shared" si="0"/>
        <v>1163567700000</v>
      </c>
      <c r="M9" s="38" t="s">
        <v>951</v>
      </c>
      <c r="N9" s="17"/>
    </row>
    <row r="10" spans="1:14" ht="12.75" customHeight="1" x14ac:dyDescent="0.3">
      <c r="A10" s="38" t="s">
        <v>2533</v>
      </c>
      <c r="B10" s="17"/>
      <c r="C10" s="17"/>
      <c r="D10" s="17"/>
      <c r="E10" s="17"/>
      <c r="F10" s="17"/>
      <c r="G10" s="38" t="s">
        <v>2534</v>
      </c>
      <c r="H10" s="17" t="s">
        <v>950</v>
      </c>
      <c r="I10" s="281"/>
      <c r="J10" s="294" t="str">
        <f>IF(ISBLANK(HLOOKUP(CaseName,CaseData,MATCH($G10,cases!$G$4:$G$2494,0),FALSE)),"",HLOOKUP(CaseName,CaseData,MATCH($G10,cases!$G$4:$G$2494,0),FALSE))</f>
        <v/>
      </c>
      <c r="K10" s="435">
        <f>L11*L13*L18</f>
        <v>1939279500000</v>
      </c>
      <c r="L10" s="298">
        <f t="shared" si="0"/>
        <v>1939279500000</v>
      </c>
      <c r="M10" s="38" t="s">
        <v>951</v>
      </c>
      <c r="N10" s="17"/>
    </row>
    <row r="11" spans="1:14" ht="12.75" customHeight="1" x14ac:dyDescent="0.3">
      <c r="A11" s="17"/>
      <c r="B11" s="38" t="s">
        <v>2535</v>
      </c>
      <c r="C11" s="17"/>
      <c r="D11" s="17"/>
      <c r="E11" s="17"/>
      <c r="F11" s="17"/>
      <c r="G11" s="38" t="s">
        <v>2536</v>
      </c>
      <c r="H11" s="17" t="s">
        <v>672</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673</v>
      </c>
      <c r="N11" s="17"/>
    </row>
    <row r="12" spans="1:14" ht="12.75" customHeight="1" x14ac:dyDescent="0.3">
      <c r="A12" s="17"/>
      <c r="B12" s="38" t="s">
        <v>2537</v>
      </c>
      <c r="C12" s="17"/>
      <c r="D12" s="17"/>
      <c r="E12" s="17"/>
      <c r="F12" s="17"/>
      <c r="G12" s="146" t="s">
        <v>2538</v>
      </c>
      <c r="H12" s="17" t="s">
        <v>291</v>
      </c>
      <c r="I12" s="276"/>
      <c r="J12" s="294" t="str">
        <f>IF(ISBLANK(HLOOKUP(CaseName,CaseData,MATCH($G12,cases!$G$4:$G$2494,0),FALSE)),"",HLOOKUP(CaseName,CaseData,MATCH($G12,cases!$G$4:$G$2494,0),FALSE))</f>
        <v/>
      </c>
      <c r="K12" s="435">
        <v>0.5</v>
      </c>
      <c r="L12" s="298">
        <f>IF(ISBLANK(I12),IF(ISNUMBER(J12)=FALSE,K12,J12),I12)</f>
        <v>0.5</v>
      </c>
      <c r="M12" s="17" t="s">
        <v>292</v>
      </c>
      <c r="N12" s="17"/>
    </row>
    <row r="13" spans="1:14" ht="12.75" customHeight="1" x14ac:dyDescent="0.3">
      <c r="A13" s="17"/>
      <c r="B13" s="38" t="s">
        <v>2539</v>
      </c>
      <c r="C13" s="17"/>
      <c r="D13" s="17"/>
      <c r="E13" s="17"/>
      <c r="F13" s="17"/>
      <c r="G13" s="146" t="s">
        <v>2540</v>
      </c>
      <c r="H13" s="17" t="s">
        <v>291</v>
      </c>
      <c r="I13" s="276"/>
      <c r="J13" s="294" t="str">
        <f>IF(ISBLANK(HLOOKUP(CaseName,CaseData,MATCH($G13,cases!$G$4:$G$2494,0),FALSE)),"",HLOOKUP(CaseName,CaseData,MATCH($G13,cases!$G$4:$G$2494,0),FALSE))</f>
        <v/>
      </c>
      <c r="K13" s="435">
        <f>1-L12</f>
        <v>0.5</v>
      </c>
      <c r="L13" s="298">
        <f>IF(ISBLANK(I13),IF(ISNUMBER(J13)=FALSE,K13,J13),I13)</f>
        <v>0.5</v>
      </c>
      <c r="M13" s="17" t="s">
        <v>292</v>
      </c>
      <c r="N13" s="17"/>
    </row>
    <row r="14" spans="1:14" ht="12.75" customHeight="1" x14ac:dyDescent="0.3">
      <c r="A14" s="17"/>
      <c r="B14" s="17"/>
      <c r="C14" s="38" t="s">
        <v>987</v>
      </c>
      <c r="D14" s="17"/>
      <c r="E14" s="17"/>
      <c r="F14" s="17"/>
      <c r="G14" s="146" t="s">
        <v>2541</v>
      </c>
      <c r="H14" s="38" t="s">
        <v>813</v>
      </c>
      <c r="I14" s="281"/>
      <c r="J14" s="294" t="str">
        <f>IF(ISBLANK(HLOOKUP(CaseName,CaseData,MATCH($G14,cases!$G$4:$G$2494,0),FALSE)),"",HLOOKUP(CaseName,CaseData,MATCH($G14,cases!$G$4:$G$2494,0),FALSE))</f>
        <v/>
      </c>
      <c r="K14" s="435">
        <v>1000</v>
      </c>
      <c r="L14" s="298">
        <f>IF(ISBLANK(I14),IF(ISNUMBER(J14)=FALSE,K14,J14),I14)</f>
        <v>1000</v>
      </c>
      <c r="M14" s="38" t="s">
        <v>279</v>
      </c>
      <c r="N14" s="17"/>
    </row>
    <row r="15" spans="1:14" ht="12.75" customHeight="1" x14ac:dyDescent="0.3">
      <c r="A15" s="17"/>
      <c r="B15" s="17"/>
      <c r="C15" s="38" t="s">
        <v>2542</v>
      </c>
      <c r="D15" s="17"/>
      <c r="E15" s="17"/>
      <c r="F15" s="17"/>
      <c r="G15" s="146" t="s">
        <v>2543</v>
      </c>
      <c r="H15" s="38" t="s">
        <v>813</v>
      </c>
      <c r="I15" s="276"/>
      <c r="J15" s="294" t="str">
        <f>IF(ISBLANK(HLOOKUP(CaseName,CaseData,MATCH($G15,cases!$G$4:$G$2494,0),FALSE)),"",HLOOKUP(CaseName,CaseData,MATCH($G15,cases!$G$4:$G$2494,0),FALSE))</f>
        <v/>
      </c>
      <c r="K15" s="435">
        <v>100</v>
      </c>
      <c r="L15" s="298">
        <f>IF(ISBLANK(I15),IF(ISNUMBER(J15)=FALSE,K15,J15),I15)</f>
        <v>100</v>
      </c>
      <c r="M15" s="38" t="s">
        <v>279</v>
      </c>
      <c r="N15" s="17"/>
    </row>
    <row r="16" spans="1:14" ht="12.75" customHeight="1" x14ac:dyDescent="0.3">
      <c r="A16" s="17"/>
      <c r="B16" s="17"/>
      <c r="C16" s="38" t="s">
        <v>2544</v>
      </c>
      <c r="D16" s="17"/>
      <c r="E16" s="17"/>
      <c r="F16" s="17"/>
      <c r="G16" s="146" t="s">
        <v>2545</v>
      </c>
      <c r="H16" s="38" t="s">
        <v>813</v>
      </c>
      <c r="I16" s="276"/>
      <c r="J16" s="294" t="str">
        <f>IF(ISBLANK(HLOOKUP(CaseName,CaseData,MATCH($G16,cases!$G$4:$G$2494,0),FALSE)),"",HLOOKUP(CaseName,CaseData,MATCH($G16,cases!$G$4:$G$2494,0),FALSE))</f>
        <v/>
      </c>
      <c r="K16" s="435">
        <v>3000</v>
      </c>
      <c r="L16" s="298">
        <f>IF(ISBLANK(I16),IF(ISNUMBER(J16)=FALSE,K16,J16),I16)</f>
        <v>3000</v>
      </c>
      <c r="M16" s="38" t="s">
        <v>279</v>
      </c>
      <c r="N16" s="17"/>
    </row>
    <row r="17" spans="1:14" ht="12.75" customHeight="1" x14ac:dyDescent="0.3">
      <c r="A17" s="17"/>
      <c r="B17" s="17"/>
      <c r="C17" s="38" t="s">
        <v>2546</v>
      </c>
      <c r="D17" s="17"/>
      <c r="E17" s="17"/>
      <c r="F17" s="17"/>
      <c r="G17" s="146" t="s">
        <v>2547</v>
      </c>
      <c r="H17" s="38" t="s">
        <v>997</v>
      </c>
      <c r="I17" s="276"/>
      <c r="J17" s="294" t="str">
        <f>IF(ISBLANK(HLOOKUP(CaseName,CaseData,MATCH($G17,cases!$G$4:$G$2494,0),FALSE)),"",HLOOKUP(CaseName,CaseData,MATCH($G17,cases!$G$4:$G$2494,0),FALSE))</f>
        <v/>
      </c>
      <c r="K17" s="435">
        <v>3</v>
      </c>
      <c r="L17" s="298">
        <f>IF(ISBLANK(I17),IF(ISNUMBER(J17)=FALSE,K17/100,J17/100),I17/100)</f>
        <v>0.03</v>
      </c>
      <c r="M17" s="38" t="s">
        <v>279</v>
      </c>
      <c r="N17" s="17"/>
    </row>
    <row r="18" spans="1:14" ht="12.75" customHeight="1" x14ac:dyDescent="0.3">
      <c r="A18" s="38"/>
      <c r="B18" s="17"/>
      <c r="C18" s="38" t="s">
        <v>2548</v>
      </c>
      <c r="D18" s="146"/>
      <c r="E18" s="146"/>
      <c r="F18" s="17"/>
      <c r="G18" s="146" t="s">
        <v>2549</v>
      </c>
      <c r="H18" s="38" t="s">
        <v>813</v>
      </c>
      <c r="I18" s="274"/>
      <c r="J18" s="294" t="str">
        <f>IF(ISBLANK(HLOOKUP(CaseName,CaseData,MATCH($G18,cases!$G$4:$G$2494,0),FALSE)),"",HLOOKUP(CaseName,CaseData,MATCH($G18,cases!$G$4:$G$2494,0),FALSE))</f>
        <v/>
      </c>
      <c r="K18" s="435">
        <v>0.05</v>
      </c>
      <c r="L18" s="298">
        <f t="shared" ref="L18:L26" si="1">IF(ISBLANK(I18),IF(ISNUMBER(J18)=FALSE,K18,J18),I18)</f>
        <v>0.05</v>
      </c>
      <c r="M18" s="17" t="s">
        <v>279</v>
      </c>
      <c r="N18" s="17"/>
    </row>
    <row r="19" spans="1:14" ht="12.75" customHeight="1" x14ac:dyDescent="0.3">
      <c r="A19" s="566"/>
      <c r="B19" s="566"/>
      <c r="C19" s="566" t="s">
        <v>1008</v>
      </c>
      <c r="D19" s="566"/>
      <c r="E19" s="566"/>
      <c r="F19" s="566"/>
      <c r="G19" s="567" t="s">
        <v>2550</v>
      </c>
      <c r="H19" s="567" t="s">
        <v>1010</v>
      </c>
      <c r="I19" s="274"/>
      <c r="J19" s="294" t="str">
        <f>IF(ISBLANK(HLOOKUP(CaseName,CaseData,MATCH($G19,cases!$G$4:$G$2494,0),FALSE)),"",HLOOKUP(CaseName,CaseData,MATCH($G19,cases!$G$4:$G$2494,0),FALSE))</f>
        <v/>
      </c>
      <c r="K19" s="435">
        <v>2.9999999999999999E-7</v>
      </c>
      <c r="L19" s="298">
        <f t="shared" si="1"/>
        <v>2.9999999999999999E-7</v>
      </c>
      <c r="M19" s="567" t="s">
        <v>292</v>
      </c>
      <c r="N19" s="566" t="s">
        <v>1014</v>
      </c>
    </row>
    <row r="20" spans="1:14" ht="12.75" customHeight="1" x14ac:dyDescent="0.3">
      <c r="A20" s="17"/>
      <c r="B20" s="17"/>
      <c r="C20" s="17" t="s">
        <v>1012</v>
      </c>
      <c r="D20" s="17"/>
      <c r="E20" s="17"/>
      <c r="F20" s="17"/>
      <c r="G20" s="38" t="s">
        <v>2551</v>
      </c>
      <c r="H20" s="38" t="s">
        <v>1010</v>
      </c>
      <c r="I20" s="274"/>
      <c r="J20" s="294" t="str">
        <f>IF(ISBLANK(HLOOKUP(CaseName,CaseData,MATCH($G20,cases!$G$4:$G$2494,0),FALSE)),"",HLOOKUP(CaseName,CaseData,MATCH($G20,cases!$G$4:$G$2494,0),FALSE))</f>
        <v/>
      </c>
      <c r="K20" s="435">
        <v>1.9999999999999999E-11</v>
      </c>
      <c r="L20" s="298">
        <f t="shared" si="1"/>
        <v>1.9999999999999999E-11</v>
      </c>
      <c r="M20" s="38" t="s">
        <v>292</v>
      </c>
      <c r="N20" s="17" t="s">
        <v>1014</v>
      </c>
    </row>
    <row r="21" spans="1:14" ht="12.75" customHeight="1" x14ac:dyDescent="0.3">
      <c r="A21" s="17"/>
      <c r="B21" s="17"/>
      <c r="C21" s="17" t="s">
        <v>1015</v>
      </c>
      <c r="D21" s="17"/>
      <c r="E21" s="17"/>
      <c r="F21" s="17"/>
      <c r="G21" s="38" t="s">
        <v>2552</v>
      </c>
      <c r="H21" s="38" t="s">
        <v>1010</v>
      </c>
      <c r="I21" s="274"/>
      <c r="J21" s="294" t="str">
        <f>IF(ISBLANK(HLOOKUP(CaseName,CaseData,MATCH($G21,cases!$G$4:$G$2494,0),FALSE)),"",HLOOKUP(CaseName,CaseData,MATCH($G21,cases!$G$4:$G$2494,0),FALSE))</f>
        <v/>
      </c>
      <c r="K21" s="435">
        <v>1.9999999999999999E-11</v>
      </c>
      <c r="L21" s="298">
        <f t="shared" si="1"/>
        <v>1.9999999999999999E-11</v>
      </c>
      <c r="M21" s="38" t="s">
        <v>292</v>
      </c>
      <c r="N21" s="17" t="s">
        <v>1014</v>
      </c>
    </row>
    <row r="22" spans="1:14" ht="12.75" customHeight="1" x14ac:dyDescent="0.3">
      <c r="A22" s="38"/>
      <c r="B22" s="17"/>
      <c r="C22" s="38" t="s">
        <v>2553</v>
      </c>
      <c r="D22" s="146"/>
      <c r="E22" s="146"/>
      <c r="F22" s="17"/>
      <c r="G22" s="146" t="s">
        <v>2554</v>
      </c>
      <c r="H22" s="38" t="s">
        <v>1010</v>
      </c>
      <c r="I22" s="281"/>
      <c r="J22" s="294" t="str">
        <f>IF(ISBLANK(HLOOKUP(CaseName,CaseData,MATCH($G22,cases!$G$4:$G$2494,0),FALSE)),"",HLOOKUP(CaseName,CaseData,MATCH($G22,cases!$G$4:$G$2494,0),FALSE))</f>
        <v/>
      </c>
      <c r="K22" s="435">
        <v>0.2</v>
      </c>
      <c r="L22" s="298">
        <f t="shared" si="1"/>
        <v>0.2</v>
      </c>
      <c r="M22" s="17" t="s">
        <v>292</v>
      </c>
      <c r="N22" s="17"/>
    </row>
    <row r="23" spans="1:14" ht="12.75" customHeight="1" x14ac:dyDescent="0.3">
      <c r="A23" s="17"/>
      <c r="B23" s="17"/>
      <c r="C23" s="38" t="s">
        <v>2555</v>
      </c>
      <c r="D23" s="17"/>
      <c r="E23" s="17"/>
      <c r="F23" s="17"/>
      <c r="G23" s="146" t="s">
        <v>2556</v>
      </c>
      <c r="H23" s="38" t="s">
        <v>1010</v>
      </c>
      <c r="I23" s="281"/>
      <c r="J23" s="294" t="str">
        <f>IF(ISBLANK(HLOOKUP(CaseName,CaseData,MATCH($G23,cases!$G$4:$G$2494,0),FALSE)),"",HLOOKUP(CaseName,CaseData,MATCH($G23,cases!$G$4:$G$2494,0),FALSE))</f>
        <v/>
      </c>
      <c r="K23" s="435">
        <v>0.2</v>
      </c>
      <c r="L23" s="298">
        <f t="shared" si="1"/>
        <v>0.2</v>
      </c>
      <c r="M23" s="17" t="s">
        <v>292</v>
      </c>
      <c r="N23" s="17"/>
    </row>
    <row r="24" spans="1:14" ht="12.75" customHeight="1" x14ac:dyDescent="0.3">
      <c r="A24" s="17"/>
      <c r="B24" s="17"/>
      <c r="C24" s="38" t="s">
        <v>2557</v>
      </c>
      <c r="D24" s="17"/>
      <c r="E24" s="17"/>
      <c r="F24" s="17"/>
      <c r="G24" s="146" t="s">
        <v>2558</v>
      </c>
      <c r="H24" s="38" t="s">
        <v>1010</v>
      </c>
      <c r="I24" s="281"/>
      <c r="J24" s="294" t="str">
        <f>IF(ISBLANK(HLOOKUP(CaseName,CaseData,MATCH($G24,cases!$G$4:$G$2494,0),FALSE)),"",HLOOKUP(CaseName,CaseData,MATCH($G24,cases!$G$4:$G$2494,0),FALSE))</f>
        <v/>
      </c>
      <c r="K24" s="435">
        <f>1-L22-L23</f>
        <v>0.60000000000000009</v>
      </c>
      <c r="L24" s="298">
        <f t="shared" si="1"/>
        <v>0.60000000000000009</v>
      </c>
      <c r="M24" s="17" t="s">
        <v>292</v>
      </c>
      <c r="N24" s="17"/>
    </row>
    <row r="25" spans="1:14" ht="12.75" customHeight="1" x14ac:dyDescent="0.3">
      <c r="A25" s="38"/>
      <c r="B25" s="17"/>
      <c r="C25" s="38" t="s">
        <v>1035</v>
      </c>
      <c r="D25" s="146"/>
      <c r="E25" s="146"/>
      <c r="F25" s="17"/>
      <c r="G25" s="146" t="s">
        <v>2559</v>
      </c>
      <c r="H25" s="38" t="s">
        <v>1010</v>
      </c>
      <c r="I25" s="281"/>
      <c r="J25" s="294" t="str">
        <f>IF(ISBLANK(HLOOKUP(CaseName,CaseData,MATCH($G25,cases!$G$4:$G$2494,0),FALSE)),"",HLOOKUP(CaseName,CaseData,MATCH($G25,cases!$G$4:$G$2494,0),FALSE))</f>
        <v/>
      </c>
      <c r="K25" s="435">
        <v>0.8</v>
      </c>
      <c r="L25" s="298">
        <f t="shared" si="1"/>
        <v>0.8</v>
      </c>
      <c r="M25" s="38" t="s">
        <v>292</v>
      </c>
      <c r="N25" s="17"/>
    </row>
    <row r="26" spans="1:14" ht="12.75" customHeight="1" x14ac:dyDescent="0.3">
      <c r="A26" s="38"/>
      <c r="B26" s="17"/>
      <c r="C26" s="38" t="s">
        <v>1037</v>
      </c>
      <c r="D26" s="146"/>
      <c r="E26" s="146"/>
      <c r="F26" s="17"/>
      <c r="G26" s="146" t="s">
        <v>2560</v>
      </c>
      <c r="H26" s="38" t="s">
        <v>1010</v>
      </c>
      <c r="I26" s="281"/>
      <c r="J26" s="294" t="str">
        <f>IF(ISBLANK(HLOOKUP(CaseName,CaseData,MATCH($G26,cases!$G$4:$G$2494,0),FALSE)),"",HLOOKUP(CaseName,CaseData,MATCH($G26,cases!$G$4:$G$2494,0),FALSE))</f>
        <v/>
      </c>
      <c r="K26" s="407">
        <f>1-L25</f>
        <v>0.19999999999999996</v>
      </c>
      <c r="L26" s="298">
        <f t="shared" si="1"/>
        <v>0.19999999999999996</v>
      </c>
      <c r="M26" s="38" t="s">
        <v>292</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2561</v>
      </c>
      <c r="B28" s="228"/>
      <c r="C28" s="228"/>
      <c r="D28" s="228"/>
      <c r="E28" s="228"/>
      <c r="F28" s="228"/>
      <c r="G28" s="216" t="s">
        <v>2562</v>
      </c>
      <c r="H28" s="216" t="s">
        <v>617</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1041</v>
      </c>
      <c r="N28" s="228"/>
    </row>
    <row r="29" spans="1:14" ht="12.75" customHeight="1" x14ac:dyDescent="0.3">
      <c r="A29" s="216" t="s">
        <v>2563</v>
      </c>
      <c r="B29" s="228"/>
      <c r="C29" s="228"/>
      <c r="D29" s="228"/>
      <c r="E29" s="228"/>
      <c r="F29" s="228"/>
      <c r="G29" s="216" t="s">
        <v>2564</v>
      </c>
      <c r="H29" s="216" t="s">
        <v>617</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1041</v>
      </c>
      <c r="N29" s="228"/>
    </row>
    <row r="30" spans="1:14" ht="12.75" customHeight="1" x14ac:dyDescent="0.3">
      <c r="A30" s="216" t="s">
        <v>2565</v>
      </c>
      <c r="B30" s="228"/>
      <c r="C30" s="228"/>
      <c r="D30" s="228"/>
      <c r="E30" s="228"/>
      <c r="F30" s="228"/>
      <c r="G30" s="216" t="s">
        <v>2566</v>
      </c>
      <c r="H30" s="216" t="s">
        <v>617</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1041</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2567</v>
      </c>
      <c r="B32" s="17"/>
      <c r="C32" s="17"/>
      <c r="D32" s="17"/>
      <c r="E32" s="17"/>
      <c r="F32" s="17"/>
      <c r="G32" s="38" t="s">
        <v>2568</v>
      </c>
      <c r="H32" s="38" t="s">
        <v>617</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1041</v>
      </c>
      <c r="N32" s="17"/>
    </row>
    <row r="33" spans="1:14" ht="12.75" customHeight="1" x14ac:dyDescent="0.3">
      <c r="A33" s="38" t="s">
        <v>2569</v>
      </c>
      <c r="B33" s="17"/>
      <c r="C33" s="17"/>
      <c r="D33" s="17"/>
      <c r="E33" s="17"/>
      <c r="F33" s="17"/>
      <c r="G33" s="38" t="s">
        <v>2570</v>
      </c>
      <c r="H33" s="38" t="s">
        <v>617</v>
      </c>
      <c r="I33" s="276"/>
      <c r="J33" s="294" t="str">
        <f>IF(ISBLANK(HLOOKUP(CaseName,CaseData,MATCH($G33,cases!$G$4:$G$2494,0),FALSE)),"",HLOOKUP(CaseName,CaseData,MATCH($G33,cases!$G$4:$G$2494,0),FALSE))</f>
        <v/>
      </c>
      <c r="K33" s="435">
        <f>L38/L7</f>
        <v>3.8674157077409421E-8</v>
      </c>
      <c r="L33" s="298">
        <f t="shared" si="2"/>
        <v>3.8674157077409421E-8</v>
      </c>
      <c r="M33" s="17" t="s">
        <v>1041</v>
      </c>
      <c r="N33" s="17"/>
    </row>
    <row r="34" spans="1:14" ht="12.75" customHeight="1" x14ac:dyDescent="0.3">
      <c r="A34" s="38" t="s">
        <v>2571</v>
      </c>
      <c r="B34" s="17"/>
      <c r="C34" s="17"/>
      <c r="D34" s="17"/>
      <c r="E34" s="17"/>
      <c r="F34" s="17"/>
      <c r="G34" s="38" t="s">
        <v>2572</v>
      </c>
      <c r="H34" s="38" t="s">
        <v>617</v>
      </c>
      <c r="I34" s="276"/>
      <c r="J34" s="294" t="str">
        <f>IF(ISBLANK(HLOOKUP(CaseName,CaseData,MATCH($G34,cases!$G$4:$G$2494,0),FALSE)),"",HLOOKUP(CaseName,CaseData,MATCH($G34,cases!$G$4:$G$2494,0),FALSE))</f>
        <v/>
      </c>
      <c r="K34" s="435">
        <f>L39/L7</f>
        <v>0</v>
      </c>
      <c r="L34" s="298">
        <f t="shared" si="2"/>
        <v>0</v>
      </c>
      <c r="M34" s="17" t="s">
        <v>1041</v>
      </c>
      <c r="N34" s="17"/>
    </row>
    <row r="35" spans="1:14" ht="12.75" customHeight="1" x14ac:dyDescent="0.3">
      <c r="A35" s="38" t="s">
        <v>2573</v>
      </c>
      <c r="B35" s="17"/>
      <c r="C35" s="17"/>
      <c r="D35" s="17"/>
      <c r="E35" s="17"/>
      <c r="F35" s="17"/>
      <c r="G35" s="38" t="s">
        <v>2574</v>
      </c>
      <c r="H35" s="38" t="s">
        <v>617</v>
      </c>
      <c r="I35" s="276"/>
      <c r="J35" s="294" t="str">
        <f>IF(ISBLANK(HLOOKUP(CaseName,CaseData,MATCH($G35,cases!$G$4:$G$2494,0),FALSE)),"",HLOOKUP(CaseName,CaseData,MATCH($G35,cases!$G$4:$G$2494,0),FALSE))</f>
        <v/>
      </c>
      <c r="K35" s="435">
        <v>0</v>
      </c>
      <c r="L35" s="298">
        <f t="shared" si="2"/>
        <v>0</v>
      </c>
      <c r="M35" s="17" t="s">
        <v>1041</v>
      </c>
      <c r="N35" s="17"/>
    </row>
    <row r="36" spans="1:14" ht="12.75" customHeight="1" x14ac:dyDescent="0.3">
      <c r="A36" s="38" t="s">
        <v>2575</v>
      </c>
      <c r="B36" s="17"/>
      <c r="C36" s="17"/>
      <c r="D36" s="17"/>
      <c r="E36" s="17"/>
      <c r="F36" s="17"/>
      <c r="G36" s="38" t="s">
        <v>2576</v>
      </c>
      <c r="H36" s="38" t="s">
        <v>617</v>
      </c>
      <c r="I36" s="276"/>
      <c r="J36" s="294" t="str">
        <f>IF(ISBLANK(HLOOKUP(CaseName,CaseData,MATCH($G36,cases!$G$4:$G$2494,0),FALSE)),"",HLOOKUP(CaseName,CaseData,MATCH($G36,cases!$G$4:$G$2494,0),FALSE))</f>
        <v/>
      </c>
      <c r="K36" s="435">
        <f>L40/L8</f>
        <v>1.2891385692469807E-9</v>
      </c>
      <c r="L36" s="298">
        <f t="shared" si="2"/>
        <v>1.2891385692469807E-9</v>
      </c>
      <c r="M36" s="17" t="s">
        <v>1041</v>
      </c>
      <c r="N36" s="17"/>
    </row>
    <row r="37" spans="1:14" ht="12.75" customHeight="1" x14ac:dyDescent="0.3">
      <c r="A37" s="38"/>
      <c r="B37" s="38" t="s">
        <v>2577</v>
      </c>
      <c r="C37" s="17"/>
      <c r="D37" s="17"/>
      <c r="E37" s="17"/>
      <c r="F37" s="17"/>
      <c r="G37" s="146" t="s">
        <v>2578</v>
      </c>
      <c r="H37" s="17" t="s">
        <v>1058</v>
      </c>
      <c r="I37" s="281"/>
      <c r="J37" s="294" t="str">
        <f>IF(ISBLANK(HLOOKUP(CaseName,CaseData,MATCH($G37,cases!$G$4:$G$2494,0),FALSE)),"",HLOOKUP(CaseName,CaseData,MATCH($G37,cases!$G$4:$G$2494,0),FALSE))</f>
        <v/>
      </c>
      <c r="K37" s="435">
        <f>WATERflow.w2C.w2M</f>
        <v>23536593.185565703</v>
      </c>
      <c r="L37" s="298">
        <f t="shared" si="2"/>
        <v>23536593.185565703</v>
      </c>
      <c r="M37" s="17" t="s">
        <v>1059</v>
      </c>
      <c r="N37" s="17"/>
    </row>
    <row r="38" spans="1:14" ht="12.75" customHeight="1" x14ac:dyDescent="0.3">
      <c r="A38" s="38"/>
      <c r="B38" s="38" t="s">
        <v>2579</v>
      </c>
      <c r="C38" s="17"/>
      <c r="D38" s="17"/>
      <c r="E38" s="17"/>
      <c r="F38" s="17"/>
      <c r="G38" s="146" t="s">
        <v>2580</v>
      </c>
      <c r="H38" s="17" t="s">
        <v>1058</v>
      </c>
      <c r="I38" s="281"/>
      <c r="J38" s="294" t="str">
        <f>IF(ISBLANK(HLOOKUP(CaseName,CaseData,MATCH($G38,cases!$G$4:$G$2494,0),FALSE)),"",HLOOKUP(CaseName,CaseData,MATCH($G38,cases!$G$4:$G$2494,0),FALSE))</f>
        <v/>
      </c>
      <c r="K38" s="435">
        <f>L40</f>
        <v>150000000</v>
      </c>
      <c r="L38" s="298">
        <f t="shared" si="2"/>
        <v>150000000</v>
      </c>
      <c r="M38" s="17" t="s">
        <v>1059</v>
      </c>
      <c r="N38" s="17"/>
    </row>
    <row r="39" spans="1:14" ht="12.75" customHeight="1" x14ac:dyDescent="0.3">
      <c r="A39" s="38"/>
      <c r="B39" s="38" t="s">
        <v>2581</v>
      </c>
      <c r="C39" s="17"/>
      <c r="D39" s="17"/>
      <c r="E39" s="17"/>
      <c r="F39" s="17"/>
      <c r="G39" s="146" t="s">
        <v>2582</v>
      </c>
      <c r="H39" s="17" t="s">
        <v>1058</v>
      </c>
      <c r="I39" s="281"/>
      <c r="J39" s="294" t="str">
        <f>IF(ISBLANK(HLOOKUP(CaseName,CaseData,MATCH($G39,cases!$G$4:$G$2494,0),FALSE)),"",HLOOKUP(CaseName,CaseData,MATCH($G39,cases!$G$4:$G$2494,0),FALSE))</f>
        <v/>
      </c>
      <c r="K39" s="435">
        <f>0</f>
        <v>0</v>
      </c>
      <c r="L39" s="298">
        <f t="shared" si="2"/>
        <v>0</v>
      </c>
      <c r="M39" s="17" t="s">
        <v>1059</v>
      </c>
      <c r="N39" s="17"/>
    </row>
    <row r="40" spans="1:14" ht="12.75" customHeight="1" x14ac:dyDescent="0.3">
      <c r="A40" s="38"/>
      <c r="B40" s="38"/>
      <c r="C40" s="17" t="s">
        <v>2583</v>
      </c>
      <c r="D40" s="17"/>
      <c r="E40" s="17"/>
      <c r="F40" s="17"/>
      <c r="G40" s="38" t="s">
        <v>2584</v>
      </c>
      <c r="H40" s="17" t="s">
        <v>1058</v>
      </c>
      <c r="I40" s="276"/>
      <c r="J40" s="294" t="str">
        <f>IF(ISBLANK(HLOOKUP(CaseName,CaseData,MATCH($G40,cases!$G$4:$G$2494,0),FALSE)),"",HLOOKUP(CaseName,CaseData,MATCH($G40,cases!$G$4:$G$2494,0),FALSE))</f>
        <v/>
      </c>
      <c r="K40" s="435">
        <v>150000000</v>
      </c>
      <c r="L40" s="298">
        <f t="shared" si="2"/>
        <v>150000000</v>
      </c>
      <c r="M40" s="17" t="s">
        <v>1059</v>
      </c>
      <c r="N40" s="17"/>
    </row>
    <row r="41" spans="1:14" ht="12.75" customHeight="1" x14ac:dyDescent="0.3">
      <c r="A41" s="38" t="s">
        <v>2585</v>
      </c>
      <c r="B41" s="17"/>
      <c r="C41" s="17"/>
      <c r="D41" s="17"/>
      <c r="E41" s="17"/>
      <c r="F41" s="17"/>
      <c r="G41" s="38" t="s">
        <v>2586</v>
      </c>
      <c r="H41" s="38" t="s">
        <v>617</v>
      </c>
      <c r="I41" s="276"/>
      <c r="J41" s="294" t="str">
        <f>IF(ISBLANK(HLOOKUP(CaseName,CaseData,MATCH($G41,cases!$G$4:$G$2494,0),FALSE)),"",HLOOKUP(CaseName,CaseData,MATCH($G41,cases!$G$4:$G$2494,0),FALSE))</f>
        <v/>
      </c>
      <c r="K41" s="435">
        <f>(L40+L43)/L7</f>
        <v>2.4911186751511984E-7</v>
      </c>
      <c r="L41" s="298">
        <f t="shared" si="2"/>
        <v>2.4911186751511984E-7</v>
      </c>
      <c r="M41" s="17" t="s">
        <v>1041</v>
      </c>
      <c r="N41" s="17"/>
    </row>
    <row r="42" spans="1:14" ht="12.75" customHeight="1" x14ac:dyDescent="0.3">
      <c r="A42" s="38" t="s">
        <v>2587</v>
      </c>
      <c r="B42" s="17"/>
      <c r="C42" s="17"/>
      <c r="D42" s="17"/>
      <c r="E42" s="17"/>
      <c r="F42" s="17"/>
      <c r="G42" s="38" t="s">
        <v>2588</v>
      </c>
      <c r="H42" s="38" t="s">
        <v>617</v>
      </c>
      <c r="I42" s="276"/>
      <c r="J42" s="294" t="str">
        <f>IF(ISBLANK(HLOOKUP(CaseName,CaseData,MATCH($G42,cases!$G$4:$G$2494,0),FALSE)),"",HLOOKUP(CaseName,CaseData,MATCH($G42,cases!$G$4:$G$2494,0),FALSE))</f>
        <v/>
      </c>
      <c r="K42" s="435">
        <f>(L40+L43)/L8</f>
        <v>8.3037289171706622E-9</v>
      </c>
      <c r="L42" s="298">
        <f t="shared" si="2"/>
        <v>8.3037289171706622E-9</v>
      </c>
      <c r="M42" s="17" t="s">
        <v>1041</v>
      </c>
      <c r="N42" s="17"/>
    </row>
    <row r="43" spans="1:14" ht="12.75" customHeight="1" x14ac:dyDescent="0.3">
      <c r="A43" s="38"/>
      <c r="B43" s="17" t="s">
        <v>2589</v>
      </c>
      <c r="C43" s="17"/>
      <c r="D43" s="17"/>
      <c r="E43" s="17"/>
      <c r="F43" s="17"/>
      <c r="G43" s="38" t="s">
        <v>2590</v>
      </c>
      <c r="H43" s="17" t="s">
        <v>1058</v>
      </c>
      <c r="I43" s="276"/>
      <c r="J43" s="294" t="str">
        <f>IF(ISBLANK(HLOOKUP(CaseName,CaseData,MATCH($G43,cases!$G$4:$G$2494,0),FALSE)),"",HLOOKUP(CaseName,CaseData,MATCH($G43,cases!$G$4:$G$2494,0),FALSE))</f>
        <v/>
      </c>
      <c r="K43" s="428">
        <f>L7/L44</f>
        <v>816195075.75757575</v>
      </c>
      <c r="L43" s="298">
        <f t="shared" si="2"/>
        <v>816195075.75757575</v>
      </c>
      <c r="M43" s="17" t="s">
        <v>1059</v>
      </c>
      <c r="N43" s="17"/>
    </row>
    <row r="44" spans="1:14" ht="12.75" customHeight="1" x14ac:dyDescent="0.3">
      <c r="A44" s="38"/>
      <c r="B44" s="38"/>
      <c r="C44" s="17" t="s">
        <v>2591</v>
      </c>
      <c r="D44" s="17"/>
      <c r="E44" s="17"/>
      <c r="F44" s="17"/>
      <c r="G44" s="38" t="s">
        <v>2592</v>
      </c>
      <c r="H44" s="17" t="s">
        <v>1044</v>
      </c>
      <c r="I44" s="276"/>
      <c r="J44" s="294" t="str">
        <f>IF(ISBLANK(HLOOKUP(CaseName,CaseData,MATCH($G44,cases!$G$4:$G$2494,0),FALSE)),"",HLOOKUP(CaseName,CaseData,MATCH($G44,cases!$G$4:$G$2494,0),FALSE))</f>
        <v/>
      </c>
      <c r="K44" s="428">
        <v>55</v>
      </c>
      <c r="L44" s="298">
        <f>IF(ISBLANK(I44),IF(ISNUMBER(J44)=FALSE,K44*(3600*24),J44*(3600*24)),I44*(3600*24))</f>
        <v>4752000</v>
      </c>
      <c r="M44" s="38" t="s">
        <v>1045</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2010</v>
      </c>
      <c r="B46" s="147"/>
      <c r="C46" s="147"/>
      <c r="D46" s="147"/>
      <c r="E46" s="147"/>
      <c r="F46" s="147"/>
      <c r="G46" s="148" t="s">
        <v>258</v>
      </c>
      <c r="H46" s="148" t="s">
        <v>274</v>
      </c>
      <c r="I46" s="147" t="s">
        <v>259</v>
      </c>
      <c r="J46" s="271" t="s">
        <v>275</v>
      </c>
      <c r="K46" s="331" t="s">
        <v>260</v>
      </c>
      <c r="L46" s="331" t="s">
        <v>261</v>
      </c>
      <c r="M46" s="147"/>
      <c r="N46" s="148" t="s">
        <v>262</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2593</v>
      </c>
      <c r="C48" s="38"/>
      <c r="D48" s="38"/>
      <c r="E48" s="38"/>
      <c r="F48" s="38"/>
      <c r="G48" s="38" t="s">
        <v>2594</v>
      </c>
      <c r="H48" s="38" t="s">
        <v>291</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292</v>
      </c>
      <c r="N48" s="17"/>
    </row>
    <row r="49" spans="1:14" ht="12.75" customHeight="1" x14ac:dyDescent="0.3">
      <c r="A49" s="17"/>
      <c r="B49" s="17" t="s">
        <v>2013</v>
      </c>
      <c r="C49" s="17"/>
      <c r="D49" s="17"/>
      <c r="E49" s="17"/>
      <c r="F49" s="17"/>
      <c r="G49" s="17" t="s">
        <v>2595</v>
      </c>
      <c r="H49" s="17" t="s">
        <v>291</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292</v>
      </c>
      <c r="N49" s="17" t="s">
        <v>1073</v>
      </c>
    </row>
    <row r="50" spans="1:14" ht="12.75" customHeight="1" x14ac:dyDescent="0.3">
      <c r="A50" s="17"/>
      <c r="B50" s="17" t="s">
        <v>2015</v>
      </c>
      <c r="C50" s="17"/>
      <c r="D50" s="17"/>
      <c r="E50" s="17"/>
      <c r="F50" s="17"/>
      <c r="G50" s="17" t="s">
        <v>2596</v>
      </c>
      <c r="H50" s="17" t="s">
        <v>291</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292</v>
      </c>
      <c r="N50" s="17" t="s">
        <v>1073</v>
      </c>
    </row>
    <row r="51" spans="1:14" ht="12.75" customHeight="1" x14ac:dyDescent="0.3">
      <c r="A51" s="17"/>
      <c r="B51" s="38" t="s">
        <v>2017</v>
      </c>
      <c r="C51" s="38"/>
      <c r="D51" s="38"/>
      <c r="E51" s="38"/>
      <c r="F51" s="38"/>
      <c r="G51" s="38" t="s">
        <v>2597</v>
      </c>
      <c r="H51" s="38" t="s">
        <v>291</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292</v>
      </c>
      <c r="N51" s="17"/>
    </row>
    <row r="52" spans="1:14" ht="12.75" customHeight="1" x14ac:dyDescent="0.3">
      <c r="A52" s="38"/>
      <c r="B52" s="38"/>
      <c r="C52" s="38" t="s">
        <v>2598</v>
      </c>
      <c r="D52" s="38"/>
      <c r="E52" s="38"/>
      <c r="F52" s="38"/>
      <c r="G52" s="38" t="s">
        <v>2599</v>
      </c>
      <c r="H52" s="38" t="s">
        <v>585</v>
      </c>
      <c r="I52" s="281"/>
      <c r="J52" s="294" t="str">
        <f>IF(ISBLANK(HLOOKUP(CaseName,CaseData,MATCH($G52,cases!$G$4:$G$2494,0),FALSE)),"",HLOOKUP(CaseName,CaseData,MATCH($G52,cases!$G$4:$G$2494,0),FALSE))</f>
        <v/>
      </c>
      <c r="K52" s="616">
        <v>12</v>
      </c>
      <c r="L52" s="298">
        <f>IF(ISBLANK(I52),IF(ISNUMBER(J52)=FALSE,K52+273,J52+273),I52+273)</f>
        <v>285</v>
      </c>
      <c r="M52" s="38" t="s">
        <v>586</v>
      </c>
      <c r="N52" s="17"/>
    </row>
    <row r="53" spans="1:14" ht="12.75" customHeight="1" x14ac:dyDescent="0.4">
      <c r="A53" s="17"/>
      <c r="B53" s="17"/>
      <c r="C53" s="17" t="s">
        <v>2019</v>
      </c>
      <c r="D53" s="17"/>
      <c r="E53" s="17"/>
      <c r="F53" s="17"/>
      <c r="G53" s="17" t="s">
        <v>2600</v>
      </c>
      <c r="H53" s="17" t="s">
        <v>1081</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2601</v>
      </c>
      <c r="N53" s="17"/>
    </row>
    <row r="54" spans="1:14" ht="12.75" customHeight="1" x14ac:dyDescent="0.4">
      <c r="A54" s="17"/>
      <c r="B54" s="17"/>
      <c r="C54" s="17" t="s">
        <v>2021</v>
      </c>
      <c r="D54" s="17"/>
      <c r="E54" s="17"/>
      <c r="F54" s="17"/>
      <c r="G54" s="17" t="s">
        <v>2602</v>
      </c>
      <c r="H54" s="17" t="s">
        <v>1084</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2603</v>
      </c>
      <c r="N54" s="17" t="s">
        <v>1085</v>
      </c>
    </row>
    <row r="55" spans="1:14" ht="12.75" customHeight="1" x14ac:dyDescent="0.3">
      <c r="A55" s="38"/>
      <c r="B55" s="38" t="s">
        <v>2604</v>
      </c>
      <c r="C55" s="146"/>
      <c r="D55" s="17"/>
      <c r="E55" s="17"/>
      <c r="F55" s="17"/>
      <c r="G55" s="38" t="s">
        <v>2605</v>
      </c>
      <c r="H55" s="38" t="s">
        <v>291</v>
      </c>
      <c r="I55" s="276"/>
      <c r="J55" s="294" t="str">
        <f>IF(ISBLANK(HLOOKUP(CaseName,CaseData,MATCH($G55,cases!$G$4:$G$2494,0),FALSE)),"",HLOOKUP(CaseName,CaseData,MATCH($G55,cases!$G$4:$G$2494,0),FALSE))</f>
        <v/>
      </c>
      <c r="K55" s="428">
        <f>1/(1+L57*L61/1000+L63*L65/1000)</f>
        <v>0.67786499640731546</v>
      </c>
      <c r="L55" s="298">
        <f t="shared" si="3"/>
        <v>0.67786499640731546</v>
      </c>
      <c r="M55" s="38" t="s">
        <v>292</v>
      </c>
      <c r="N55" s="17"/>
    </row>
    <row r="56" spans="1:14" ht="12.75" customHeight="1" x14ac:dyDescent="0.3">
      <c r="A56" s="38"/>
      <c r="B56" s="38" t="s">
        <v>2606</v>
      </c>
      <c r="C56" s="146"/>
      <c r="D56" s="17"/>
      <c r="E56" s="17"/>
      <c r="F56" s="17"/>
      <c r="G56" s="38" t="s">
        <v>2607</v>
      </c>
      <c r="H56" s="38" t="s">
        <v>291</v>
      </c>
      <c r="I56" s="281"/>
      <c r="J56" s="294" t="str">
        <f>IF(ISBLANK(HLOOKUP(CaseName,CaseData,MATCH($G56,cases!$G$4:$G$2494,0),FALSE)),"",HLOOKUP(CaseName,CaseData,MATCH($G56,cases!$G$4:$G$2494,0),FALSE))</f>
        <v/>
      </c>
      <c r="K56" s="428">
        <f>1/(1+L58*L62/1000+L64*L66/1000)</f>
        <v>0.67786499640731546</v>
      </c>
      <c r="L56" s="298">
        <f t="shared" si="3"/>
        <v>0.67786499640731546</v>
      </c>
      <c r="M56" s="38" t="s">
        <v>292</v>
      </c>
      <c r="N56" s="17"/>
    </row>
    <row r="57" spans="1:14" ht="12.75" customHeight="1" x14ac:dyDescent="0.3">
      <c r="A57" s="38"/>
      <c r="B57" s="17"/>
      <c r="C57" s="38" t="s">
        <v>2608</v>
      </c>
      <c r="D57" s="17"/>
      <c r="E57" s="17"/>
      <c r="F57" s="17"/>
      <c r="G57" s="146" t="s">
        <v>2609</v>
      </c>
      <c r="H57" s="38" t="s">
        <v>1090</v>
      </c>
      <c r="I57" s="281"/>
      <c r="J57" s="294" t="str">
        <f>IF(ISBLANK(HLOOKUP(CaseName,CaseData,MATCH($G57,cases!$G$4:$G$2494,0),FALSE)),"",HLOOKUP(CaseName,CaseData,MATCH($G57,cases!$G$4:$G$2494,0),FALSE))</f>
        <v/>
      </c>
      <c r="K57" s="428">
        <f>(FRorig.w2*Ksw+(1-FRorig.w2)*Ksw.alt)*(1000/RHOsolid/CORG)*L59</f>
        <v>95000</v>
      </c>
      <c r="L57" s="298">
        <f t="shared" si="3"/>
        <v>95000</v>
      </c>
      <c r="M57" s="38" t="s">
        <v>1091</v>
      </c>
      <c r="N57" s="17"/>
    </row>
    <row r="58" spans="1:14" ht="12.75" customHeight="1" x14ac:dyDescent="0.3">
      <c r="A58" s="38"/>
      <c r="B58" s="17"/>
      <c r="C58" s="38" t="s">
        <v>2610</v>
      </c>
      <c r="D58" s="17"/>
      <c r="E58" s="17"/>
      <c r="F58" s="17"/>
      <c r="G58" s="146" t="s">
        <v>2611</v>
      </c>
      <c r="H58" s="38" t="s">
        <v>1091</v>
      </c>
      <c r="I58" s="281"/>
      <c r="J58" s="294" t="str">
        <f>IF(ISBLANK(HLOOKUP(CaseName,CaseData,MATCH($G58,cases!$G$4:$G$2494,0),FALSE)),"",HLOOKUP(CaseName,CaseData,MATCH($G58,cases!$G$4:$G$2494,0),FALSE))</f>
        <v/>
      </c>
      <c r="K58" s="428">
        <f>(FRorig.w2*Ksw+(1-FRorig.w2)*Ksw.alt)*(1000/RHOsolid/CORG)*L60</f>
        <v>95000</v>
      </c>
      <c r="L58" s="298">
        <f t="shared" si="3"/>
        <v>95000</v>
      </c>
      <c r="M58" s="38" t="s">
        <v>1091</v>
      </c>
      <c r="N58" s="17"/>
    </row>
    <row r="59" spans="1:14" ht="12.75" customHeight="1" x14ac:dyDescent="0.3">
      <c r="A59" s="38"/>
      <c r="B59" s="17"/>
      <c r="C59" s="38" t="s">
        <v>2612</v>
      </c>
      <c r="D59" s="17"/>
      <c r="E59" s="17"/>
      <c r="F59" s="17"/>
      <c r="G59" s="146" t="s">
        <v>2613</v>
      </c>
      <c r="H59" s="38" t="s">
        <v>291</v>
      </c>
      <c r="I59" s="281"/>
      <c r="J59" s="294" t="str">
        <f>IF(ISBLANK(HLOOKUP(CaseName,CaseData,MATCH($G59,cases!$G$4:$G$2494,0),FALSE)),"",HLOOKUP(CaseName,CaseData,MATCH($G59,cases!$G$4:$G$2494,0),FALSE))</f>
        <v/>
      </c>
      <c r="K59" s="428">
        <v>0.1</v>
      </c>
      <c r="L59" s="298">
        <f t="shared" si="3"/>
        <v>0.1</v>
      </c>
      <c r="M59" s="38" t="s">
        <v>292</v>
      </c>
      <c r="N59" s="17"/>
    </row>
    <row r="60" spans="1:14" ht="12.75" customHeight="1" x14ac:dyDescent="0.3">
      <c r="A60" s="38"/>
      <c r="B60" s="17"/>
      <c r="C60" s="38" t="s">
        <v>2614</v>
      </c>
      <c r="D60" s="17"/>
      <c r="E60" s="17"/>
      <c r="F60" s="17"/>
      <c r="G60" s="146" t="s">
        <v>2615</v>
      </c>
      <c r="H60" s="38" t="s">
        <v>291</v>
      </c>
      <c r="I60" s="281"/>
      <c r="J60" s="294" t="str">
        <f>IF(ISBLANK(HLOOKUP(CaseName,CaseData,MATCH($G60,cases!$G$4:$G$2494,0),FALSE)),"",HLOOKUP(CaseName,CaseData,MATCH($G60,cases!$G$4:$G$2494,0),FALSE))</f>
        <v/>
      </c>
      <c r="K60" s="428">
        <v>0.1</v>
      </c>
      <c r="L60" s="298">
        <f t="shared" si="3"/>
        <v>0.1</v>
      </c>
      <c r="M60" s="38" t="s">
        <v>292</v>
      </c>
      <c r="N60" s="17"/>
    </row>
    <row r="61" spans="1:14" ht="12.75" customHeight="1" x14ac:dyDescent="0.3">
      <c r="A61" s="38"/>
      <c r="B61" s="17"/>
      <c r="C61" s="38" t="s">
        <v>2616</v>
      </c>
      <c r="D61" s="17"/>
      <c r="E61" s="17"/>
      <c r="F61" s="17"/>
      <c r="G61" s="146" t="s">
        <v>2617</v>
      </c>
      <c r="H61" s="38" t="s">
        <v>579</v>
      </c>
      <c r="I61" s="281"/>
      <c r="J61" s="294" t="str">
        <f>IF(ISBLANK(HLOOKUP(CaseName,CaseData,MATCH($G61,cases!$G$4:$G$2494,0),FALSE)),"",HLOOKUP(CaseName,CaseData,MATCH($G61,cases!$G$4:$G$2494,0),FALSE))</f>
        <v/>
      </c>
      <c r="K61" s="428">
        <v>5</v>
      </c>
      <c r="L61" s="298">
        <f>IF(ISBLANK(I61),IF(ISNUMBER(J61)=FALSE,K61/1000,J61/1000),I61/1000)</f>
        <v>5.0000000000000001E-3</v>
      </c>
      <c r="M61" s="38" t="s">
        <v>717</v>
      </c>
      <c r="N61" s="17"/>
    </row>
    <row r="62" spans="1:14" ht="12.75" customHeight="1" x14ac:dyDescent="0.3">
      <c r="A62" s="38"/>
      <c r="B62" s="17"/>
      <c r="C62" s="38" t="s">
        <v>2618</v>
      </c>
      <c r="D62" s="17"/>
      <c r="E62" s="17"/>
      <c r="F62" s="17"/>
      <c r="G62" s="146" t="s">
        <v>2619</v>
      </c>
      <c r="H62" s="38" t="s">
        <v>579</v>
      </c>
      <c r="I62" s="281"/>
      <c r="J62" s="294" t="str">
        <f>IF(ISBLANK(HLOOKUP(CaseName,CaseData,MATCH($G62,cases!$G$4:$G$2494,0),FALSE)),"",HLOOKUP(CaseName,CaseData,MATCH($G62,cases!$G$4:$G$2494,0),FALSE))</f>
        <v/>
      </c>
      <c r="K62" s="428">
        <v>5</v>
      </c>
      <c r="L62" s="298">
        <f>IF(ISBLANK(I62),IF(ISNUMBER(J62)=FALSE,K62/1000,J62/1000),I62/1000)</f>
        <v>5.0000000000000001E-3</v>
      </c>
      <c r="M62" s="38" t="s">
        <v>717</v>
      </c>
      <c r="N62" s="17"/>
    </row>
    <row r="63" spans="1:14" ht="12.75" customHeight="1" x14ac:dyDescent="0.3">
      <c r="A63" s="38"/>
      <c r="B63" s="17"/>
      <c r="C63" s="38" t="s">
        <v>2620</v>
      </c>
      <c r="D63" s="17"/>
      <c r="E63" s="17"/>
      <c r="F63" s="17"/>
      <c r="G63" s="146" t="s">
        <v>2621</v>
      </c>
      <c r="H63" s="38" t="s">
        <v>1096</v>
      </c>
      <c r="I63" s="274"/>
      <c r="J63" s="294" t="str">
        <f>IF(ISBLANK(HLOOKUP(CaseName,CaseData,MATCH($G63,cases!$G$4:$G$2494,0),FALSE)),"",HLOOKUP(CaseName,CaseData,MATCH($G63,cases!$G$4:$G$2494,0),FALSE))</f>
        <v/>
      </c>
      <c r="K63" s="428">
        <f>0.08*D</f>
        <v>220</v>
      </c>
      <c r="L63" s="298">
        <f>IF(ISBLANK(I63),IF(ISNUMBER(J63)=FALSE,K63,J63),I63)</f>
        <v>220</v>
      </c>
      <c r="M63" s="38" t="s">
        <v>1091</v>
      </c>
      <c r="N63" s="17"/>
    </row>
    <row r="64" spans="1:14" ht="12.75" customHeight="1" x14ac:dyDescent="0.3">
      <c r="A64" s="38"/>
      <c r="B64" s="17"/>
      <c r="C64" s="38" t="s">
        <v>2622</v>
      </c>
      <c r="D64" s="17"/>
      <c r="E64" s="17"/>
      <c r="F64" s="17"/>
      <c r="G64" s="146" t="s">
        <v>2623</v>
      </c>
      <c r="H64" s="38" t="s">
        <v>1096</v>
      </c>
      <c r="I64" s="274"/>
      <c r="J64" s="294" t="str">
        <f>IF(ISBLANK(HLOOKUP(CaseName,CaseData,MATCH($G64,cases!$G$4:$G$2494,0),FALSE)),"",HLOOKUP(CaseName,CaseData,MATCH($G64,cases!$G$4:$G$2494,0),FALSE))</f>
        <v/>
      </c>
      <c r="K64" s="428">
        <f>0.08*D</f>
        <v>220</v>
      </c>
      <c r="L64" s="298">
        <f>IF(ISBLANK(I64),IF(ISNUMBER(J64)=FALSE,K64,J64),I64)</f>
        <v>220</v>
      </c>
      <c r="M64" s="38" t="s">
        <v>1091</v>
      </c>
      <c r="N64" s="17"/>
    </row>
    <row r="65" spans="1:14" ht="12.75" customHeight="1" x14ac:dyDescent="0.3">
      <c r="A65" s="38"/>
      <c r="B65" s="17"/>
      <c r="C65" s="38" t="s">
        <v>2624</v>
      </c>
      <c r="D65" s="17"/>
      <c r="E65" s="17"/>
      <c r="F65" s="17"/>
      <c r="G65" s="146" t="s">
        <v>2625</v>
      </c>
      <c r="H65" s="38" t="s">
        <v>716</v>
      </c>
      <c r="I65" s="274"/>
      <c r="J65" s="294" t="str">
        <f>IF(ISBLANK(HLOOKUP(CaseName,CaseData,MATCH($G65,cases!$G$4:$G$2494,0),FALSE)),"",HLOOKUP(CaseName,CaseData,MATCH($G65,cases!$G$4:$G$2494,0),FALSE))</f>
        <v/>
      </c>
      <c r="K65" s="428">
        <v>1</v>
      </c>
      <c r="L65" s="298">
        <f>IF(ISBLANK(I65),IF(ISNUMBER(J65)=FALSE,K65/1000,J65/1000),I65/1000)</f>
        <v>1E-3</v>
      </c>
      <c r="M65" s="38" t="s">
        <v>717</v>
      </c>
      <c r="N65" s="17"/>
    </row>
    <row r="66" spans="1:14" ht="12.75" customHeight="1" x14ac:dyDescent="0.3">
      <c r="A66" s="38"/>
      <c r="B66" s="17"/>
      <c r="C66" s="38" t="s">
        <v>2626</v>
      </c>
      <c r="D66" s="17"/>
      <c r="E66" s="17"/>
      <c r="F66" s="17"/>
      <c r="G66" s="146" t="s">
        <v>2627</v>
      </c>
      <c r="H66" s="38" t="s">
        <v>716</v>
      </c>
      <c r="I66" s="274"/>
      <c r="J66" s="294" t="str">
        <f>IF(ISBLANK(HLOOKUP(CaseName,CaseData,MATCH($G66,cases!$G$4:$G$2494,0),FALSE)),"",HLOOKUP(CaseName,CaseData,MATCH($G66,cases!$G$4:$G$2494,0),FALSE))</f>
        <v/>
      </c>
      <c r="K66" s="428">
        <v>1</v>
      </c>
      <c r="L66" s="298">
        <f>IF(ISBLANK(I66),IF(ISNUMBER(J66)=FALSE,K66/1000,J66/1000),I66/1000)</f>
        <v>1E-3</v>
      </c>
      <c r="M66" s="38" t="s">
        <v>717</v>
      </c>
      <c r="N66" s="17"/>
    </row>
    <row r="67" spans="1:14" ht="12.75" customHeight="1" x14ac:dyDescent="0.3">
      <c r="A67" s="38"/>
      <c r="B67" s="38" t="s">
        <v>2628</v>
      </c>
      <c r="C67" s="146"/>
      <c r="D67" s="17"/>
      <c r="E67" s="17"/>
      <c r="F67" s="17"/>
      <c r="G67" s="146" t="s">
        <v>2629</v>
      </c>
      <c r="H67" s="38" t="s">
        <v>291</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292</v>
      </c>
      <c r="N67" s="17"/>
    </row>
    <row r="68" spans="1:14" ht="12.75" customHeight="1" x14ac:dyDescent="0.3">
      <c r="A68" s="38"/>
      <c r="B68" s="17"/>
      <c r="C68" s="38" t="s">
        <v>2630</v>
      </c>
      <c r="D68" s="17"/>
      <c r="E68" s="17"/>
      <c r="F68" s="17"/>
      <c r="G68" s="146" t="s">
        <v>2631</v>
      </c>
      <c r="H68" s="38" t="s">
        <v>1090</v>
      </c>
      <c r="I68" s="281"/>
      <c r="J68" s="294" t="str">
        <f>IF(ISBLANK(HLOOKUP(CaseName,CaseData,MATCH($G68,cases!$G$4:$G$2494,0),FALSE)),"",HLOOKUP(CaseName,CaseData,MATCH($G68,cases!$G$4:$G$2494,0),FALSE))</f>
        <v/>
      </c>
      <c r="K68" s="428">
        <f>(FRorig.sd2*Ksw+(1-FRorig.sd2)*Ksw.alt)*(1000/RHOsolid/CORG)*L69</f>
        <v>47500</v>
      </c>
      <c r="L68" s="298">
        <f t="shared" si="4"/>
        <v>47500</v>
      </c>
      <c r="M68" s="38" t="s">
        <v>1091</v>
      </c>
      <c r="N68" s="17"/>
    </row>
    <row r="69" spans="1:14" ht="12.75" customHeight="1" x14ac:dyDescent="0.3">
      <c r="A69" s="38"/>
      <c r="B69" s="17"/>
      <c r="C69" s="38" t="s">
        <v>2632</v>
      </c>
      <c r="D69" s="17"/>
      <c r="E69" s="17"/>
      <c r="F69" s="17"/>
      <c r="G69" s="146" t="s">
        <v>2633</v>
      </c>
      <c r="H69" s="38" t="s">
        <v>291</v>
      </c>
      <c r="I69" s="281"/>
      <c r="J69" s="294" t="str">
        <f>IF(ISBLANK(HLOOKUP(CaseName,CaseData,MATCH($G69,cases!$G$4:$G$2494,0),FALSE)),"",HLOOKUP(CaseName,CaseData,MATCH($G69,cases!$G$4:$G$2494,0),FALSE))</f>
        <v/>
      </c>
      <c r="K69" s="428">
        <v>0.05</v>
      </c>
      <c r="L69" s="298">
        <f t="shared" si="4"/>
        <v>0.05</v>
      </c>
      <c r="M69" s="38" t="s">
        <v>292</v>
      </c>
      <c r="N69" s="17"/>
    </row>
    <row r="70" spans="1:14" ht="12.75" customHeight="1" x14ac:dyDescent="0.3">
      <c r="A70" s="38"/>
      <c r="B70" s="38" t="s">
        <v>2634</v>
      </c>
      <c r="C70" s="146"/>
      <c r="D70" s="17"/>
      <c r="E70" s="17"/>
      <c r="F70" s="17"/>
      <c r="G70" s="146" t="s">
        <v>2635</v>
      </c>
      <c r="H70" s="38" t="s">
        <v>291</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292</v>
      </c>
      <c r="N70" s="17"/>
    </row>
    <row r="71" spans="1:14" ht="12.75" customHeight="1" x14ac:dyDescent="0.3">
      <c r="A71" s="38"/>
      <c r="B71" s="38" t="s">
        <v>2636</v>
      </c>
      <c r="C71" s="146"/>
      <c r="D71" s="17"/>
      <c r="E71" s="17"/>
      <c r="F71" s="17"/>
      <c r="G71" s="146" t="s">
        <v>2637</v>
      </c>
      <c r="H71" s="38" t="s">
        <v>291</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292</v>
      </c>
      <c r="N71" s="17"/>
    </row>
    <row r="72" spans="1:14" ht="12.75" customHeight="1" x14ac:dyDescent="0.3">
      <c r="A72" s="38"/>
      <c r="B72" s="38" t="s">
        <v>2638</v>
      </c>
      <c r="C72" s="146"/>
      <c r="D72" s="17"/>
      <c r="E72" s="17"/>
      <c r="F72" s="17"/>
      <c r="G72" s="146" t="s">
        <v>2639</v>
      </c>
      <c r="H72" s="38" t="s">
        <v>291</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292</v>
      </c>
      <c r="N72" s="17"/>
    </row>
    <row r="73" spans="1:14" ht="12.75" customHeight="1" x14ac:dyDescent="0.3">
      <c r="A73" s="38"/>
      <c r="B73" s="17"/>
      <c r="C73" s="38" t="s">
        <v>2640</v>
      </c>
      <c r="D73" s="17"/>
      <c r="E73" s="17"/>
      <c r="F73" s="17"/>
      <c r="G73" s="146" t="s">
        <v>2641</v>
      </c>
      <c r="H73" s="38" t="s">
        <v>1090</v>
      </c>
      <c r="I73" s="281"/>
      <c r="J73" s="294" t="str">
        <f>IF(ISBLANK(HLOOKUP(CaseName,CaseData,MATCH($G73,cases!$G$4:$G$2494,0),FALSE)),"",HLOOKUP(CaseName,CaseData,MATCH($G73,cases!$G$4:$G$2494,0),FALSE))</f>
        <v/>
      </c>
      <c r="K73" s="428">
        <f>(FRorig.s1*Ksw+(1-FRorig.s1)*Ksw.alt)*(1000/RHOsolid/CORG)*L74</f>
        <v>19000</v>
      </c>
      <c r="L73" s="298">
        <f t="shared" si="4"/>
        <v>19000</v>
      </c>
      <c r="M73" s="38" t="s">
        <v>1091</v>
      </c>
      <c r="N73" s="17"/>
    </row>
    <row r="74" spans="1:14" ht="12.75" customHeight="1" x14ac:dyDescent="0.3">
      <c r="A74" s="38"/>
      <c r="B74" s="17"/>
      <c r="C74" s="38" t="s">
        <v>2642</v>
      </c>
      <c r="D74" s="17"/>
      <c r="E74" s="17"/>
      <c r="F74" s="17"/>
      <c r="G74" s="146" t="s">
        <v>2643</v>
      </c>
      <c r="H74" s="38" t="s">
        <v>291</v>
      </c>
      <c r="I74" s="281"/>
      <c r="J74" s="294" t="str">
        <f>IF(ISBLANK(HLOOKUP(CaseName,CaseData,MATCH($G74,cases!$G$4:$G$2494,0),FALSE)),"",HLOOKUP(CaseName,CaseData,MATCH($G74,cases!$G$4:$G$2494,0),FALSE))</f>
        <v/>
      </c>
      <c r="K74" s="428">
        <v>0.02</v>
      </c>
      <c r="L74" s="298">
        <f t="shared" si="4"/>
        <v>0.02</v>
      </c>
      <c r="M74" s="17" t="s">
        <v>292</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1155</v>
      </c>
      <c r="B76" s="147"/>
      <c r="C76" s="147"/>
      <c r="D76" s="147"/>
      <c r="E76" s="147"/>
      <c r="F76" s="147"/>
      <c r="G76" s="148" t="s">
        <v>258</v>
      </c>
      <c r="H76" s="148" t="s">
        <v>274</v>
      </c>
      <c r="I76" s="147" t="s">
        <v>259</v>
      </c>
      <c r="J76" s="271" t="s">
        <v>275</v>
      </c>
      <c r="K76" s="331" t="s">
        <v>260</v>
      </c>
      <c r="L76" s="331" t="s">
        <v>261</v>
      </c>
      <c r="M76" s="147"/>
      <c r="N76" s="148" t="s">
        <v>262</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2644</v>
      </c>
      <c r="B78" s="17"/>
      <c r="C78" s="17"/>
      <c r="D78" s="17"/>
      <c r="E78" s="17"/>
      <c r="F78" s="17"/>
      <c r="G78" s="38" t="s">
        <v>2645</v>
      </c>
      <c r="H78" s="38" t="s">
        <v>617</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1041</v>
      </c>
      <c r="N78" s="17"/>
    </row>
    <row r="79" spans="1:14" ht="12.75" customHeight="1" x14ac:dyDescent="0.3">
      <c r="A79" s="38" t="s">
        <v>2646</v>
      </c>
      <c r="B79" s="17"/>
      <c r="C79" s="17"/>
      <c r="D79" s="17"/>
      <c r="E79" s="17"/>
      <c r="F79" s="17"/>
      <c r="G79" s="38" t="s">
        <v>2647</v>
      </c>
      <c r="H79" s="38" t="s">
        <v>617</v>
      </c>
      <c r="I79" s="276"/>
      <c r="J79" s="294" t="str">
        <f>IF(ISBLANK(HLOOKUP(CaseName,CaseData,MATCH($G79,cases!$G$4:$G$2494,0),FALSE)),"",HLOOKUP(CaseName,CaseData,MATCH($G79,cases!$G$4:$G$2494,0),FALSE))</f>
        <v/>
      </c>
      <c r="K79" s="616">
        <f>(L82+L95/L14)*L13</f>
        <v>3.9542347198861451E-6</v>
      </c>
      <c r="L79" s="298">
        <f t="shared" si="5"/>
        <v>3.9542347198861451E-6</v>
      </c>
      <c r="M79" s="17" t="s">
        <v>1041</v>
      </c>
      <c r="N79" s="17"/>
    </row>
    <row r="80" spans="1:14" ht="12.75" customHeight="1" x14ac:dyDescent="0.3">
      <c r="A80" s="38" t="s">
        <v>2648</v>
      </c>
      <c r="B80" s="17"/>
      <c r="C80" s="17"/>
      <c r="D80" s="17"/>
      <c r="E80" s="17"/>
      <c r="F80" s="17"/>
      <c r="G80" s="38" t="s">
        <v>2649</v>
      </c>
      <c r="H80" s="38" t="s">
        <v>617</v>
      </c>
      <c r="I80" s="276"/>
      <c r="J80" s="294" t="str">
        <f>IF(ISBLANK(HLOOKUP(CaseName,CaseData,MATCH($G80,cases!$G$4:$G$2494,0),FALSE)),"",HLOOKUP(CaseName,CaseData,MATCH($G80,cases!$G$4:$G$2494,0),FALSE))</f>
        <v/>
      </c>
      <c r="K80" s="616">
        <f>L96/L15</f>
        <v>3.7876162473645789E-28</v>
      </c>
      <c r="L80" s="298">
        <f t="shared" si="5"/>
        <v>3.7876162473645789E-28</v>
      </c>
      <c r="M80" s="17" t="s">
        <v>1041</v>
      </c>
      <c r="N80" s="17"/>
    </row>
    <row r="81" spans="1:14" ht="12.75" customHeight="1" x14ac:dyDescent="0.3">
      <c r="A81" s="38" t="s">
        <v>2650</v>
      </c>
      <c r="B81" s="17"/>
      <c r="C81" s="17"/>
      <c r="D81" s="17"/>
      <c r="E81" s="17"/>
      <c r="F81" s="17"/>
      <c r="G81" s="38" t="s">
        <v>2651</v>
      </c>
      <c r="H81" s="38" t="s">
        <v>617</v>
      </c>
      <c r="I81" s="276"/>
      <c r="J81" s="294" t="str">
        <f>IF(ISBLANK(HLOOKUP(CaseName,CaseData,MATCH($G81,cases!$G$4:$G$2494,0),FALSE)),"",HLOOKUP(CaseName,CaseData,MATCH($G81,cases!$G$4:$G$2494,0),FALSE))</f>
        <v/>
      </c>
      <c r="K81" s="616">
        <f>L97/L18</f>
        <v>1.0567882828234127E-29</v>
      </c>
      <c r="L81" s="298">
        <f t="shared" si="5"/>
        <v>1.0567882828234127E-29</v>
      </c>
      <c r="M81" s="17" t="s">
        <v>1041</v>
      </c>
      <c r="N81" s="17"/>
    </row>
    <row r="82" spans="1:14" ht="12.75" customHeight="1" x14ac:dyDescent="0.3">
      <c r="A82" s="38"/>
      <c r="B82" s="38" t="s">
        <v>2652</v>
      </c>
      <c r="C82" s="17"/>
      <c r="D82" s="17"/>
      <c r="E82" s="17"/>
      <c r="F82" s="17"/>
      <c r="G82" s="38" t="s">
        <v>2653</v>
      </c>
      <c r="H82" s="38" t="s">
        <v>617</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1041</v>
      </c>
      <c r="N82" s="17"/>
    </row>
    <row r="83" spans="1:14" ht="12.75" customHeight="1" x14ac:dyDescent="0.3">
      <c r="A83" s="38"/>
      <c r="B83" s="38"/>
      <c r="C83" s="17" t="s">
        <v>2654</v>
      </c>
      <c r="D83" s="17"/>
      <c r="E83" s="17"/>
      <c r="F83" s="17"/>
      <c r="G83" s="38" t="s">
        <v>2655</v>
      </c>
      <c r="H83" s="38" t="s">
        <v>617</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1041</v>
      </c>
      <c r="N83" s="17"/>
    </row>
    <row r="84" spans="1:14" ht="12.75" customHeight="1" x14ac:dyDescent="0.3">
      <c r="A84" s="38"/>
      <c r="B84" s="38"/>
      <c r="C84" s="38"/>
      <c r="D84" s="38" t="s">
        <v>2656</v>
      </c>
      <c r="E84" s="17"/>
      <c r="F84" s="17"/>
      <c r="G84" s="38" t="s">
        <v>2657</v>
      </c>
      <c r="H84" s="38" t="s">
        <v>617</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1041</v>
      </c>
      <c r="N84" s="17"/>
    </row>
    <row r="85" spans="1:14" ht="12.75" customHeight="1" x14ac:dyDescent="0.3">
      <c r="A85" s="38"/>
      <c r="B85" s="38"/>
      <c r="C85" s="38"/>
      <c r="D85" s="38" t="s">
        <v>2658</v>
      </c>
      <c r="E85" s="17"/>
      <c r="F85" s="17"/>
      <c r="G85" s="38" t="s">
        <v>2659</v>
      </c>
      <c r="H85" s="38" t="s">
        <v>617</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1041</v>
      </c>
      <c r="N85" s="17"/>
    </row>
    <row r="86" spans="1:14" ht="12.75" customHeight="1" x14ac:dyDescent="0.3">
      <c r="A86" s="38"/>
      <c r="B86" s="38"/>
      <c r="C86" s="17" t="s">
        <v>1188</v>
      </c>
      <c r="D86" s="17"/>
      <c r="E86" s="17"/>
      <c r="F86" s="17"/>
      <c r="G86" s="17" t="s">
        <v>2660</v>
      </c>
      <c r="H86" s="17" t="s">
        <v>1190</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1041</v>
      </c>
      <c r="N86" s="17"/>
    </row>
    <row r="87" spans="1:14" ht="12.75" customHeight="1" x14ac:dyDescent="0.3">
      <c r="A87" s="38"/>
      <c r="B87" s="38"/>
      <c r="C87" s="17" t="s">
        <v>1191</v>
      </c>
      <c r="D87" s="17"/>
      <c r="E87" s="17"/>
      <c r="F87" s="17"/>
      <c r="G87" s="17" t="s">
        <v>2661</v>
      </c>
      <c r="H87" s="17" t="s">
        <v>1190</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1041</v>
      </c>
      <c r="N87" s="17"/>
    </row>
    <row r="88" spans="1:14" ht="12.75" customHeight="1" x14ac:dyDescent="0.3">
      <c r="A88" s="38"/>
      <c r="B88" s="38"/>
      <c r="C88" s="38" t="s">
        <v>1193</v>
      </c>
      <c r="D88" s="17"/>
      <c r="E88" s="17"/>
      <c r="F88" s="17"/>
      <c r="G88" s="146" t="s">
        <v>2662</v>
      </c>
      <c r="H88" s="31" t="s">
        <v>1195</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690</v>
      </c>
      <c r="N88" s="17"/>
    </row>
    <row r="89" spans="1:14" ht="12.75" customHeight="1" x14ac:dyDescent="0.3">
      <c r="A89" s="38"/>
      <c r="B89" s="38"/>
      <c r="C89" s="38" t="s">
        <v>1196</v>
      </c>
      <c r="D89" s="17"/>
      <c r="E89" s="17"/>
      <c r="F89" s="17"/>
      <c r="G89" s="38" t="s">
        <v>2663</v>
      </c>
      <c r="H89" s="146" t="s">
        <v>1195</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690</v>
      </c>
      <c r="N89" s="17"/>
    </row>
    <row r="90" spans="1:14" ht="12.75" customHeight="1" x14ac:dyDescent="0.3">
      <c r="A90" s="38"/>
      <c r="B90" s="38"/>
      <c r="C90" s="38" t="s">
        <v>2103</v>
      </c>
      <c r="D90" s="17"/>
      <c r="E90" s="17"/>
      <c r="F90" s="17"/>
      <c r="G90" s="38" t="s">
        <v>2664</v>
      </c>
      <c r="H90" s="146" t="s">
        <v>1195</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690</v>
      </c>
      <c r="N90" s="17"/>
    </row>
    <row r="91" spans="1:14" ht="12.75" customHeight="1" x14ac:dyDescent="0.3">
      <c r="A91" s="38"/>
      <c r="B91" s="38"/>
      <c r="C91" s="17"/>
      <c r="D91" s="146" t="s">
        <v>1200</v>
      </c>
      <c r="E91" s="146"/>
      <c r="F91" s="146"/>
      <c r="G91" s="146" t="s">
        <v>2665</v>
      </c>
      <c r="H91" s="31" t="s">
        <v>1195</v>
      </c>
      <c r="I91" s="281"/>
      <c r="J91" s="294" t="str">
        <f>IF(ISBLANK(HLOOKUP(CaseName,CaseData,MATCH($G91,cases!$G$4:$G$2494,0),FALSE)),"",HLOOKUP(CaseName,CaseData,MATCH($G91,cases!$G$4:$G$2494,0),FALSE))</f>
        <v/>
      </c>
      <c r="K91" s="616">
        <v>1E-3</v>
      </c>
      <c r="L91" s="298">
        <f>IF(ISBLANK(I91),IF(ISNUMBER(J91)=FALSE,K91,J91),I91)</f>
        <v>1E-3</v>
      </c>
      <c r="M91" s="17" t="s">
        <v>690</v>
      </c>
      <c r="N91" s="17"/>
    </row>
    <row r="92" spans="1:14" ht="12.75" customHeight="1" x14ac:dyDescent="0.3">
      <c r="A92" s="38"/>
      <c r="B92" s="38"/>
      <c r="C92" s="17"/>
      <c r="D92" s="38" t="s">
        <v>2666</v>
      </c>
      <c r="E92" s="146"/>
      <c r="F92" s="146"/>
      <c r="G92" s="146" t="s">
        <v>2667</v>
      </c>
      <c r="H92" s="146" t="s">
        <v>2668</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690</v>
      </c>
      <c r="N92" s="17"/>
    </row>
    <row r="93" spans="1:14" ht="12.75" customHeight="1" x14ac:dyDescent="0.3">
      <c r="A93" s="38"/>
      <c r="B93" s="38"/>
      <c r="C93" s="17"/>
      <c r="D93" s="38" t="s">
        <v>1202</v>
      </c>
      <c r="E93" s="17"/>
      <c r="F93" s="17"/>
      <c r="G93" s="146" t="s">
        <v>2669</v>
      </c>
      <c r="H93" s="38" t="s">
        <v>291</v>
      </c>
      <c r="I93" s="281"/>
      <c r="J93" s="294" t="str">
        <f>IF(ISBLANK(HLOOKUP(CaseName,CaseData,MATCH($G93,cases!$G$4:$G$2494,0),FALSE)),"",HLOOKUP(CaseName,CaseData,MATCH($G93,cases!$G$4:$G$2494,0),FALSE))</f>
        <v/>
      </c>
      <c r="K93" s="616">
        <v>200000</v>
      </c>
      <c r="L93" s="298">
        <f t="shared" ref="L93:L103" si="6">IF(ISBLANK(I93),IF(ISNUMBER(J93)=FALSE,K93,J93),I93)</f>
        <v>200000</v>
      </c>
      <c r="M93" s="38" t="s">
        <v>292</v>
      </c>
      <c r="N93" s="17"/>
    </row>
    <row r="94" spans="1:14" ht="12.75" customHeight="1" x14ac:dyDescent="0.3">
      <c r="A94" s="38"/>
      <c r="B94" s="38" t="s">
        <v>1204</v>
      </c>
      <c r="C94" s="17"/>
      <c r="D94" s="38"/>
      <c r="E94" s="17"/>
      <c r="F94" s="17"/>
      <c r="G94" s="146" t="s">
        <v>2670</v>
      </c>
      <c r="H94" s="38" t="s">
        <v>1195</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3">
      <c r="A95" s="38"/>
      <c r="B95" s="38" t="s">
        <v>1206</v>
      </c>
      <c r="C95" s="17"/>
      <c r="D95" s="38"/>
      <c r="E95" s="17"/>
      <c r="F95" s="17"/>
      <c r="G95" s="146" t="s">
        <v>2671</v>
      </c>
      <c r="H95" s="38" t="s">
        <v>1195</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3">
      <c r="A96" s="38"/>
      <c r="B96" s="38" t="s">
        <v>2672</v>
      </c>
      <c r="C96" s="17"/>
      <c r="D96" s="38"/>
      <c r="E96" s="17"/>
      <c r="F96" s="17"/>
      <c r="G96" s="38" t="s">
        <v>2673</v>
      </c>
      <c r="H96" s="38" t="s">
        <v>1195</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3">
      <c r="A97" s="38"/>
      <c r="B97" s="38" t="s">
        <v>2674</v>
      </c>
      <c r="C97" s="17"/>
      <c r="D97" s="38"/>
      <c r="E97" s="17"/>
      <c r="F97" s="17"/>
      <c r="G97" s="38" t="s">
        <v>2675</v>
      </c>
      <c r="H97" s="38" t="s">
        <v>1195</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3">
      <c r="A98" s="38"/>
      <c r="B98" s="38"/>
      <c r="C98" s="17" t="s">
        <v>1215</v>
      </c>
      <c r="D98" s="17"/>
      <c r="E98" s="17"/>
      <c r="F98" s="17"/>
      <c r="G98" s="17" t="s">
        <v>2676</v>
      </c>
      <c r="H98" s="31" t="s">
        <v>1195</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690</v>
      </c>
      <c r="N98" s="17"/>
    </row>
    <row r="99" spans="1:14" ht="12.75" customHeight="1" x14ac:dyDescent="0.3">
      <c r="A99" s="38"/>
      <c r="B99" s="38"/>
      <c r="C99" s="17" t="s">
        <v>1217</v>
      </c>
      <c r="D99" s="17"/>
      <c r="E99" s="17"/>
      <c r="F99" s="17"/>
      <c r="G99" s="17" t="s">
        <v>2677</v>
      </c>
      <c r="H99" s="31" t="s">
        <v>1195</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690</v>
      </c>
      <c r="N99" s="17"/>
    </row>
    <row r="100" spans="1:14" ht="12.75" customHeight="1" x14ac:dyDescent="0.3">
      <c r="A100" s="38"/>
      <c r="B100" s="38"/>
      <c r="C100" s="17"/>
      <c r="D100" s="146" t="s">
        <v>2678</v>
      </c>
      <c r="E100" s="17"/>
      <c r="F100" s="17"/>
      <c r="G100" s="38" t="s">
        <v>2679</v>
      </c>
      <c r="H100" s="31" t="s">
        <v>1195</v>
      </c>
      <c r="I100" s="281"/>
      <c r="J100" s="294" t="str">
        <f>IF(ISBLANK(HLOOKUP(CaseName,CaseData,MATCH($G100,cases!$G$4:$G$2494,0),FALSE)),"",HLOOKUP(CaseName,CaseData,MATCH($G100,cases!$G$4:$G$2494,0),FALSE))</f>
        <v/>
      </c>
      <c r="K100" s="616">
        <v>3</v>
      </c>
      <c r="L100" s="298">
        <f t="shared" si="6"/>
        <v>3</v>
      </c>
      <c r="M100" s="17" t="s">
        <v>690</v>
      </c>
      <c r="N100" s="17"/>
    </row>
    <row r="101" spans="1:14" ht="12.75" customHeight="1" x14ac:dyDescent="0.3">
      <c r="A101" s="38"/>
      <c r="B101" s="38"/>
      <c r="C101" s="17" t="s">
        <v>1225</v>
      </c>
      <c r="D101" s="17"/>
      <c r="E101" s="146"/>
      <c r="F101" s="146"/>
      <c r="G101" s="17" t="s">
        <v>2680</v>
      </c>
      <c r="H101" s="31" t="s">
        <v>1195</v>
      </c>
      <c r="I101" s="281"/>
      <c r="J101" s="294" t="str">
        <f>IF(ISBLANK(HLOOKUP(CaseName,CaseData,MATCH($G101,cases!$G$4:$G$2494,0),FALSE)),"",HLOOKUP(CaseName,CaseData,MATCH($G101,cases!$G$4:$G$2494,0),FALSE))</f>
        <v/>
      </c>
      <c r="K101" s="616">
        <f>0.43/(24*3600)/0.00475</f>
        <v>1.0477582846003899E-3</v>
      </c>
      <c r="L101" s="298">
        <f t="shared" si="6"/>
        <v>1.0477582846003899E-3</v>
      </c>
      <c r="M101" s="17" t="s">
        <v>690</v>
      </c>
      <c r="N101" s="17"/>
    </row>
    <row r="102" spans="1:14" ht="12.75" customHeight="1" x14ac:dyDescent="0.3">
      <c r="A102" s="38"/>
      <c r="B102" s="38"/>
      <c r="C102" s="17" t="s">
        <v>1227</v>
      </c>
      <c r="D102" s="17"/>
      <c r="E102" s="17"/>
      <c r="F102" s="146"/>
      <c r="G102" s="17" t="s">
        <v>2681</v>
      </c>
      <c r="H102" s="146" t="s">
        <v>1195</v>
      </c>
      <c r="I102" s="281"/>
      <c r="J102" s="294" t="str">
        <f>IF(ISBLANK(HLOOKUP(CaseName,CaseData,MATCH($G102,cases!$G$4:$G$2494,0),FALSE)),"",HLOOKUP(CaseName,CaseData,MATCH($G102,cases!$G$4:$G$2494,0),FALSE))</f>
        <v/>
      </c>
      <c r="K102" s="616">
        <f>0.1*L140</f>
        <v>4.0612619817811774E-22</v>
      </c>
      <c r="L102" s="298">
        <f t="shared" si="6"/>
        <v>4.0612619817811774E-22</v>
      </c>
      <c r="M102" s="17" t="s">
        <v>690</v>
      </c>
      <c r="N102" s="17" t="s">
        <v>2123</v>
      </c>
    </row>
    <row r="103" spans="1:14" ht="12.75" customHeight="1" x14ac:dyDescent="0.3">
      <c r="A103" s="38"/>
      <c r="B103" s="38"/>
      <c r="C103" s="17" t="s">
        <v>1229</v>
      </c>
      <c r="D103" s="17"/>
      <c r="E103" s="146"/>
      <c r="F103" s="146"/>
      <c r="G103" s="38" t="s">
        <v>2682</v>
      </c>
      <c r="H103" s="17" t="s">
        <v>291</v>
      </c>
      <c r="I103" s="276"/>
      <c r="J103" s="294" t="str">
        <f>IF(ISBLANK(HLOOKUP(CaseName,CaseData,MATCH($G103,cases!$G$4:$G$2494,0),FALSE)),"",HLOOKUP(CaseName,CaseData,MATCH($G103,cases!$G$4:$G$2494,0),FALSE))</f>
        <v/>
      </c>
      <c r="K103" s="616">
        <f>(EXP((-1/0.1)*0)*(1/0.1)*L18/(1-EXP((-1/0.1)*L18)))</f>
        <v>1.2707470412683992</v>
      </c>
      <c r="L103" s="298">
        <f t="shared" si="6"/>
        <v>1.2707470412683992</v>
      </c>
      <c r="M103" s="38" t="s">
        <v>292</v>
      </c>
      <c r="N103" s="17" t="s">
        <v>1231</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2683</v>
      </c>
      <c r="B105" s="17"/>
      <c r="C105" s="17"/>
      <c r="D105" s="17"/>
      <c r="E105" s="17"/>
      <c r="F105" s="17"/>
      <c r="G105" s="38" t="s">
        <v>2684</v>
      </c>
      <c r="H105" s="38" t="s">
        <v>335</v>
      </c>
      <c r="I105" s="276"/>
      <c r="J105" s="294" t="str">
        <f>IF(ISBLANK(HLOOKUP(CaseName,CaseData,MATCH($G105,cases!$G$4:$G$2494,0),FALSE)),"",HLOOKUP(CaseName,CaseData,MATCH($G105,cases!$G$4:$G$2494,0),FALSE))</f>
        <v/>
      </c>
      <c r="K105" s="428">
        <f>(L107+L113)/L16</f>
        <v>3.1132268755843781E-9</v>
      </c>
      <c r="L105" s="298">
        <f t="shared" ref="L105:L111" si="7">IF(ISBLANK(I105),IF(ISNUMBER(J105)=FALSE,K105,J105),I105)</f>
        <v>3.1132268755843781E-9</v>
      </c>
      <c r="M105" s="17" t="s">
        <v>1041</v>
      </c>
      <c r="N105" s="17"/>
    </row>
    <row r="106" spans="1:14" ht="12.75" customHeight="1" x14ac:dyDescent="0.3">
      <c r="A106" s="38" t="s">
        <v>2685</v>
      </c>
      <c r="B106" s="17"/>
      <c r="C106" s="17"/>
      <c r="D106" s="17"/>
      <c r="E106" s="17"/>
      <c r="F106" s="17"/>
      <c r="G106" s="38" t="s">
        <v>2686</v>
      </c>
      <c r="H106" s="38" t="s">
        <v>335</v>
      </c>
      <c r="I106" s="276"/>
      <c r="J106" s="294" t="str">
        <f>IF(ISBLANK(HLOOKUP(CaseName,CaseData,MATCH($G106,cases!$G$4:$G$2494,0),FALSE)),"",HLOOKUP(CaseName,CaseData,MATCH($G106,cases!$G$4:$G$2494,0),FALSE))</f>
        <v/>
      </c>
      <c r="K106" s="428">
        <f>(L108+L114)/L17</f>
        <v>9.6806799330891283E-9</v>
      </c>
      <c r="L106" s="298">
        <f t="shared" si="7"/>
        <v>9.6806799330891283E-9</v>
      </c>
      <c r="M106" s="17" t="s">
        <v>1041</v>
      </c>
      <c r="N106" s="17"/>
    </row>
    <row r="107" spans="1:14" ht="12.75" customHeight="1" x14ac:dyDescent="0.3">
      <c r="A107" s="38"/>
      <c r="B107" s="38" t="s">
        <v>2687</v>
      </c>
      <c r="C107" s="17"/>
      <c r="D107" s="17"/>
      <c r="E107" s="17"/>
      <c r="F107" s="17"/>
      <c r="G107" s="38" t="s">
        <v>2688</v>
      </c>
      <c r="H107" s="17" t="s">
        <v>866</v>
      </c>
      <c r="I107" s="276"/>
      <c r="J107" s="294" t="str">
        <f>IF(ISBLANK(HLOOKUP(CaseName,CaseData,MATCH($G107,cases!$G$4:$G$2494,0),FALSE)),"",HLOOKUP(CaseName,CaseData,MATCH($G107,cases!$G$4:$G$2494,0),FALSE))</f>
        <v/>
      </c>
      <c r="K107" s="424">
        <f>L110*(1-L56)</f>
        <v>9.321035983584623E-6</v>
      </c>
      <c r="L107" s="298">
        <f t="shared" si="7"/>
        <v>9.321035983584623E-6</v>
      </c>
      <c r="M107" s="17" t="s">
        <v>1059</v>
      </c>
      <c r="N107" s="17"/>
    </row>
    <row r="108" spans="1:14" ht="12.75" customHeight="1" x14ac:dyDescent="0.3">
      <c r="A108" s="38"/>
      <c r="B108" s="38" t="s">
        <v>2689</v>
      </c>
      <c r="C108" s="17"/>
      <c r="D108" s="17"/>
      <c r="E108" s="17"/>
      <c r="F108" s="17"/>
      <c r="G108" s="38" t="s">
        <v>2690</v>
      </c>
      <c r="H108" s="17" t="s">
        <v>866</v>
      </c>
      <c r="I108" s="276"/>
      <c r="J108" s="294" t="str">
        <f>IF(ISBLANK(HLOOKUP(CaseName,CaseData,MATCH($G108,cases!$G$4:$G$2494,0),FALSE)),"",HLOOKUP(CaseName,CaseData,MATCH($G108,cases!$G$4:$G$2494,0),FALSE))</f>
        <v/>
      </c>
      <c r="K108" s="428">
        <f>L109-L111</f>
        <v>2.8926233382241219E-10</v>
      </c>
      <c r="L108" s="298">
        <f t="shared" si="7"/>
        <v>2.8926233382241219E-10</v>
      </c>
      <c r="M108" s="17" t="s">
        <v>1059</v>
      </c>
      <c r="N108" s="17"/>
    </row>
    <row r="109" spans="1:14" ht="12.75" customHeight="1" x14ac:dyDescent="0.3">
      <c r="A109" s="38"/>
      <c r="B109" s="38"/>
      <c r="C109" s="38" t="s">
        <v>1261</v>
      </c>
      <c r="D109" s="38"/>
      <c r="E109" s="17"/>
      <c r="F109" s="17"/>
      <c r="G109" s="146" t="s">
        <v>2691</v>
      </c>
      <c r="H109" s="31" t="s">
        <v>866</v>
      </c>
      <c r="I109" s="281"/>
      <c r="J109" s="294" t="str">
        <f>IF(ISBLANK(HLOOKUP(CaseName,CaseData,MATCH($G109,cases!$G$4:$G$2494,0),FALSE)),"",HLOOKUP(CaseName,CaseData,MATCH($G109,cases!$G$4:$G$2494,0),FALSE))</f>
        <v/>
      </c>
      <c r="K109" s="428">
        <f>IF(L110*L62/(L26*RHOsolid)&gt;L111,L110*L62/(L26*RHOsolid),L111)</f>
        <v>2.893518518518519E-10</v>
      </c>
      <c r="L109" s="298">
        <f t="shared" si="7"/>
        <v>2.893518518518519E-10</v>
      </c>
      <c r="M109" s="17" t="s">
        <v>690</v>
      </c>
      <c r="N109" s="17"/>
    </row>
    <row r="110" spans="1:14" ht="12.75" customHeight="1" x14ac:dyDescent="0.3">
      <c r="A110" s="38"/>
      <c r="B110" s="38"/>
      <c r="C110" s="17"/>
      <c r="D110" s="38" t="s">
        <v>1265</v>
      </c>
      <c r="E110" s="146"/>
      <c r="F110" s="146"/>
      <c r="G110" s="146" t="s">
        <v>2692</v>
      </c>
      <c r="H110" s="31" t="s">
        <v>866</v>
      </c>
      <c r="I110" s="281"/>
      <c r="J110" s="294" t="str">
        <f>IF(ISBLANK(HLOOKUP(CaseName,CaseData,MATCH($G110,cases!$G$4:$G$2494,0),FALSE)),"",HLOOKUP(CaseName,CaseData,MATCH($G110,cases!$G$4:$G$2494,0),FALSE))</f>
        <v/>
      </c>
      <c r="K110" s="428">
        <f>2.5/(24*3600)</f>
        <v>2.8935185185185186E-5</v>
      </c>
      <c r="L110" s="298">
        <f t="shared" si="7"/>
        <v>2.8935185185185186E-5</v>
      </c>
      <c r="M110" s="17" t="s">
        <v>690</v>
      </c>
      <c r="N110" s="17"/>
    </row>
    <row r="111" spans="1:14" ht="12.75" customHeight="1" x14ac:dyDescent="0.3">
      <c r="A111" s="38"/>
      <c r="B111" s="38"/>
      <c r="C111" s="17"/>
      <c r="D111" s="38" t="s">
        <v>2693</v>
      </c>
      <c r="E111" s="146"/>
      <c r="F111" s="146"/>
      <c r="G111" s="146" t="s">
        <v>2694</v>
      </c>
      <c r="H111" s="31" t="s">
        <v>866</v>
      </c>
      <c r="I111" s="281"/>
      <c r="J111" s="294" t="str">
        <f>IF(ISBLANK(HLOOKUP(CaseName,CaseData,MATCH($G111,cases!$G$4:$G$2494,0),FALSE)),"",HLOOKUP(CaseName,CaseData,MATCH($G111,cases!$G$4:$G$2494,0),FALSE))</f>
        <v/>
      </c>
      <c r="K111" s="428">
        <v>8.9518029439684741E-14</v>
      </c>
      <c r="L111" s="298">
        <f t="shared" si="7"/>
        <v>8.9518029439684741E-14</v>
      </c>
      <c r="M111" s="17" t="s">
        <v>690</v>
      </c>
      <c r="N111" s="17" t="s">
        <v>1272</v>
      </c>
    </row>
    <row r="112" spans="1:14" ht="12.75" customHeight="1" x14ac:dyDescent="0.3">
      <c r="A112" s="38"/>
      <c r="B112" s="38"/>
      <c r="C112" s="38"/>
      <c r="D112" s="17"/>
      <c r="E112" s="38" t="s">
        <v>2695</v>
      </c>
      <c r="F112" s="38"/>
      <c r="G112" s="146" t="s">
        <v>2696</v>
      </c>
      <c r="H112" s="38" t="s">
        <v>2697</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1278</v>
      </c>
      <c r="N112" s="17"/>
    </row>
    <row r="113" spans="1:14" ht="12.75" customHeight="1" x14ac:dyDescent="0.3">
      <c r="A113" s="17"/>
      <c r="B113" s="17" t="s">
        <v>2698</v>
      </c>
      <c r="C113" s="38"/>
      <c r="D113" s="17"/>
      <c r="E113" s="146"/>
      <c r="F113" s="146"/>
      <c r="G113" s="38" t="s">
        <v>2699</v>
      </c>
      <c r="H113" s="17" t="s">
        <v>866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1059</v>
      </c>
      <c r="N113" s="17"/>
    </row>
    <row r="114" spans="1:14" ht="12.75" customHeight="1" x14ac:dyDescent="0.3">
      <c r="A114" s="17"/>
      <c r="B114" s="17" t="s">
        <v>2700</v>
      </c>
      <c r="C114" s="38"/>
      <c r="D114" s="17"/>
      <c r="E114" s="146"/>
      <c r="F114" s="146"/>
      <c r="G114" s="38" t="s">
        <v>2701</v>
      </c>
      <c r="H114" s="17" t="s">
        <v>866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1059</v>
      </c>
      <c r="N114" s="17"/>
    </row>
    <row r="115" spans="1:14" ht="12.75" customHeight="1" x14ac:dyDescent="0.3">
      <c r="A115" s="38"/>
      <c r="B115" s="38"/>
      <c r="C115" s="17" t="s">
        <v>1289</v>
      </c>
      <c r="D115" s="17"/>
      <c r="E115" s="17"/>
      <c r="F115" s="17"/>
      <c r="G115" s="17" t="s">
        <v>2702</v>
      </c>
      <c r="H115" s="31" t="s">
        <v>866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690</v>
      </c>
      <c r="N115" s="17"/>
    </row>
    <row r="116" spans="1:14" ht="12.75" customHeight="1" x14ac:dyDescent="0.3">
      <c r="A116" s="38"/>
      <c r="B116" s="38"/>
      <c r="C116" s="17" t="s">
        <v>1291</v>
      </c>
      <c r="D116" s="17"/>
      <c r="E116" s="17"/>
      <c r="F116" s="17"/>
      <c r="G116" s="17" t="s">
        <v>2703</v>
      </c>
      <c r="H116" s="31" t="s">
        <v>866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690</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2704</v>
      </c>
      <c r="B118" s="17"/>
      <c r="C118" s="17"/>
      <c r="D118" s="17"/>
      <c r="E118" s="17"/>
      <c r="F118" s="17"/>
      <c r="G118" s="38" t="s">
        <v>2705</v>
      </c>
      <c r="H118" s="38" t="s">
        <v>617</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1041</v>
      </c>
      <c r="N118" s="17"/>
    </row>
    <row r="119" spans="1:14" ht="12.75" customHeight="1" x14ac:dyDescent="0.3">
      <c r="A119" s="17"/>
      <c r="B119" s="146" t="s">
        <v>2706</v>
      </c>
      <c r="C119" s="17"/>
      <c r="D119" s="17"/>
      <c r="E119" s="17"/>
      <c r="F119" s="17"/>
      <c r="G119" s="146" t="s">
        <v>2707</v>
      </c>
      <c r="H119" s="31" t="s">
        <v>1195</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690</v>
      </c>
      <c r="N119" s="17"/>
    </row>
    <row r="120" spans="1:14" ht="12.75" customHeight="1" x14ac:dyDescent="0.3">
      <c r="A120" s="17"/>
      <c r="B120" s="38" t="s">
        <v>2708</v>
      </c>
      <c r="C120" s="17"/>
      <c r="D120" s="17"/>
      <c r="E120" s="17"/>
      <c r="F120" s="17"/>
      <c r="G120" s="146" t="s">
        <v>2709</v>
      </c>
      <c r="H120" s="38" t="s">
        <v>291</v>
      </c>
      <c r="I120" s="281"/>
      <c r="J120" s="294" t="str">
        <f>IF(ISBLANK(HLOOKUP(CaseName,CaseData,MATCH($G120,cases!$G$4:$G$2494,0),FALSE)),"",HLOOKUP(CaseName,CaseData,MATCH($G120,cases!$G$4:$G$2494,0),FALSE))</f>
        <v/>
      </c>
      <c r="K120" s="428">
        <f>FRACrun.C</f>
        <v>0.25</v>
      </c>
      <c r="L120" s="298">
        <f>IF(ISBLANK(I120),IF(ISNUMBER(J120)=FALSE,K120,J120),I120)</f>
        <v>0.25</v>
      </c>
      <c r="M120" s="17" t="s">
        <v>292</v>
      </c>
      <c r="N120" s="17"/>
    </row>
    <row r="121" spans="1:14" ht="12.75" customHeight="1" x14ac:dyDescent="0.3">
      <c r="A121" s="38"/>
      <c r="B121" s="17" t="s">
        <v>1229</v>
      </c>
      <c r="C121" s="17"/>
      <c r="D121" s="146"/>
      <c r="E121" s="146"/>
      <c r="F121" s="17"/>
      <c r="G121" s="38" t="s">
        <v>2710</v>
      </c>
      <c r="H121" s="17" t="s">
        <v>291</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292</v>
      </c>
      <c r="N121" s="17" t="s">
        <v>1231</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1314</v>
      </c>
      <c r="B123" s="147"/>
      <c r="C123" s="147"/>
      <c r="D123" s="147"/>
      <c r="E123" s="147"/>
      <c r="F123" s="147"/>
      <c r="G123" s="148" t="s">
        <v>258</v>
      </c>
      <c r="H123" s="148" t="s">
        <v>274</v>
      </c>
      <c r="I123" s="147" t="s">
        <v>259</v>
      </c>
      <c r="J123" s="271" t="s">
        <v>275</v>
      </c>
      <c r="K123" s="331" t="s">
        <v>260</v>
      </c>
      <c r="L123" s="331" t="s">
        <v>261</v>
      </c>
      <c r="M123" s="147"/>
      <c r="N123" s="148" t="s">
        <v>262</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1315</v>
      </c>
      <c r="B125" s="17"/>
      <c r="C125" s="17"/>
      <c r="D125" s="17"/>
      <c r="E125" s="17"/>
      <c r="F125" s="17"/>
      <c r="G125" s="38" t="s">
        <v>2711</v>
      </c>
      <c r="H125" s="38" t="s">
        <v>617</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1041</v>
      </c>
      <c r="N125" s="17"/>
    </row>
    <row r="126" spans="1:14" ht="12.75" customHeight="1" x14ac:dyDescent="0.3">
      <c r="A126" s="38" t="s">
        <v>2712</v>
      </c>
      <c r="B126" s="17"/>
      <c r="C126" s="17"/>
      <c r="D126" s="17"/>
      <c r="E126" s="17"/>
      <c r="F126" s="17"/>
      <c r="G126" s="38" t="s">
        <v>2713</v>
      </c>
      <c r="H126" s="38" t="s">
        <v>617</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1041</v>
      </c>
      <c r="N126" s="17"/>
    </row>
    <row r="127" spans="1:14" ht="12.75" customHeight="1" x14ac:dyDescent="0.3">
      <c r="A127" s="38" t="s">
        <v>2714</v>
      </c>
      <c r="B127" s="17"/>
      <c r="C127" s="17"/>
      <c r="D127" s="17"/>
      <c r="E127" s="17"/>
      <c r="F127" s="17"/>
      <c r="G127" s="38" t="s">
        <v>2715</v>
      </c>
      <c r="H127" s="38" t="s">
        <v>617</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1041</v>
      </c>
      <c r="N127" s="17"/>
    </row>
    <row r="128" spans="1:14" ht="12.75" customHeight="1" x14ac:dyDescent="0.3">
      <c r="A128" s="38" t="s">
        <v>2716</v>
      </c>
      <c r="B128" s="17"/>
      <c r="C128" s="17"/>
      <c r="D128" s="17"/>
      <c r="E128" s="17"/>
      <c r="F128" s="17"/>
      <c r="G128" s="38" t="s">
        <v>2717</v>
      </c>
      <c r="H128" s="38" t="s">
        <v>617</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1041</v>
      </c>
      <c r="N128" s="17"/>
    </row>
    <row r="129" spans="1:14" ht="12.75" customHeight="1" x14ac:dyDescent="0.3">
      <c r="A129" s="38" t="s">
        <v>2718</v>
      </c>
      <c r="B129" s="17"/>
      <c r="C129" s="17"/>
      <c r="D129" s="17"/>
      <c r="E129" s="17"/>
      <c r="F129" s="17"/>
      <c r="G129" s="38" t="s">
        <v>2719</v>
      </c>
      <c r="H129" s="38" t="s">
        <v>617</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1041</v>
      </c>
      <c r="N129" s="17"/>
    </row>
    <row r="130" spans="1:14" ht="12.75" customHeight="1" x14ac:dyDescent="0.3">
      <c r="A130" s="38"/>
      <c r="B130" s="38" t="s">
        <v>1335</v>
      </c>
      <c r="C130" s="146"/>
      <c r="D130" s="17"/>
      <c r="E130" s="17"/>
      <c r="F130" s="17"/>
      <c r="G130" s="146" t="s">
        <v>2720</v>
      </c>
      <c r="H130" s="38" t="s">
        <v>617</v>
      </c>
      <c r="I130" s="281"/>
      <c r="J130" s="294" t="str">
        <f>IF(ISBLANK(HLOOKUP(CaseName,CaseData,MATCH($G130,cases!$G$4:$G$2494,0),FALSE)),"",HLOOKUP(CaseName,CaseData,MATCH($G130,cases!$G$4:$G$2494,0),FALSE))</f>
        <v/>
      </c>
      <c r="K130" s="428">
        <f>LN(2)/(60*365*24*3600)</f>
        <v>3.663258818281463E-10</v>
      </c>
      <c r="L130" s="298">
        <f t="shared" si="8"/>
        <v>3.663258818281463E-10</v>
      </c>
      <c r="M130" s="38" t="s">
        <v>1041</v>
      </c>
      <c r="N130" s="17"/>
    </row>
    <row r="131" spans="1:14" ht="12.75" customHeight="1" x14ac:dyDescent="0.3">
      <c r="A131" s="38"/>
      <c r="B131" s="38" t="s">
        <v>1337</v>
      </c>
      <c r="C131" s="17"/>
      <c r="D131" s="17"/>
      <c r="E131" s="17"/>
      <c r="F131" s="17"/>
      <c r="G131" s="38" t="s">
        <v>2721</v>
      </c>
      <c r="H131" s="38" t="s">
        <v>617</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1041</v>
      </c>
      <c r="N131" s="17"/>
    </row>
    <row r="132" spans="1:14" ht="12.75" customHeight="1" x14ac:dyDescent="0.3">
      <c r="A132" s="146"/>
      <c r="B132" s="146"/>
      <c r="C132" s="38" t="s">
        <v>2722</v>
      </c>
      <c r="D132" s="17"/>
      <c r="E132" s="17"/>
      <c r="F132" s="17"/>
      <c r="G132" s="38" t="s">
        <v>2723</v>
      </c>
      <c r="H132" s="38" t="s">
        <v>620</v>
      </c>
      <c r="I132" s="281"/>
      <c r="J132" s="294" t="str">
        <f>IF(ISBLANK(HLOOKUP(CaseName,CaseData,MATCH($G132,cases!$G$4:$G$2494,0),FALSE)),"",HLOOKUP(CaseName,CaseData,MATCH($G132,cases!$G$4:$G$2494,0),FALSE))</f>
        <v/>
      </c>
      <c r="K132" s="428">
        <v>500000</v>
      </c>
      <c r="L132" s="298">
        <f t="shared" si="8"/>
        <v>500000</v>
      </c>
      <c r="M132" s="38" t="s">
        <v>1341</v>
      </c>
      <c r="N132" s="17"/>
    </row>
    <row r="133" spans="1:14" ht="12.75" customHeight="1" x14ac:dyDescent="0.3">
      <c r="A133" s="146"/>
      <c r="B133" s="146"/>
      <c r="C133" s="38" t="s">
        <v>2183</v>
      </c>
      <c r="D133" s="17"/>
      <c r="E133" s="17"/>
      <c r="F133" s="17"/>
      <c r="G133" s="38" t="s">
        <v>2724</v>
      </c>
      <c r="H133" s="38" t="s">
        <v>291</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292</v>
      </c>
      <c r="N133" s="17"/>
    </row>
    <row r="134" spans="1:14" ht="12.75" customHeight="1" x14ac:dyDescent="0.3">
      <c r="A134" s="38"/>
      <c r="B134" s="38" t="s">
        <v>2725</v>
      </c>
      <c r="C134" s="17"/>
      <c r="D134" s="17"/>
      <c r="E134" s="17"/>
      <c r="F134" s="17"/>
      <c r="G134" s="38" t="s">
        <v>2726</v>
      </c>
      <c r="H134" s="38" t="s">
        <v>617</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1041</v>
      </c>
      <c r="N134" s="17"/>
    </row>
    <row r="135" spans="1:14" ht="12.75" customHeight="1" x14ac:dyDescent="0.3">
      <c r="A135" s="38"/>
      <c r="B135" s="38" t="s">
        <v>2727</v>
      </c>
      <c r="C135" s="17"/>
      <c r="D135" s="17"/>
      <c r="E135" s="17"/>
      <c r="F135" s="17"/>
      <c r="G135" s="38" t="s">
        <v>2728</v>
      </c>
      <c r="H135" s="38" t="s">
        <v>617</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1041</v>
      </c>
      <c r="N135" s="17"/>
    </row>
    <row r="136" spans="1:14" ht="12.75" customHeight="1" x14ac:dyDescent="0.3">
      <c r="A136" s="38"/>
      <c r="B136" s="38"/>
      <c r="C136" s="38" t="s">
        <v>2729</v>
      </c>
      <c r="D136" s="17"/>
      <c r="E136" s="17"/>
      <c r="F136" s="17"/>
      <c r="G136" s="146" t="s">
        <v>2730</v>
      </c>
      <c r="H136" s="38" t="s">
        <v>1352</v>
      </c>
      <c r="I136" s="281"/>
      <c r="J136" s="294" t="str">
        <f>IF(ISBLANK(HLOOKUP(CaseName,CaseData,MATCH($G136,cases!$G$4:$G$2494,0),FALSE)),"",HLOOKUP(CaseName,CaseData,MATCH($G136,cases!$G$4:$G$2494,0),FALSE))</f>
        <v/>
      </c>
      <c r="K136" s="428">
        <v>40000</v>
      </c>
      <c r="L136" s="298">
        <f t="shared" si="8"/>
        <v>40000</v>
      </c>
      <c r="M136" s="38" t="s">
        <v>638</v>
      </c>
      <c r="N136" s="17"/>
    </row>
    <row r="137" spans="1:14" ht="12.75" customHeight="1" x14ac:dyDescent="0.3">
      <c r="A137" s="38"/>
      <c r="B137" s="38"/>
      <c r="C137" s="38" t="s">
        <v>2731</v>
      </c>
      <c r="D137" s="17"/>
      <c r="E137" s="17"/>
      <c r="F137" s="17"/>
      <c r="G137" s="146" t="s">
        <v>2732</v>
      </c>
      <c r="H137" s="38" t="s">
        <v>1352</v>
      </c>
      <c r="I137" s="281"/>
      <c r="J137" s="294" t="str">
        <f>IF(ISBLANK(HLOOKUP(CaseName,CaseData,MATCH($G137,cases!$G$4:$G$2494,0),FALSE)),"",HLOOKUP(CaseName,CaseData,MATCH($G137,cases!$G$4:$G$2494,0),FALSE))</f>
        <v/>
      </c>
      <c r="K137" s="428">
        <v>40000</v>
      </c>
      <c r="L137" s="298">
        <f t="shared" si="8"/>
        <v>40000</v>
      </c>
      <c r="M137" s="38" t="s">
        <v>638</v>
      </c>
      <c r="N137" s="17"/>
    </row>
    <row r="138" spans="1:14" ht="12.75" customHeight="1" x14ac:dyDescent="0.3">
      <c r="A138" s="146"/>
      <c r="B138" s="146"/>
      <c r="C138" s="38" t="s">
        <v>1358</v>
      </c>
      <c r="D138" s="17"/>
      <c r="E138" s="17"/>
      <c r="F138" s="17"/>
      <c r="G138" s="38" t="s">
        <v>2733</v>
      </c>
      <c r="H138" s="38" t="s">
        <v>291</v>
      </c>
      <c r="I138" s="281"/>
      <c r="J138" s="294" t="str">
        <f>IF(ISBLANK(HLOOKUP(CaseName,CaseData,MATCH($G138,cases!$G$4:$G$2494,0),FALSE)),"",HLOOKUP(CaseName,CaseData,MATCH($G138,cases!$G$4:$G$2494,0),FALSE))</f>
        <v/>
      </c>
      <c r="K138" s="428">
        <f>Q.10^((L52-298)/10)</f>
        <v>0.40612619817811774</v>
      </c>
      <c r="L138" s="298">
        <f t="shared" si="8"/>
        <v>0.40612619817811774</v>
      </c>
      <c r="M138" s="38" t="s">
        <v>292</v>
      </c>
      <c r="N138" s="17"/>
    </row>
    <row r="139" spans="1:14" ht="12.75" customHeight="1" x14ac:dyDescent="0.3">
      <c r="A139" s="38"/>
      <c r="B139" s="38" t="s">
        <v>2734</v>
      </c>
      <c r="C139" s="17"/>
      <c r="D139" s="17"/>
      <c r="E139" s="17"/>
      <c r="F139" s="17"/>
      <c r="G139" s="38" t="s">
        <v>2735</v>
      </c>
      <c r="H139" s="38" t="s">
        <v>617</v>
      </c>
      <c r="I139" s="281"/>
      <c r="J139" s="294" t="str">
        <f>IF(ISBLANK(HLOOKUP(CaseName,CaseData,MATCH($G139,cases!$G$4:$G$2494,0),FALSE)),"",HLOOKUP(CaseName,CaseData,MATCH($G139,cases!$G$4:$G$2494,0),FALSE))</f>
        <v/>
      </c>
      <c r="K139" s="428">
        <f>L138*kdeg.sed</f>
        <v>4.0612619817811774E-21</v>
      </c>
      <c r="L139" s="298">
        <f t="shared" si="8"/>
        <v>4.0612619817811774E-21</v>
      </c>
      <c r="M139" s="38" t="s">
        <v>1041</v>
      </c>
      <c r="N139" s="17"/>
    </row>
    <row r="140" spans="1:14" ht="12.75" customHeight="1" x14ac:dyDescent="0.3">
      <c r="A140" s="38"/>
      <c r="B140" s="38" t="s">
        <v>2736</v>
      </c>
      <c r="C140" s="17"/>
      <c r="D140" s="17"/>
      <c r="E140" s="17"/>
      <c r="F140" s="17"/>
      <c r="G140" s="38" t="s">
        <v>2737</v>
      </c>
      <c r="H140" s="216" t="s">
        <v>617</v>
      </c>
      <c r="I140" s="281"/>
      <c r="J140" s="294" t="str">
        <f>IF(ISBLANK(HLOOKUP(CaseName,CaseData,MATCH($G140,cases!$G$4:$G$2494,0),FALSE)),"",HLOOKUP(CaseName,CaseData,MATCH($G140,cases!$G$4:$G$2494,0),FALSE))</f>
        <v/>
      </c>
      <c r="K140" s="428">
        <f>L138*kdeg.soil</f>
        <v>4.0612619817811774E-21</v>
      </c>
      <c r="L140" s="298">
        <f t="shared" si="8"/>
        <v>4.0612619817811774E-21</v>
      </c>
      <c r="M140" s="38" t="s">
        <v>1041</v>
      </c>
      <c r="N140" s="17"/>
    </row>
    <row r="141" spans="1:14" ht="12.75" customHeight="1" x14ac:dyDescent="0.3">
      <c r="A141" s="17"/>
      <c r="B141" s="17"/>
      <c r="C141" s="38" t="s">
        <v>2738</v>
      </c>
      <c r="D141" s="17"/>
      <c r="E141" s="17"/>
      <c r="F141" s="17"/>
      <c r="G141" s="146" t="s">
        <v>2739</v>
      </c>
      <c r="H141" s="38" t="s">
        <v>291</v>
      </c>
      <c r="I141" s="281"/>
      <c r="J141" s="294" t="str">
        <f>IF(ISBLANK(HLOOKUP(CaseName,CaseData,MATCH($G141,cases!$G$4:$G$2494,0),FALSE)),"",HLOOKUP(CaseName,CaseData,MATCH($G141,cases!$G$4:$G$2494,0),FALSE))</f>
        <v/>
      </c>
      <c r="K141" s="428">
        <v>0.25</v>
      </c>
      <c r="L141" s="298">
        <f t="shared" si="8"/>
        <v>0.25</v>
      </c>
      <c r="M141" s="17" t="s">
        <v>292</v>
      </c>
      <c r="N141" s="17"/>
    </row>
    <row r="142" spans="1:14" ht="12.75" customHeight="1" x14ac:dyDescent="0.3">
      <c r="A142" s="38"/>
      <c r="B142" s="38"/>
      <c r="C142" s="17" t="s">
        <v>1229</v>
      </c>
      <c r="D142" s="17"/>
      <c r="E142" s="146"/>
      <c r="F142" s="146"/>
      <c r="G142" s="38" t="s">
        <v>2740</v>
      </c>
      <c r="H142" s="17" t="s">
        <v>291</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292</v>
      </c>
      <c r="N142" s="17" t="s">
        <v>1231</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1382</v>
      </c>
      <c r="G145" s="630" t="s">
        <v>258</v>
      </c>
      <c r="H145" s="630" t="s">
        <v>274</v>
      </c>
      <c r="I145" s="413" t="s">
        <v>259</v>
      </c>
      <c r="J145" s="498" t="s">
        <v>275</v>
      </c>
      <c r="K145" s="647" t="s">
        <v>260</v>
      </c>
      <c r="L145" s="648" t="s">
        <v>261</v>
      </c>
      <c r="N145" s="630" t="s">
        <v>262</v>
      </c>
      <c r="O145" s="209" t="s">
        <v>1383</v>
      </c>
      <c r="P145" s="413" t="s">
        <v>1384</v>
      </c>
    </row>
    <row r="146" spans="1:16" s="410" customFormat="1" ht="12.75" customHeight="1" x14ac:dyDescent="0.3">
      <c r="A146" s="410" t="s">
        <v>2741</v>
      </c>
      <c r="G146" s="654"/>
      <c r="H146" s="654"/>
      <c r="J146" s="656"/>
      <c r="K146" s="657"/>
      <c r="L146" s="658"/>
      <c r="O146" s="417"/>
    </row>
    <row r="147" spans="1:16" customFormat="1" ht="12.75" customHeight="1" x14ac:dyDescent="0.3">
      <c r="A147" s="566" t="s">
        <v>1386</v>
      </c>
      <c r="B147" s="566"/>
      <c r="C147" s="566"/>
      <c r="D147" s="566"/>
      <c r="E147" s="566"/>
      <c r="F147" s="566"/>
      <c r="G147" s="566" t="s">
        <v>2742</v>
      </c>
      <c r="H147" s="567" t="s">
        <v>335</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335</v>
      </c>
      <c r="N147" s="566"/>
      <c r="O147" s="604">
        <v>2</v>
      </c>
      <c r="P147" s="566" t="s">
        <v>1388</v>
      </c>
    </row>
    <row r="148" spans="1:16" customFormat="1" ht="12.75" customHeight="1" x14ac:dyDescent="0.3">
      <c r="A148" s="566"/>
      <c r="B148" s="566" t="s">
        <v>1389</v>
      </c>
      <c r="C148" s="566"/>
      <c r="D148" s="566"/>
      <c r="E148" s="566"/>
      <c r="F148" s="566"/>
      <c r="G148" s="566" t="s">
        <v>2743</v>
      </c>
      <c r="H148" s="566" t="s">
        <v>335</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335</v>
      </c>
      <c r="N148" s="566"/>
      <c r="O148" s="604">
        <v>10</v>
      </c>
      <c r="P148" s="566" t="s">
        <v>908</v>
      </c>
    </row>
    <row r="149" spans="1:16" customFormat="1" ht="12.75" customHeight="1" x14ac:dyDescent="0.3">
      <c r="A149" s="566"/>
      <c r="B149" s="566"/>
      <c r="C149" s="566" t="s">
        <v>706</v>
      </c>
      <c r="D149" s="566"/>
      <c r="E149" s="566"/>
      <c r="F149" s="566"/>
      <c r="G149" s="566" t="s">
        <v>2744</v>
      </c>
      <c r="H149" s="567" t="s">
        <v>708</v>
      </c>
      <c r="I149" s="677"/>
      <c r="J149" s="294" t="str">
        <f>IF(ISBLANK(HLOOKUP(CaseName,CaseData,MATCH($G149,cases!$G$4:$G$2494,0),FALSE)),"",HLOOKUP(CaseName,CaseData,MATCH($G149,cases!$G$4:$G$2494,0),FALSE))</f>
        <v/>
      </c>
      <c r="K149" s="576">
        <f>3.2*10^9</f>
        <v>3200000000</v>
      </c>
      <c r="L149" s="298">
        <f t="shared" si="9"/>
        <v>3200000000</v>
      </c>
      <c r="M149" s="567" t="s">
        <v>708</v>
      </c>
      <c r="N149" s="566"/>
      <c r="O149" s="674"/>
      <c r="P149" s="566" t="s">
        <v>709</v>
      </c>
    </row>
    <row r="150" spans="1:16" customFormat="1" ht="12.75" customHeight="1" x14ac:dyDescent="0.3">
      <c r="A150" s="566"/>
      <c r="B150" s="566"/>
      <c r="C150" s="566" t="s">
        <v>1396</v>
      </c>
      <c r="D150" s="566"/>
      <c r="E150" s="566"/>
      <c r="F150" s="566"/>
      <c r="G150" s="567" t="s">
        <v>2745</v>
      </c>
      <c r="H150" s="567" t="s">
        <v>866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866</v>
      </c>
      <c r="N150" s="566"/>
      <c r="O150" s="604"/>
      <c r="P150" s="566"/>
    </row>
    <row r="151" spans="1:16" customFormat="1" ht="12.75" customHeight="1" x14ac:dyDescent="0.3">
      <c r="A151" s="566"/>
      <c r="B151" s="566"/>
      <c r="C151" s="566" t="s">
        <v>1394</v>
      </c>
      <c r="D151" s="566"/>
      <c r="E151" s="566"/>
      <c r="F151" s="566"/>
      <c r="G151" s="566" t="s">
        <v>2746</v>
      </c>
      <c r="H151" s="566" t="s">
        <v>900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900</v>
      </c>
      <c r="N151" s="566"/>
      <c r="O151" s="604"/>
      <c r="P151" s="566"/>
    </row>
    <row r="152" spans="1:16" customFormat="1" ht="12.75" customHeight="1" x14ac:dyDescent="0.3">
      <c r="A152" s="566"/>
      <c r="B152" s="566"/>
      <c r="C152" s="566" t="s">
        <v>1391</v>
      </c>
      <c r="D152" s="566"/>
      <c r="E152" s="566"/>
      <c r="F152" s="566"/>
      <c r="G152" s="567" t="s">
        <v>2747</v>
      </c>
      <c r="H152" s="567" t="s">
        <v>291</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291</v>
      </c>
      <c r="N152" s="566"/>
      <c r="O152" s="675" t="s">
        <v>1393</v>
      </c>
      <c r="P152" s="566"/>
    </row>
    <row r="153" spans="1:16" customFormat="1" ht="12.75" customHeight="1" x14ac:dyDescent="0.3">
      <c r="A153" s="566" t="s">
        <v>1398</v>
      </c>
      <c r="B153" s="566"/>
      <c r="C153" s="566"/>
      <c r="D153" s="566"/>
      <c r="E153" s="566"/>
      <c r="F153" s="566"/>
      <c r="G153" s="566" t="s">
        <v>2748</v>
      </c>
      <c r="H153" s="566" t="s">
        <v>335</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335</v>
      </c>
      <c r="N153" s="566"/>
      <c r="O153" s="604"/>
      <c r="P153" s="566"/>
    </row>
    <row r="154" spans="1:16" customFormat="1" ht="12.75" customHeight="1" x14ac:dyDescent="0.3">
      <c r="A154" s="566"/>
      <c r="B154" s="566"/>
      <c r="C154" s="566" t="s">
        <v>710</v>
      </c>
      <c r="D154" s="566"/>
      <c r="E154" s="566"/>
      <c r="F154" s="566"/>
      <c r="G154" s="566" t="s">
        <v>2749</v>
      </c>
      <c r="H154" s="567" t="s">
        <v>708</v>
      </c>
      <c r="I154" s="677"/>
      <c r="J154" s="294" t="str">
        <f>IF(ISBLANK(HLOOKUP(CaseName,CaseData,MATCH($G154,cases!$G$4:$G$2494,0),FALSE)),"",HLOOKUP(CaseName,CaseData,MATCH($G154,cases!$G$4:$G$2494,0),FALSE))</f>
        <v/>
      </c>
      <c r="K154" s="576">
        <f>2.9*10^9</f>
        <v>2900000000</v>
      </c>
      <c r="L154" s="298">
        <f t="shared" si="9"/>
        <v>2900000000</v>
      </c>
      <c r="M154" s="567" t="s">
        <v>708</v>
      </c>
      <c r="N154" s="566"/>
      <c r="O154" s="674"/>
      <c r="P154" s="566" t="s">
        <v>709</v>
      </c>
    </row>
    <row r="155" spans="1:16" customFormat="1" ht="12.75" customHeight="1" x14ac:dyDescent="0.3">
      <c r="A155" s="566"/>
      <c r="B155" s="566"/>
      <c r="C155" s="566" t="s">
        <v>1400</v>
      </c>
      <c r="D155" s="566"/>
      <c r="E155" s="566"/>
      <c r="F155" s="566"/>
      <c r="G155" s="567" t="s">
        <v>2750</v>
      </c>
      <c r="H155" s="567" t="s">
        <v>866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866</v>
      </c>
      <c r="N155" s="566"/>
      <c r="O155" s="604"/>
      <c r="P155" s="566"/>
    </row>
    <row r="156" spans="1:16" customFormat="1" ht="12.75" customHeight="1" x14ac:dyDescent="0.3">
      <c r="A156" s="566"/>
      <c r="B156" s="566"/>
      <c r="C156" s="566" t="s">
        <v>1402</v>
      </c>
      <c r="D156" s="566"/>
      <c r="E156" s="566"/>
      <c r="F156" s="566"/>
      <c r="G156" s="566" t="s">
        <v>2751</v>
      </c>
      <c r="H156" s="566" t="s">
        <v>900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900</v>
      </c>
      <c r="N156" s="566"/>
      <c r="O156" s="604"/>
      <c r="P156" s="566"/>
    </row>
    <row r="157" spans="1:16" customFormat="1" ht="12.75" customHeight="1" x14ac:dyDescent="0.3">
      <c r="A157" s="566"/>
      <c r="B157" s="566"/>
      <c r="C157" s="566" t="s">
        <v>1404</v>
      </c>
      <c r="D157" s="566"/>
      <c r="E157" s="566"/>
      <c r="F157" s="566"/>
      <c r="G157" s="567" t="s">
        <v>2752</v>
      </c>
      <c r="H157" s="567" t="s">
        <v>291</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291</v>
      </c>
      <c r="N157" s="566"/>
      <c r="O157" s="604"/>
      <c r="P157" s="566"/>
    </row>
    <row r="158" spans="1:16" customFormat="1" ht="12.75" customHeight="1" x14ac:dyDescent="0.3">
      <c r="A158" s="566" t="s">
        <v>1406</v>
      </c>
      <c r="B158" s="566"/>
      <c r="C158" s="566"/>
      <c r="D158" s="566"/>
      <c r="E158" s="566"/>
      <c r="F158" s="566"/>
      <c r="G158" s="567" t="s">
        <v>2753</v>
      </c>
      <c r="H158" s="567" t="s">
        <v>335</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335</v>
      </c>
      <c r="N158" s="566"/>
      <c r="O158" s="604"/>
      <c r="P158" s="566"/>
    </row>
    <row r="159" spans="1:16" customFormat="1" ht="12.75" customHeight="1" x14ac:dyDescent="0.3">
      <c r="A159" s="566"/>
      <c r="B159" s="566" t="s">
        <v>712</v>
      </c>
      <c r="C159" s="566"/>
      <c r="D159" s="566"/>
      <c r="E159" s="566"/>
      <c r="F159" s="566"/>
      <c r="G159" s="566" t="s">
        <v>2754</v>
      </c>
      <c r="H159" s="567" t="s">
        <v>708</v>
      </c>
      <c r="I159" s="677"/>
      <c r="J159" s="294" t="str">
        <f>IF(ISBLANK(HLOOKUP(CaseName,CaseData,MATCH($G159,cases!$G$4:$G$2494,0),FALSE)),"",HLOOKUP(CaseName,CaseData,MATCH($G159,cases!$G$4:$G$2494,0),FALSE))</f>
        <v/>
      </c>
      <c r="K159" s="576">
        <f>3*10^5</f>
        <v>300000</v>
      </c>
      <c r="L159" s="298">
        <f t="shared" si="9"/>
        <v>300000</v>
      </c>
      <c r="M159" s="567" t="s">
        <v>708</v>
      </c>
      <c r="N159" s="566"/>
      <c r="O159" s="674"/>
      <c r="P159" s="566" t="s">
        <v>709</v>
      </c>
    </row>
    <row r="160" spans="1:16" customFormat="1" ht="12.75" customHeight="1" x14ac:dyDescent="0.3">
      <c r="A160" s="566"/>
      <c r="B160" s="566" t="s">
        <v>1408</v>
      </c>
      <c r="C160" s="566"/>
      <c r="D160" s="566"/>
      <c r="E160" s="566"/>
      <c r="F160" s="566"/>
      <c r="G160" s="567" t="s">
        <v>2755</v>
      </c>
      <c r="H160" s="567" t="s">
        <v>866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866</v>
      </c>
      <c r="N160" s="566"/>
      <c r="O160" s="604"/>
      <c r="P160" s="566"/>
    </row>
    <row r="161" spans="1:16" customFormat="1" ht="12.75" customHeight="1" x14ac:dyDescent="0.3">
      <c r="A161" s="566"/>
      <c r="B161" s="566" t="s">
        <v>1410</v>
      </c>
      <c r="C161" s="566"/>
      <c r="D161" s="566"/>
      <c r="E161" s="566"/>
      <c r="F161" s="566"/>
      <c r="G161" s="566" t="s">
        <v>2756</v>
      </c>
      <c r="H161" s="566" t="s">
        <v>900</v>
      </c>
      <c r="I161" s="677"/>
      <c r="J161" s="294"/>
      <c r="K161" s="989">
        <f>(kboltz*L696*(1+(66*10^-9/RadCP.a)*(1.142+0.558*EXP(-0.999/(66*10^-9/RadCP.a))))/(6*PI()*DYNVISC.a*RadCP.a))</f>
        <v>1.4521285732910958E-11</v>
      </c>
      <c r="L161" s="298">
        <f t="shared" si="9"/>
        <v>1.4521285732910958E-11</v>
      </c>
      <c r="M161" s="566" t="s">
        <v>900</v>
      </c>
      <c r="N161" s="566"/>
      <c r="O161" s="604"/>
      <c r="P161" s="566"/>
    </row>
    <row r="162" spans="1:16" customFormat="1" ht="12.75" customHeight="1" x14ac:dyDescent="0.3">
      <c r="A162" s="566"/>
      <c r="B162" s="566" t="s">
        <v>1412</v>
      </c>
      <c r="C162" s="566"/>
      <c r="D162" s="566"/>
      <c r="E162" s="566"/>
      <c r="F162" s="566"/>
      <c r="G162" s="567" t="s">
        <v>2757</v>
      </c>
      <c r="H162" s="567" t="s">
        <v>291</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291</v>
      </c>
      <c r="N162" s="566"/>
      <c r="O162" s="604"/>
      <c r="P162" s="566"/>
    </row>
    <row r="163" spans="1:16" s="410" customFormat="1" ht="12.75" customHeight="1" x14ac:dyDescent="0.3">
      <c r="A163" s="410" t="s">
        <v>2758</v>
      </c>
      <c r="G163" s="654"/>
      <c r="H163" s="654"/>
      <c r="J163" s="656"/>
      <c r="K163" s="657"/>
      <c r="L163" s="658"/>
      <c r="O163" s="417"/>
    </row>
    <row r="164" spans="1:16" customFormat="1" ht="12.75" customHeight="1" x14ac:dyDescent="0.3">
      <c r="A164" s="566" t="s">
        <v>1437</v>
      </c>
      <c r="B164" s="566"/>
      <c r="C164" s="566"/>
      <c r="D164" s="566"/>
      <c r="E164" s="566"/>
      <c r="F164" s="566"/>
      <c r="G164" s="567" t="s">
        <v>2759</v>
      </c>
      <c r="H164" s="567" t="s">
        <v>335</v>
      </c>
      <c r="I164" s="677"/>
      <c r="J164" s="294" t="str">
        <f>IF(ISBLANK(HLOOKUP(CaseName,CaseData,MATCH($G164,cases!$G$4:$G$2494,0),FALSE)),"",HLOOKUP(CaseName,CaseData,MATCH($G164,cases!$G$4:$G$2494,0),FALSE))</f>
        <v/>
      </c>
      <c r="K164" s="625">
        <f>L166*L165*AtefSA.w2</f>
        <v>5.9358764701560448E-3</v>
      </c>
      <c r="L164" s="298">
        <f t="shared" ref="L164:L185" si="10">IF(ISBLANK(I164),IF(ISNUMBER(J164)=FALSE,K164,J164),I164)</f>
        <v>5.9358764701560448E-3</v>
      </c>
      <c r="M164" s="566" t="s">
        <v>335</v>
      </c>
      <c r="N164" s="566"/>
      <c r="O164" s="604"/>
      <c r="P164" s="566"/>
    </row>
    <row r="165" spans="1:16" customFormat="1" ht="12.75" customHeight="1" x14ac:dyDescent="0.3">
      <c r="A165" s="566"/>
      <c r="B165" s="566" t="s">
        <v>1439</v>
      </c>
      <c r="C165" s="566"/>
      <c r="D165" s="566"/>
      <c r="E165" s="566"/>
      <c r="F165" s="566"/>
      <c r="G165" s="567" t="s">
        <v>2760</v>
      </c>
      <c r="H165" s="567" t="s">
        <v>708</v>
      </c>
      <c r="I165" s="677"/>
      <c r="J165" s="294" t="str">
        <f>IF(ISBLANK(HLOOKUP(CaseName,CaseData,MATCH($G165,cases!$G$4:$G$2494,0),FALSE)),"",HLOOKUP(CaseName,CaseData,MATCH($G165,cases!$G$4:$G$2494,0),FALSE))</f>
        <v/>
      </c>
      <c r="K165" s="576">
        <f>2*L65/(SingleVolNC.w*RhoNC.w)</f>
        <v>70735530263064.578</v>
      </c>
      <c r="L165" s="298">
        <f t="shared" si="10"/>
        <v>70735530263064.578</v>
      </c>
      <c r="M165" s="567" t="s">
        <v>708</v>
      </c>
      <c r="N165" s="566"/>
      <c r="O165" s="604"/>
      <c r="P165" s="586" t="s">
        <v>1441</v>
      </c>
    </row>
    <row r="166" spans="1:16" customFormat="1" ht="12.75" customHeight="1" x14ac:dyDescent="0.3">
      <c r="A166" s="566"/>
      <c r="B166" s="566" t="s">
        <v>1442</v>
      </c>
      <c r="C166" s="566"/>
      <c r="D166" s="566"/>
      <c r="E166" s="566"/>
      <c r="F166" s="566"/>
      <c r="G166" s="567" t="s">
        <v>2761</v>
      </c>
      <c r="H166" s="567" t="s">
        <v>335</v>
      </c>
      <c r="I166" s="677"/>
      <c r="J166" s="294" t="str">
        <f>IF(ISBLANK(HLOOKUP(CaseName,CaseData,MATCH($G166,cases!$G$4:$G$2494,0),FALSE)),"",HLOOKUP(CaseName,CaseData,MATCH($G166,cases!$G$4:$G$2494,0),FALSE))</f>
        <v/>
      </c>
      <c r="K166" s="576">
        <f>L167+L174+L175</f>
        <v>8.3916476600664372E-17</v>
      </c>
      <c r="L166" s="298">
        <f t="shared" si="10"/>
        <v>8.3916476600664372E-17</v>
      </c>
      <c r="M166" s="566" t="s">
        <v>335</v>
      </c>
      <c r="N166" s="566"/>
      <c r="O166" s="604"/>
      <c r="P166" s="566"/>
    </row>
    <row r="167" spans="1:16" customFormat="1" ht="12.75" customHeight="1" x14ac:dyDescent="0.3">
      <c r="A167" s="566"/>
      <c r="B167" s="566"/>
      <c r="C167" s="566" t="s">
        <v>1421</v>
      </c>
      <c r="D167" s="566"/>
      <c r="E167" s="566"/>
      <c r="F167" s="566"/>
      <c r="G167" s="567" t="s">
        <v>2762</v>
      </c>
      <c r="H167" s="567" t="s">
        <v>335</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335</v>
      </c>
      <c r="N167" s="566"/>
      <c r="O167" s="604"/>
      <c r="P167" s="566"/>
    </row>
    <row r="168" spans="1:16" customFormat="1" ht="12.75" customHeight="1" x14ac:dyDescent="0.3">
      <c r="A168" s="566"/>
      <c r="B168" s="566"/>
      <c r="C168" s="566"/>
      <c r="D168" s="566" t="s">
        <v>1445</v>
      </c>
      <c r="E168" s="566"/>
      <c r="F168" s="566"/>
      <c r="G168" s="567" t="s">
        <v>2763</v>
      </c>
      <c r="H168" s="567" t="s">
        <v>335</v>
      </c>
      <c r="I168" s="677"/>
      <c r="J168" s="294" t="str">
        <f>IF(ISBLANK(HLOOKUP(CaseName,CaseData,MATCH($G168,cases!$G$4:$G$2494,0),FALSE)),"",HLOOKUP(CaseName,CaseData,MATCH($G168,cases!$G$4:$G$2494,0),FALSE))</f>
        <v/>
      </c>
      <c r="K168" s="576">
        <v>10</v>
      </c>
      <c r="L168" s="298">
        <f t="shared" si="10"/>
        <v>10</v>
      </c>
      <c r="M168" s="567" t="s">
        <v>335</v>
      </c>
      <c r="N168" s="566"/>
      <c r="O168" s="604"/>
      <c r="P168" s="586" t="s">
        <v>1425</v>
      </c>
    </row>
    <row r="169" spans="1:16" customFormat="1" ht="12.75" customHeight="1" x14ac:dyDescent="0.3">
      <c r="A169" s="566" t="s">
        <v>1437</v>
      </c>
      <c r="B169" s="566"/>
      <c r="C169" s="566"/>
      <c r="D169" s="566"/>
      <c r="E169" s="566"/>
      <c r="F169" s="566"/>
      <c r="G169" s="567" t="s">
        <v>2764</v>
      </c>
      <c r="H169" s="567" t="s">
        <v>335</v>
      </c>
      <c r="I169" s="677"/>
      <c r="J169" s="294" t="str">
        <f>IF(ISBLANK(HLOOKUP(CaseName,CaseData,MATCH($G169,cases!$G$4:$G$2494,0),FALSE)),"",HLOOKUP(CaseName,CaseData,MATCH($G169,cases!$G$4:$G$2494,0),FALSE))</f>
        <v/>
      </c>
      <c r="K169" s="576">
        <f>L171*L170*AtefSA.w3</f>
        <v>5.9358764701560448E-3</v>
      </c>
      <c r="L169" s="298">
        <f t="shared" si="10"/>
        <v>5.9358764701560448E-3</v>
      </c>
      <c r="M169" s="566" t="s">
        <v>335</v>
      </c>
      <c r="N169" s="566"/>
      <c r="O169" s="604"/>
      <c r="P169" s="566"/>
    </row>
    <row r="170" spans="1:16" customFormat="1" ht="12.75" customHeight="1" x14ac:dyDescent="0.3">
      <c r="A170" s="566"/>
      <c r="B170" s="566" t="s">
        <v>1439</v>
      </c>
      <c r="C170" s="566"/>
      <c r="D170" s="566"/>
      <c r="E170" s="566"/>
      <c r="F170" s="566"/>
      <c r="G170" s="567" t="s">
        <v>2765</v>
      </c>
      <c r="H170" s="567" t="s">
        <v>708</v>
      </c>
      <c r="I170" s="677"/>
      <c r="J170" s="294" t="str">
        <f>IF(ISBLANK(HLOOKUP(CaseName,CaseData,MATCH($G170,cases!$G$4:$G$2494,0),FALSE)),"",HLOOKUP(CaseName,CaseData,MATCH($G170,cases!$G$4:$G$2494,0),FALSE))</f>
        <v/>
      </c>
      <c r="K170" s="576">
        <f>2*L66/(SingleVolNC.w*RhoNC.w)</f>
        <v>70735530263064.578</v>
      </c>
      <c r="L170" s="298">
        <f t="shared" si="10"/>
        <v>70735530263064.578</v>
      </c>
      <c r="M170" s="567" t="s">
        <v>708</v>
      </c>
      <c r="N170" s="566"/>
      <c r="O170" s="604"/>
      <c r="P170" s="586" t="s">
        <v>1441</v>
      </c>
    </row>
    <row r="171" spans="1:16" customFormat="1" ht="12.75" customHeight="1" x14ac:dyDescent="0.3">
      <c r="A171" s="566"/>
      <c r="B171" s="566" t="s">
        <v>1442</v>
      </c>
      <c r="C171" s="566"/>
      <c r="D171" s="566"/>
      <c r="E171" s="566"/>
      <c r="F171" s="566"/>
      <c r="G171" s="567" t="s">
        <v>2766</v>
      </c>
      <c r="H171" s="567" t="s">
        <v>335</v>
      </c>
      <c r="I171" s="677"/>
      <c r="J171" s="294" t="str">
        <f>IF(ISBLANK(HLOOKUP(CaseName,CaseData,MATCH($G171,cases!$G$4:$G$2494,0),FALSE)),"",HLOOKUP(CaseName,CaseData,MATCH($G171,cases!$G$4:$G$2494,0),FALSE))</f>
        <v/>
      </c>
      <c r="K171" s="576">
        <f>L172+L174+L175</f>
        <v>8.3916476600664372E-17</v>
      </c>
      <c r="L171" s="298">
        <f t="shared" si="10"/>
        <v>8.3916476600664372E-17</v>
      </c>
      <c r="M171" s="566" t="s">
        <v>335</v>
      </c>
      <c r="N171" s="566"/>
      <c r="O171" s="604"/>
      <c r="P171" s="566"/>
    </row>
    <row r="172" spans="1:16" customFormat="1" ht="12.75" customHeight="1" x14ac:dyDescent="0.3">
      <c r="A172" s="566"/>
      <c r="B172" s="566"/>
      <c r="C172" s="566" t="s">
        <v>1421</v>
      </c>
      <c r="D172" s="566"/>
      <c r="E172" s="566"/>
      <c r="F172" s="566"/>
      <c r="G172" s="567" t="s">
        <v>2767</v>
      </c>
      <c r="H172" s="567" t="s">
        <v>335</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335</v>
      </c>
      <c r="N172" s="566"/>
      <c r="O172" s="604"/>
      <c r="P172" s="566"/>
    </row>
    <row r="173" spans="1:16" customFormat="1" ht="12.75" customHeight="1" x14ac:dyDescent="0.3">
      <c r="A173" s="566"/>
      <c r="B173" s="566"/>
      <c r="C173" s="566"/>
      <c r="D173" s="566" t="s">
        <v>1445</v>
      </c>
      <c r="E173" s="566"/>
      <c r="F173" s="566"/>
      <c r="G173" s="567" t="s">
        <v>2768</v>
      </c>
      <c r="H173" s="567" t="s">
        <v>335</v>
      </c>
      <c r="I173" s="677"/>
      <c r="J173" s="294" t="str">
        <f>IF(ISBLANK(HLOOKUP(CaseName,CaseData,MATCH($G173,cases!$G$4:$G$2494,0),FALSE)),"",HLOOKUP(CaseName,CaseData,MATCH($G173,cases!$G$4:$G$2494,0),FALSE))</f>
        <v/>
      </c>
      <c r="K173" s="576">
        <v>10</v>
      </c>
      <c r="L173" s="298">
        <f t="shared" si="10"/>
        <v>10</v>
      </c>
      <c r="M173" s="567" t="s">
        <v>335</v>
      </c>
      <c r="N173" s="566"/>
      <c r="O173" s="604"/>
      <c r="P173" s="586" t="s">
        <v>1425</v>
      </c>
    </row>
    <row r="174" spans="1:16" customFormat="1" ht="12.75" customHeight="1" x14ac:dyDescent="0.3">
      <c r="A174" s="566"/>
      <c r="B174" s="566"/>
      <c r="C174" s="566" t="s">
        <v>1447</v>
      </c>
      <c r="D174" s="566"/>
      <c r="E174" s="566"/>
      <c r="F174" s="566"/>
      <c r="G174" s="566" t="s">
        <v>2769</v>
      </c>
      <c r="H174" s="566" t="s">
        <v>335</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335</v>
      </c>
      <c r="N174" s="566"/>
      <c r="O174" s="604"/>
      <c r="P174" s="566"/>
    </row>
    <row r="175" spans="1:16" customFormat="1" ht="12.75" customHeight="1" x14ac:dyDescent="0.3">
      <c r="A175" s="566"/>
      <c r="B175" s="566"/>
      <c r="C175" s="566" t="s">
        <v>1449</v>
      </c>
      <c r="D175" s="566"/>
      <c r="E175" s="566"/>
      <c r="F175" s="566"/>
      <c r="G175" s="567" t="s">
        <v>2770</v>
      </c>
      <c r="H175" s="567" t="s">
        <v>335</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335</v>
      </c>
      <c r="N175" s="566"/>
      <c r="O175" s="604"/>
      <c r="P175" s="566"/>
    </row>
    <row r="176" spans="1:16" customFormat="1" ht="12.75" customHeight="1" x14ac:dyDescent="0.3">
      <c r="A176" s="566" t="s">
        <v>1469</v>
      </c>
      <c r="B176" s="566"/>
      <c r="C176" s="566"/>
      <c r="D176" s="566"/>
      <c r="E176" s="566"/>
      <c r="F176" s="566"/>
      <c r="G176" s="567" t="s">
        <v>2771</v>
      </c>
      <c r="H176" s="567" t="s">
        <v>335</v>
      </c>
      <c r="I176" s="677"/>
      <c r="J176" s="294" t="str">
        <f>IF(ISBLANK(HLOOKUP(CaseName,CaseData,MATCH($G176,cases!$G$4:$G$2494,0),FALSE)),"",HLOOKUP(CaseName,CaseData,MATCH($G176,cases!$G$4:$G$2494,0),FALSE))</f>
        <v/>
      </c>
      <c r="K176" s="576">
        <f>L177*L178*AtefSP.w2</f>
        <v>4.9022568168365979E-5</v>
      </c>
      <c r="L176" s="298">
        <f t="shared" si="10"/>
        <v>4.9022568168365979E-5</v>
      </c>
      <c r="M176" s="566" t="s">
        <v>335</v>
      </c>
      <c r="N176" s="566"/>
      <c r="O176" s="604"/>
      <c r="P176" s="566"/>
    </row>
    <row r="177" spans="1:16" customFormat="1" ht="12.75" customHeight="1" x14ac:dyDescent="0.3">
      <c r="A177" s="566"/>
      <c r="B177" s="566" t="s">
        <v>1471</v>
      </c>
      <c r="C177" s="566"/>
      <c r="D177" s="566"/>
      <c r="E177" s="566"/>
      <c r="F177" s="566"/>
      <c r="G177" s="567" t="s">
        <v>2772</v>
      </c>
      <c r="H177" s="567" t="s">
        <v>708</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708</v>
      </c>
      <c r="N177" s="566"/>
      <c r="O177" s="604"/>
      <c r="P177" s="566"/>
    </row>
    <row r="178" spans="1:16" customFormat="1" ht="12.75" customHeight="1" x14ac:dyDescent="0.3">
      <c r="A178" s="566"/>
      <c r="B178" s="566" t="s">
        <v>1474</v>
      </c>
      <c r="C178" s="566"/>
      <c r="D178" s="566"/>
      <c r="E178" s="566"/>
      <c r="F178" s="566"/>
      <c r="G178" s="567" t="s">
        <v>2773</v>
      </c>
      <c r="H178" s="566" t="s">
        <v>335</v>
      </c>
      <c r="I178" s="677"/>
      <c r="J178" s="294" t="str">
        <f>IF(ISBLANK(HLOOKUP(CaseName,CaseData,MATCH($G178,cases!$G$4:$G$2494,0),FALSE)),"",HLOOKUP(CaseName,CaseData,MATCH($G178,cases!$G$4:$G$2494,0),FALSE))</f>
        <v/>
      </c>
      <c r="K178" s="576">
        <f>L184+L185+L179</f>
        <v>2.7721609203211815E-15</v>
      </c>
      <c r="L178" s="298">
        <f t="shared" si="10"/>
        <v>2.7721609203211815E-15</v>
      </c>
      <c r="M178" s="566" t="s">
        <v>335</v>
      </c>
      <c r="N178" s="566"/>
      <c r="O178" s="604"/>
      <c r="P178" s="566"/>
    </row>
    <row r="179" spans="1:16" customFormat="1" ht="12.75" customHeight="1" x14ac:dyDescent="0.3">
      <c r="A179" s="566"/>
      <c r="B179" s="566"/>
      <c r="C179" s="566" t="s">
        <v>1459</v>
      </c>
      <c r="D179" s="566"/>
      <c r="E179" s="566"/>
      <c r="F179" s="566"/>
      <c r="G179" s="567" t="s">
        <v>2774</v>
      </c>
      <c r="H179" s="567" t="s">
        <v>335</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335</v>
      </c>
      <c r="N179" s="566"/>
      <c r="O179" s="604"/>
      <c r="P179" s="566"/>
    </row>
    <row r="180" spans="1:16" customFormat="1" ht="12.75" customHeight="1" x14ac:dyDescent="0.3">
      <c r="A180" s="566" t="s">
        <v>1469</v>
      </c>
      <c r="B180" s="566"/>
      <c r="C180" s="566"/>
      <c r="D180" s="566"/>
      <c r="E180" s="566"/>
      <c r="F180" s="566"/>
      <c r="G180" s="567" t="s">
        <v>2775</v>
      </c>
      <c r="H180" s="567" t="s">
        <v>335</v>
      </c>
      <c r="I180" s="677"/>
      <c r="J180" s="294" t="str">
        <f>IF(ISBLANK(HLOOKUP(CaseName,CaseData,MATCH($G180,cases!$G$4:$G$2494,0),FALSE)),"",HLOOKUP(CaseName,CaseData,MATCH($G180,cases!$G$4:$G$2494,0),FALSE))</f>
        <v/>
      </c>
      <c r="K180" s="576">
        <f>L181*L182*AtefSP.w3</f>
        <v>4.9022568168365979E-5</v>
      </c>
      <c r="L180" s="298">
        <f t="shared" si="10"/>
        <v>4.9022568168365979E-5</v>
      </c>
      <c r="M180" s="566" t="s">
        <v>335</v>
      </c>
      <c r="N180" s="566"/>
      <c r="O180" s="604"/>
      <c r="P180" s="566"/>
    </row>
    <row r="181" spans="1:16" customFormat="1" ht="12.75" customHeight="1" x14ac:dyDescent="0.3">
      <c r="A181" s="566"/>
      <c r="B181" s="566" t="s">
        <v>1471</v>
      </c>
      <c r="C181" s="566"/>
      <c r="D181" s="566"/>
      <c r="E181" s="566"/>
      <c r="F181" s="566"/>
      <c r="G181" s="567" t="s">
        <v>2776</v>
      </c>
      <c r="H181" s="567" t="s">
        <v>708</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708</v>
      </c>
      <c r="N181" s="566"/>
      <c r="O181" s="604"/>
      <c r="P181" s="566"/>
    </row>
    <row r="182" spans="1:16" customFormat="1" ht="12.75" customHeight="1" x14ac:dyDescent="0.3">
      <c r="A182" s="566"/>
      <c r="B182" s="566" t="s">
        <v>1474</v>
      </c>
      <c r="C182" s="566"/>
      <c r="D182" s="566"/>
      <c r="E182" s="566"/>
      <c r="F182" s="566"/>
      <c r="G182" s="567" t="s">
        <v>2777</v>
      </c>
      <c r="H182" s="566" t="s">
        <v>335</v>
      </c>
      <c r="I182" s="677"/>
      <c r="J182" s="294" t="str">
        <f>IF(ISBLANK(HLOOKUP(CaseName,CaseData,MATCH($G182,cases!$G$4:$G$2494,0),FALSE)),"",HLOOKUP(CaseName,CaseData,MATCH($G182,cases!$G$4:$G$2494,0),FALSE))</f>
        <v/>
      </c>
      <c r="K182" s="576">
        <f>L184+L185+L183</f>
        <v>2.7721609203211815E-15</v>
      </c>
      <c r="L182" s="298">
        <f t="shared" si="10"/>
        <v>2.7721609203211815E-15</v>
      </c>
      <c r="M182" s="566" t="s">
        <v>335</v>
      </c>
      <c r="N182" s="566"/>
      <c r="O182" s="604"/>
      <c r="P182" s="566"/>
    </row>
    <row r="183" spans="1:16" customFormat="1" ht="12.75" customHeight="1" x14ac:dyDescent="0.3">
      <c r="A183" s="566"/>
      <c r="B183" s="566"/>
      <c r="C183" s="566" t="s">
        <v>1459</v>
      </c>
      <c r="D183" s="566"/>
      <c r="E183" s="566"/>
      <c r="F183" s="566"/>
      <c r="G183" s="567" t="s">
        <v>2778</v>
      </c>
      <c r="H183" s="567" t="s">
        <v>335</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335</v>
      </c>
      <c r="N183" s="566"/>
      <c r="O183" s="604"/>
      <c r="P183" s="566"/>
    </row>
    <row r="184" spans="1:16" customFormat="1" ht="12.75" customHeight="1" x14ac:dyDescent="0.3">
      <c r="A184" s="566"/>
      <c r="B184" s="566"/>
      <c r="C184" s="566" t="s">
        <v>1477</v>
      </c>
      <c r="D184" s="566"/>
      <c r="E184" s="566"/>
      <c r="F184" s="566"/>
      <c r="G184" s="567" t="s">
        <v>2779</v>
      </c>
      <c r="H184" s="567" t="s">
        <v>335</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335</v>
      </c>
      <c r="N184" s="566"/>
      <c r="O184" s="604"/>
      <c r="P184" s="566"/>
    </row>
    <row r="185" spans="1:16" customFormat="1" ht="12.75" customHeight="1" x14ac:dyDescent="0.3">
      <c r="A185" s="566"/>
      <c r="B185" s="566"/>
      <c r="C185" s="566" t="s">
        <v>2248</v>
      </c>
      <c r="D185" s="566"/>
      <c r="E185" s="566"/>
      <c r="F185" s="566"/>
      <c r="G185" s="567" t="s">
        <v>2780</v>
      </c>
      <c r="H185" s="567" t="s">
        <v>335</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335</v>
      </c>
      <c r="N185" s="566"/>
      <c r="O185" s="604"/>
      <c r="P185" s="566"/>
    </row>
    <row r="186" spans="1:16" customFormat="1" ht="12.75" customHeight="1" x14ac:dyDescent="0.3">
      <c r="A186" s="410" t="s">
        <v>2781</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2782</v>
      </c>
      <c r="B187" s="566"/>
      <c r="C187" s="566"/>
      <c r="D187" s="566"/>
      <c r="E187" s="566"/>
      <c r="F187" s="566"/>
      <c r="G187" s="567" t="s">
        <v>2783</v>
      </c>
      <c r="H187" s="567" t="s">
        <v>335</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335</v>
      </c>
      <c r="N187" s="566" t="s">
        <v>2784</v>
      </c>
      <c r="O187" s="604"/>
      <c r="P187" s="566"/>
    </row>
    <row r="188" spans="1:16" customFormat="1" ht="12.75" customHeight="1" x14ac:dyDescent="0.3">
      <c r="A188" s="566"/>
      <c r="B188" s="566" t="s">
        <v>1493</v>
      </c>
      <c r="C188" s="566"/>
      <c r="D188" s="566"/>
      <c r="E188" s="566"/>
      <c r="F188" s="566"/>
      <c r="G188" s="567" t="s">
        <v>2785</v>
      </c>
      <c r="H188" s="567" t="s">
        <v>708</v>
      </c>
      <c r="I188" s="677"/>
      <c r="J188" s="294" t="str">
        <f>IF(ISBLANK(HLOOKUP(CaseName,CaseData,MATCH($G188,cases!$G$4:$G$2494,0),FALSE)),"",HLOOKUP(CaseName,CaseData,MATCH($G188,cases!$G$4:$G$2494,0),FALSE))</f>
        <v/>
      </c>
      <c r="K188" s="576">
        <f>L165</f>
        <v>70735530263064.578</v>
      </c>
      <c r="L188" s="298">
        <f t="shared" si="11"/>
        <v>70735530263064.578</v>
      </c>
      <c r="M188" s="567" t="s">
        <v>708</v>
      </c>
      <c r="N188" s="566" t="s">
        <v>2253</v>
      </c>
      <c r="O188" s="604"/>
      <c r="P188" s="586"/>
    </row>
    <row r="189" spans="1:16" customFormat="1" ht="12.75" customHeight="1" x14ac:dyDescent="0.3">
      <c r="A189" s="566"/>
      <c r="B189" s="566"/>
      <c r="C189" s="566" t="s">
        <v>1447</v>
      </c>
      <c r="D189" s="566"/>
      <c r="E189" s="566"/>
      <c r="F189" s="566"/>
      <c r="G189" s="566" t="s">
        <v>2786</v>
      </c>
      <c r="H189" s="566" t="s">
        <v>335</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335</v>
      </c>
      <c r="N189" s="566"/>
      <c r="O189" s="604"/>
      <c r="P189" s="566"/>
    </row>
    <row r="190" spans="1:16" customFormat="1" ht="12.75" customHeight="1" x14ac:dyDescent="0.3">
      <c r="A190" s="566"/>
      <c r="B190" s="566"/>
      <c r="C190" s="566" t="s">
        <v>1449</v>
      </c>
      <c r="D190" s="566"/>
      <c r="E190" s="566"/>
      <c r="F190" s="566"/>
      <c r="G190" s="567" t="s">
        <v>2787</v>
      </c>
      <c r="H190" s="567" t="s">
        <v>335</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335</v>
      </c>
      <c r="N190" s="566"/>
      <c r="O190" s="604"/>
      <c r="P190" s="566"/>
    </row>
    <row r="191" spans="1:16" customFormat="1" ht="12.75" customHeight="1" x14ac:dyDescent="0.3">
      <c r="A191" s="566" t="s">
        <v>2788</v>
      </c>
      <c r="B191" s="566"/>
      <c r="C191" s="566"/>
      <c r="D191" s="566"/>
      <c r="E191" s="566"/>
      <c r="F191" s="566"/>
      <c r="G191" s="567" t="s">
        <v>2789</v>
      </c>
      <c r="H191" s="567" t="s">
        <v>335</v>
      </c>
      <c r="I191" s="677"/>
      <c r="J191" s="294" t="str">
        <f>IF(ISBLANK(HLOOKUP(CaseName,CaseData,MATCH($G191,cases!$G$4:$G$2494,0),FALSE)),"",HLOOKUP(CaseName,CaseData,MATCH($G191,cases!$G$4:$G$2494,0),FALSE))</f>
        <v/>
      </c>
      <c r="K191" s="576">
        <f>L192*L194*L193*AtefSP.sd2</f>
        <v>1.6976773854591651E-2</v>
      </c>
      <c r="L191" s="298">
        <f t="shared" si="11"/>
        <v>1.6976773854591651E-2</v>
      </c>
      <c r="M191" s="567" t="s">
        <v>335</v>
      </c>
      <c r="N191" s="566" t="s">
        <v>2784</v>
      </c>
      <c r="O191" s="604"/>
      <c r="P191" s="566"/>
    </row>
    <row r="192" spans="1:16" customFormat="1" ht="12.75" customHeight="1" x14ac:dyDescent="0.3">
      <c r="A192" s="566"/>
      <c r="B192" s="566" t="s">
        <v>1504</v>
      </c>
      <c r="C192" s="566"/>
      <c r="D192" s="566"/>
      <c r="E192" s="566"/>
      <c r="F192" s="566"/>
      <c r="G192" s="567" t="s">
        <v>2790</v>
      </c>
      <c r="H192" s="567" t="s">
        <v>1506</v>
      </c>
      <c r="I192" s="677"/>
      <c r="J192" s="294" t="str">
        <f>IF(ISBLANK(HLOOKUP(CaseName,CaseData,MATCH($G192,cases!$G$4:$G$2494,0),FALSE)),"",HLOOKUP(CaseName,CaseData,MATCH($G192,cases!$G$4:$G$2494,0),FALSE))</f>
        <v/>
      </c>
      <c r="K192" s="576">
        <f>(3/2)*((1-L198)/(2*RadFP.sd*L198))</f>
        <v>1464.8437499999995</v>
      </c>
      <c r="L192" s="298">
        <f t="shared" si="11"/>
        <v>1464.8437499999995</v>
      </c>
      <c r="M192" s="567" t="s">
        <v>1506</v>
      </c>
      <c r="N192" s="566"/>
      <c r="O192" s="604"/>
      <c r="P192" s="566"/>
    </row>
    <row r="193" spans="1:16" customFormat="1" ht="12.75" customHeight="1" x14ac:dyDescent="0.3">
      <c r="A193" s="566"/>
      <c r="B193" s="566" t="s">
        <v>1507</v>
      </c>
      <c r="C193" s="566"/>
      <c r="D193" s="566"/>
      <c r="E193" s="566"/>
      <c r="F193" s="566"/>
      <c r="G193" s="566" t="s">
        <v>2791</v>
      </c>
      <c r="H193" s="567" t="s">
        <v>866</v>
      </c>
      <c r="I193" s="677"/>
      <c r="J193" s="294" t="str">
        <f>IF(ISBLANK(HLOOKUP(CaseName,CaseData,MATCH($G193,cases!$G$4:$G$2494,0),FALSE)),"",HLOOKUP(CaseName,CaseData,MATCH($G193,cases!$G$4:$G$2494,0),FALSE))</f>
        <v/>
      </c>
      <c r="K193" s="627">
        <f>9*10^-6</f>
        <v>9.0000000000000002E-6</v>
      </c>
      <c r="L193" s="298">
        <f t="shared" si="11"/>
        <v>9.0000000000000002E-6</v>
      </c>
      <c r="M193" s="567" t="s">
        <v>866</v>
      </c>
      <c r="N193" s="566"/>
      <c r="O193" s="604"/>
      <c r="P193" s="566" t="s">
        <v>1509</v>
      </c>
    </row>
    <row r="194" spans="1:16" customFormat="1" ht="12.75" customHeight="1" x14ac:dyDescent="0.3">
      <c r="A194" s="566"/>
      <c r="B194" s="566" t="s">
        <v>1510</v>
      </c>
      <c r="C194" s="566"/>
      <c r="D194" s="566"/>
      <c r="E194" s="566"/>
      <c r="F194" s="566"/>
      <c r="G194" s="567" t="s">
        <v>2792</v>
      </c>
      <c r="H194" s="567" t="s">
        <v>291</v>
      </c>
      <c r="I194" s="677"/>
      <c r="J194" s="294" t="str">
        <f>IF(ISBLANK(HLOOKUP(CaseName,CaseData,MATCH($G194,cases!$G$4:$G$2494,0),FALSE)),"",HLOOKUP(CaseName,CaseData,MATCH($G194,cases!$G$4:$G$2494,0),FALSE))</f>
        <v/>
      </c>
      <c r="K194" s="576">
        <f>L195+L199+L200</f>
        <v>1.2877197353408782</v>
      </c>
      <c r="L194" s="298">
        <f t="shared" si="11"/>
        <v>1.2877197353408782</v>
      </c>
      <c r="M194" s="567" t="s">
        <v>291</v>
      </c>
      <c r="N194" s="566"/>
      <c r="O194" s="604"/>
      <c r="P194" s="566" t="s">
        <v>1509</v>
      </c>
    </row>
    <row r="195" spans="1:16" customFormat="1" ht="12.75" customHeight="1" x14ac:dyDescent="0.3">
      <c r="A195" s="566"/>
      <c r="B195" s="566"/>
      <c r="C195" s="566" t="s">
        <v>1512</v>
      </c>
      <c r="D195" s="566"/>
      <c r="E195" s="566"/>
      <c r="F195" s="566"/>
      <c r="G195" s="567" t="s">
        <v>2793</v>
      </c>
      <c r="H195" s="567" t="s">
        <v>291</v>
      </c>
      <c r="I195" s="677"/>
      <c r="J195" s="294" t="str">
        <f>IF(ISBLANK(HLOOKUP(CaseName,CaseData,MATCH($G195,cases!$G$4:$G$2494,0),FALSE)),"",HLOOKUP(CaseName,CaseData,MATCH($G195,cases!$G$4:$G$2494,0),FALSE))</f>
        <v/>
      </c>
      <c r="K195" s="576">
        <f>2.4*L203^(1/3)*L202^(-0.081)*L203^(-0.715)*L201^(0.053)</f>
        <v>1.2876658910310792</v>
      </c>
      <c r="L195" s="298">
        <f t="shared" si="11"/>
        <v>1.2876658910310792</v>
      </c>
      <c r="M195" s="567" t="s">
        <v>291</v>
      </c>
      <c r="N195" s="566"/>
      <c r="O195" s="604"/>
      <c r="P195" s="566" t="s">
        <v>1509</v>
      </c>
    </row>
    <row r="196" spans="1:16" customFormat="1" ht="12.75" customHeight="1" x14ac:dyDescent="0.3">
      <c r="A196" s="566"/>
      <c r="B196" s="566"/>
      <c r="C196" s="566"/>
      <c r="D196" s="566" t="s">
        <v>1514</v>
      </c>
      <c r="E196" s="566"/>
      <c r="F196" s="566"/>
      <c r="G196" s="566" t="s">
        <v>2794</v>
      </c>
      <c r="H196" s="567" t="s">
        <v>291</v>
      </c>
      <c r="I196" s="677"/>
      <c r="J196" s="294" t="str">
        <f>IF(ISBLANK(HLOOKUP(CaseName,CaseData,MATCH($G196,cases!$G$4:$G$2494,0),FALSE)),"",HLOOKUP(CaseName,CaseData,MATCH($G196,cases!$G$4:$G$2494,0),FALSE))</f>
        <v/>
      </c>
      <c r="K196" s="627">
        <f>(2*(1-L197^5))/(2-3*L197+3*L197^5-2*L197^6)</f>
        <v>5.0249997549306684</v>
      </c>
      <c r="L196" s="298">
        <f t="shared" si="11"/>
        <v>5.0249997549306684</v>
      </c>
      <c r="M196" s="567" t="s">
        <v>291</v>
      </c>
      <c r="N196" s="566"/>
      <c r="O196" s="604"/>
      <c r="P196" s="566" t="s">
        <v>1509</v>
      </c>
    </row>
    <row r="197" spans="1:16" customFormat="1" ht="12.75" customHeight="1" x14ac:dyDescent="0.3">
      <c r="A197" s="566"/>
      <c r="B197" s="566"/>
      <c r="C197" s="566"/>
      <c r="D197" s="566"/>
      <c r="E197" s="566" t="s">
        <v>1516</v>
      </c>
      <c r="F197" s="566"/>
      <c r="G197" s="566" t="s">
        <v>2795</v>
      </c>
      <c r="H197" s="567" t="s">
        <v>291</v>
      </c>
      <c r="I197" s="677"/>
      <c r="J197" s="294" t="str">
        <f>IF(ISBLANK(HLOOKUP(CaseName,CaseData,MATCH($G197,cases!$G$4:$G$2494,0),FALSE)),"",HLOOKUP(CaseName,CaseData,MATCH($G197,cases!$G$4:$G$2494,0),FALSE))</f>
        <v/>
      </c>
      <c r="K197" s="627">
        <f>(1-L198)^(1/3)</f>
        <v>0.58480354764257325</v>
      </c>
      <c r="L197" s="298">
        <f t="shared" si="11"/>
        <v>0.58480354764257325</v>
      </c>
      <c r="M197" s="567" t="s">
        <v>291</v>
      </c>
      <c r="N197" s="566"/>
      <c r="O197" s="604"/>
      <c r="P197" s="566" t="s">
        <v>1509</v>
      </c>
    </row>
    <row r="198" spans="1:16" customFormat="1" ht="12.75" customHeight="1" x14ac:dyDescent="0.3">
      <c r="A198" s="566"/>
      <c r="B198" s="566"/>
      <c r="C198" s="566"/>
      <c r="D198" s="566"/>
      <c r="E198" s="566"/>
      <c r="F198" s="566" t="s">
        <v>1518</v>
      </c>
      <c r="G198" s="566" t="s">
        <v>2796</v>
      </c>
      <c r="H198" s="567" t="s">
        <v>1520</v>
      </c>
      <c r="I198" s="677"/>
      <c r="J198" s="294" t="str">
        <f>IF(ISBLANK(HLOOKUP(CaseName,CaseData,MATCH($G198,cases!$G$4:$G$2494,0),FALSE)),"",HLOOKUP(CaseName,CaseData,MATCH($G198,cases!$G$4:$G$2494,0),FALSE))</f>
        <v/>
      </c>
      <c r="K198" s="576">
        <f>L25</f>
        <v>0.8</v>
      </c>
      <c r="L198" s="298">
        <f t="shared" si="11"/>
        <v>0.8</v>
      </c>
      <c r="M198" s="567" t="s">
        <v>1520</v>
      </c>
      <c r="N198" s="566" t="s">
        <v>1521</v>
      </c>
      <c r="O198" s="604"/>
      <c r="P198" s="566"/>
    </row>
    <row r="199" spans="1:16" customFormat="1" ht="12.75" customHeight="1" x14ac:dyDescent="0.3">
      <c r="A199" s="566"/>
      <c r="B199" s="566"/>
      <c r="C199" s="566" t="s">
        <v>1522</v>
      </c>
      <c r="D199" s="566"/>
      <c r="E199" s="566"/>
      <c r="F199" s="566"/>
      <c r="G199" s="567" t="s">
        <v>2797</v>
      </c>
      <c r="H199" s="567" t="s">
        <v>291</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291</v>
      </c>
      <c r="N199" s="566"/>
      <c r="O199" s="604"/>
      <c r="P199" s="566" t="s">
        <v>1509</v>
      </c>
    </row>
    <row r="200" spans="1:16" customFormat="1" ht="12.75" customHeight="1" x14ac:dyDescent="0.3">
      <c r="A200" s="566"/>
      <c r="B200" s="566"/>
      <c r="C200" s="566" t="s">
        <v>1524</v>
      </c>
      <c r="D200" s="566"/>
      <c r="E200" s="566"/>
      <c r="F200" s="566"/>
      <c r="G200" s="567" t="s">
        <v>2798</v>
      </c>
      <c r="H200" s="567" t="s">
        <v>291</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291</v>
      </c>
      <c r="N200" s="566"/>
      <c r="O200" s="604"/>
      <c r="P200" s="566" t="s">
        <v>1509</v>
      </c>
    </row>
    <row r="201" spans="1:16" customFormat="1" ht="12.75" customHeight="1" x14ac:dyDescent="0.3">
      <c r="A201" s="566"/>
      <c r="B201" s="566"/>
      <c r="C201" s="566"/>
      <c r="D201" s="566" t="s">
        <v>1526</v>
      </c>
      <c r="E201" s="566"/>
      <c r="F201" s="566"/>
      <c r="G201" s="566" t="s">
        <v>2799</v>
      </c>
      <c r="H201" s="567" t="s">
        <v>291</v>
      </c>
      <c r="I201" s="677"/>
      <c r="J201" s="294" t="str">
        <f>IF(ISBLANK(HLOOKUP(CaseName,CaseData,MATCH($G201,cases!$G$4:$G$2494,0),FALSE)),"",HLOOKUP(CaseName,CaseData,MATCH($G201,cases!$G$4:$G$2494,0),FALSE))</f>
        <v/>
      </c>
      <c r="K201" s="627">
        <f>AHamakerSP.w/(kboltz*L52)</f>
        <v>5.1336149339684463</v>
      </c>
      <c r="L201" s="298">
        <f t="shared" si="11"/>
        <v>5.1336149339684463</v>
      </c>
      <c r="M201" s="567" t="s">
        <v>291</v>
      </c>
      <c r="N201" s="566"/>
      <c r="O201" s="604"/>
      <c r="P201" s="566" t="s">
        <v>1509</v>
      </c>
    </row>
    <row r="202" spans="1:16" customFormat="1" ht="12.75" customHeight="1" x14ac:dyDescent="0.3">
      <c r="A202" s="566"/>
      <c r="B202" s="566"/>
      <c r="C202" s="566"/>
      <c r="D202" s="566" t="s">
        <v>1528</v>
      </c>
      <c r="E202" s="566"/>
      <c r="F202" s="566"/>
      <c r="G202" s="566" t="s">
        <v>2800</v>
      </c>
      <c r="H202" s="567" t="s">
        <v>1530</v>
      </c>
      <c r="I202" s="677"/>
      <c r="J202" s="294" t="str">
        <f>IF(ISBLANK(HLOOKUP(CaseName,CaseData,MATCH($G202,cases!$G$4:$G$2494,0),FALSE)),"",HLOOKUP(CaseName,CaseData,MATCH($G202,cases!$G$4:$G$2494,0),FALSE))</f>
        <v/>
      </c>
      <c r="K202" s="627">
        <f>RadS/RadFP.sd</f>
        <v>3.9062500000000001E-5</v>
      </c>
      <c r="L202" s="298">
        <f t="shared" si="11"/>
        <v>3.9062500000000001E-5</v>
      </c>
      <c r="M202" s="567" t="s">
        <v>1530</v>
      </c>
      <c r="N202" s="566"/>
      <c r="O202" s="604"/>
      <c r="P202" s="566" t="s">
        <v>1509</v>
      </c>
    </row>
    <row r="203" spans="1:16" customFormat="1" ht="12.75" customHeight="1" x14ac:dyDescent="0.3">
      <c r="A203" s="566"/>
      <c r="B203" s="566"/>
      <c r="C203" s="566"/>
      <c r="D203" s="566" t="s">
        <v>1531</v>
      </c>
      <c r="E203" s="566"/>
      <c r="F203" s="566"/>
      <c r="G203" s="566" t="s">
        <v>2801</v>
      </c>
      <c r="H203" s="567" t="s">
        <v>291</v>
      </c>
      <c r="I203" s="677"/>
      <c r="J203" s="294" t="str">
        <f>IF(ISBLANK(HLOOKUP(CaseName,CaseData,MATCH($G203,cases!$G$4:$G$2494,0),FALSE)),"",HLOOKUP(CaseName,CaseData,MATCH($G203,cases!$G$4:$G$2494,0),FALSE))</f>
        <v/>
      </c>
      <c r="K203" s="627">
        <f>(L193*2*RadFP.sd)/DiffS.wC</f>
        <v>55.295939834256309</v>
      </c>
      <c r="L203" s="298">
        <f t="shared" si="11"/>
        <v>55.295939834256309</v>
      </c>
      <c r="M203" s="567" t="s">
        <v>291</v>
      </c>
      <c r="N203" s="566"/>
      <c r="O203" s="604"/>
      <c r="P203" s="566" t="s">
        <v>1509</v>
      </c>
    </row>
    <row r="204" spans="1:16" customFormat="1" ht="12.75" customHeight="1" x14ac:dyDescent="0.3">
      <c r="A204" s="566"/>
      <c r="B204" s="566"/>
      <c r="C204" s="566"/>
      <c r="D204" s="566" t="s">
        <v>1533</v>
      </c>
      <c r="E204" s="566"/>
      <c r="F204" s="566"/>
      <c r="G204" s="567" t="s">
        <v>2802</v>
      </c>
      <c r="H204" s="567" t="s">
        <v>291</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291</v>
      </c>
      <c r="N204" s="566"/>
      <c r="O204" s="604"/>
      <c r="P204" s="566" t="s">
        <v>1509</v>
      </c>
    </row>
    <row r="205" spans="1:16" customFormat="1" ht="12.75" customHeight="1" x14ac:dyDescent="0.3">
      <c r="A205" s="410" t="s">
        <v>2803</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2804</v>
      </c>
      <c r="B206" s="566"/>
      <c r="C206" s="566"/>
      <c r="D206" s="566"/>
      <c r="E206" s="566"/>
      <c r="F206" s="566"/>
      <c r="G206" s="567" t="s">
        <v>2805</v>
      </c>
      <c r="H206" s="567" t="s">
        <v>335</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335</v>
      </c>
      <c r="N206" s="566" t="s">
        <v>2806</v>
      </c>
      <c r="O206" s="604"/>
      <c r="P206" s="566"/>
    </row>
    <row r="207" spans="1:16" customFormat="1" ht="12.75" customHeight="1" x14ac:dyDescent="0.3">
      <c r="A207" s="566"/>
      <c r="B207" s="566" t="s">
        <v>1542</v>
      </c>
      <c r="C207" s="566"/>
      <c r="D207" s="566"/>
      <c r="E207" s="566"/>
      <c r="F207" s="566"/>
      <c r="G207" s="567" t="s">
        <v>2807</v>
      </c>
      <c r="H207" s="567" t="s">
        <v>708</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708</v>
      </c>
      <c r="N207" s="566"/>
      <c r="O207" s="604"/>
      <c r="P207" s="566"/>
    </row>
    <row r="208" spans="1:16" customFormat="1" ht="12.75" customHeight="1" x14ac:dyDescent="0.3">
      <c r="A208" s="566"/>
      <c r="B208" s="566" t="s">
        <v>727</v>
      </c>
      <c r="C208" s="566"/>
      <c r="D208" s="566"/>
      <c r="E208" s="566"/>
      <c r="F208" s="566"/>
      <c r="G208" s="567" t="s">
        <v>2808</v>
      </c>
      <c r="H208" s="567" t="s">
        <v>729</v>
      </c>
      <c r="I208" s="677"/>
      <c r="J208" s="294" t="str">
        <f>IF(ISBLANK(HLOOKUP(CaseName,CaseData,MATCH($G208,cases!$G$4:$G$2494,0),FALSE)),"",HLOOKUP(CaseName,CaseData,MATCH($G208,cases!$G$4:$G$2494,0),FALSE))</f>
        <v/>
      </c>
      <c r="K208" s="576">
        <v>100</v>
      </c>
      <c r="L208" s="298">
        <f>IF(ISBLANK(I208),IF(ISNUMBER(J208)=FALSE,K208/1000,J208/1000),I208/1000)</f>
        <v>0.1</v>
      </c>
      <c r="M208" s="567" t="s">
        <v>730</v>
      </c>
      <c r="N208" s="566" t="s">
        <v>731</v>
      </c>
      <c r="O208" s="604"/>
      <c r="P208" s="566"/>
    </row>
    <row r="209" spans="1:16" customFormat="1" ht="12.75" customHeight="1" x14ac:dyDescent="0.3">
      <c r="A209" s="566"/>
      <c r="B209" s="566" t="s">
        <v>1447</v>
      </c>
      <c r="C209" s="566"/>
      <c r="D209" s="566"/>
      <c r="E209" s="566"/>
      <c r="F209" s="566"/>
      <c r="G209" s="567" t="s">
        <v>2809</v>
      </c>
      <c r="H209" s="567" t="s">
        <v>335</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335</v>
      </c>
      <c r="N209" s="566"/>
      <c r="O209" s="604"/>
      <c r="P209" s="566"/>
    </row>
    <row r="210" spans="1:16" customFormat="1" ht="12.75" customHeight="1" x14ac:dyDescent="0.3">
      <c r="A210" s="566"/>
      <c r="B210" s="566" t="s">
        <v>1449</v>
      </c>
      <c r="C210" s="566"/>
      <c r="D210" s="566"/>
      <c r="E210" s="566"/>
      <c r="F210" s="566"/>
      <c r="G210" s="567" t="s">
        <v>2810</v>
      </c>
      <c r="H210" s="567" t="s">
        <v>335</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335</v>
      </c>
      <c r="N210" s="566"/>
      <c r="O210" s="604"/>
      <c r="P210" s="566"/>
    </row>
    <row r="211" spans="1:16" customFormat="1" ht="12.75" customHeight="1" x14ac:dyDescent="0.3">
      <c r="A211" s="566" t="s">
        <v>2811</v>
      </c>
      <c r="B211" s="566"/>
      <c r="C211" s="566"/>
      <c r="D211" s="566"/>
      <c r="E211" s="566"/>
      <c r="F211" s="566"/>
      <c r="G211" s="567" t="s">
        <v>2812</v>
      </c>
      <c r="H211" s="567" t="s">
        <v>335</v>
      </c>
      <c r="I211" s="677"/>
      <c r="J211" s="294" t="str">
        <f>IF(ISBLANK(HLOOKUP(CaseName,CaseData,MATCH($G211,cases!$G$4:$G$2494,0),FALSE)),"",HLOOKUP(CaseName,CaseData,MATCH($G211,cases!$G$4:$G$2494,0),FALSE))</f>
        <v/>
      </c>
      <c r="K211" s="576">
        <f>L212*L213*L214*AtefSP.s1</f>
        <v>7.189785771461823E-3</v>
      </c>
      <c r="L211" s="298">
        <f t="shared" si="12"/>
        <v>7.189785771461823E-3</v>
      </c>
      <c r="M211" s="567" t="s">
        <v>335</v>
      </c>
      <c r="N211" s="566"/>
      <c r="O211" s="604"/>
      <c r="P211" s="566"/>
    </row>
    <row r="212" spans="1:16" customFormat="1" ht="12.75" customHeight="1" x14ac:dyDescent="0.3">
      <c r="A212" s="566"/>
      <c r="B212" s="566" t="s">
        <v>1549</v>
      </c>
      <c r="C212" s="566"/>
      <c r="D212" s="566"/>
      <c r="E212" s="566"/>
      <c r="F212" s="566"/>
      <c r="G212" s="567" t="s">
        <v>2813</v>
      </c>
      <c r="H212" s="567" t="s">
        <v>1506</v>
      </c>
      <c r="I212" s="677"/>
      <c r="J212" s="294" t="str">
        <f>IF(ISBLANK(HLOOKUP(CaseName,CaseData,MATCH($G212,cases!$G$4:$G$2494,0),FALSE)),"",HLOOKUP(CaseName,CaseData,MATCH($G212,cases!$G$4:$G$2494,0),FALSE))</f>
        <v/>
      </c>
      <c r="K212" s="576">
        <f>(3/2)*(1-L218)/(2*RadFP.s*L218)</f>
        <v>8789.0625000000036</v>
      </c>
      <c r="L212" s="298">
        <f t="shared" si="12"/>
        <v>8789.0625000000036</v>
      </c>
      <c r="M212" s="567" t="s">
        <v>1506</v>
      </c>
      <c r="N212" s="566"/>
      <c r="O212" s="604"/>
      <c r="P212" s="566"/>
    </row>
    <row r="213" spans="1:16" customFormat="1" ht="12.75" customHeight="1" x14ac:dyDescent="0.3">
      <c r="A213" s="566"/>
      <c r="B213" s="566" t="s">
        <v>1551</v>
      </c>
      <c r="C213" s="566"/>
      <c r="D213" s="566"/>
      <c r="E213" s="566"/>
      <c r="F213" s="566"/>
      <c r="G213" s="566" t="s">
        <v>2814</v>
      </c>
      <c r="H213" s="567" t="s">
        <v>866</v>
      </c>
      <c r="I213" s="677"/>
      <c r="J213" s="294" t="str">
        <f>IF(ISBLANK(HLOOKUP(CaseName,CaseData,MATCH($G213,cases!$G$4:$G$2494,0),FALSE)),"",HLOOKUP(CaseName,CaseData,MATCH($G213,cases!$G$4:$G$2494,0),FALSE))</f>
        <v/>
      </c>
      <c r="K213" s="627">
        <f>9*10^-6</f>
        <v>9.0000000000000002E-6</v>
      </c>
      <c r="L213" s="298">
        <f t="shared" si="12"/>
        <v>9.0000000000000002E-6</v>
      </c>
      <c r="M213" s="567" t="s">
        <v>866</v>
      </c>
      <c r="N213" s="566"/>
      <c r="O213" s="604"/>
      <c r="P213" s="566" t="s">
        <v>1509</v>
      </c>
    </row>
    <row r="214" spans="1:16" customFormat="1" ht="12.75" customHeight="1" x14ac:dyDescent="0.3">
      <c r="A214" s="566"/>
      <c r="B214" s="566" t="s">
        <v>1510</v>
      </c>
      <c r="C214" s="566"/>
      <c r="D214" s="566"/>
      <c r="E214" s="566"/>
      <c r="F214" s="566"/>
      <c r="G214" s="567" t="s">
        <v>2815</v>
      </c>
      <c r="H214" s="567" t="s">
        <v>291</v>
      </c>
      <c r="I214" s="677"/>
      <c r="J214" s="294" t="str">
        <f>IF(ISBLANK(HLOOKUP(CaseName,CaseData,MATCH($G214,cases!$G$4:$G$2494,0),FALSE)),"",HLOOKUP(CaseName,CaseData,MATCH($G214,cases!$G$4:$G$2494,0),FALSE))</f>
        <v/>
      </c>
      <c r="K214" s="576">
        <f>L215+L219+L220</f>
        <v>1.1361636774655715</v>
      </c>
      <c r="L214" s="298">
        <f t="shared" si="12"/>
        <v>1.1361636774655715</v>
      </c>
      <c r="M214" s="567" t="s">
        <v>291</v>
      </c>
      <c r="N214" s="566"/>
      <c r="O214" s="604"/>
      <c r="P214" s="566" t="s">
        <v>1509</v>
      </c>
    </row>
    <row r="215" spans="1:16" customFormat="1" ht="12.75" customHeight="1" x14ac:dyDescent="0.3">
      <c r="A215" s="566"/>
      <c r="B215" s="566"/>
      <c r="C215" s="566" t="s">
        <v>1512</v>
      </c>
      <c r="D215" s="566"/>
      <c r="E215" s="566"/>
      <c r="F215" s="566"/>
      <c r="G215" s="567" t="s">
        <v>2816</v>
      </c>
      <c r="H215" s="567" t="s">
        <v>291</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291</v>
      </c>
      <c r="N215" s="566"/>
      <c r="O215" s="604"/>
      <c r="P215" s="566" t="s">
        <v>1509</v>
      </c>
    </row>
    <row r="216" spans="1:16" customFormat="1" ht="12.75" customHeight="1" x14ac:dyDescent="0.3">
      <c r="A216" s="566"/>
      <c r="B216" s="566"/>
      <c r="C216" s="566"/>
      <c r="D216" s="566" t="s">
        <v>1514</v>
      </c>
      <c r="E216" s="566"/>
      <c r="F216" s="566"/>
      <c r="G216" s="566" t="s">
        <v>2817</v>
      </c>
      <c r="H216" s="567" t="s">
        <v>291</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291</v>
      </c>
      <c r="N216" s="566"/>
      <c r="O216" s="604"/>
      <c r="P216" s="566" t="s">
        <v>1509</v>
      </c>
    </row>
    <row r="217" spans="1:16" customFormat="1" ht="12.75" customHeight="1" x14ac:dyDescent="0.3">
      <c r="A217" s="566"/>
      <c r="B217" s="566"/>
      <c r="C217" s="566"/>
      <c r="D217" s="566"/>
      <c r="E217" s="566" t="s">
        <v>1556</v>
      </c>
      <c r="F217" s="566"/>
      <c r="G217" s="566" t="s">
        <v>2818</v>
      </c>
      <c r="H217" s="567" t="s">
        <v>291</v>
      </c>
      <c r="I217" s="677"/>
      <c r="J217" s="294" t="str">
        <f>IF(ISBLANK(HLOOKUP(CaseName,CaseData,MATCH($G217,cases!$G$4:$G$2494,0),FALSE)),"",HLOOKUP(CaseName,CaseData,MATCH($G217,cases!$G$4:$G$2494,0),FALSE))</f>
        <v/>
      </c>
      <c r="K217" s="627">
        <f>(1-L218)^(1/3)</f>
        <v>0.84343266530174932</v>
      </c>
      <c r="L217" s="298">
        <f t="shared" si="12"/>
        <v>0.84343266530174932</v>
      </c>
      <c r="M217" s="567" t="s">
        <v>291</v>
      </c>
      <c r="N217" s="566"/>
      <c r="O217" s="604"/>
      <c r="P217" s="566" t="s">
        <v>1509</v>
      </c>
    </row>
    <row r="218" spans="1:16" customFormat="1" ht="12.75" customHeight="1" x14ac:dyDescent="0.3">
      <c r="A218" s="566"/>
      <c r="B218" s="566"/>
      <c r="C218" s="566"/>
      <c r="D218" s="566"/>
      <c r="E218" s="566"/>
      <c r="F218" s="566" t="s">
        <v>1558</v>
      </c>
      <c r="G218" s="566" t="s">
        <v>2819</v>
      </c>
      <c r="H218" s="567" t="s">
        <v>1520</v>
      </c>
      <c r="I218" s="677"/>
      <c r="J218" s="294" t="str">
        <f>IF(ISBLANK(HLOOKUP(CaseName,CaseData,MATCH($G218,cases!$G$4:$G$2494,0),FALSE)),"",HLOOKUP(CaseName,CaseData,MATCH($G218,cases!$G$4:$G$2494,0),FALSE))</f>
        <v/>
      </c>
      <c r="K218" s="576">
        <f>1-L24</f>
        <v>0.39999999999999991</v>
      </c>
      <c r="L218" s="298">
        <f t="shared" si="12"/>
        <v>0.39999999999999991</v>
      </c>
      <c r="M218" s="567" t="s">
        <v>1520</v>
      </c>
      <c r="N218" s="566"/>
      <c r="O218" s="604"/>
      <c r="P218" s="566"/>
    </row>
    <row r="219" spans="1:16" customFormat="1" ht="12.75" customHeight="1" x14ac:dyDescent="0.3">
      <c r="A219" s="566"/>
      <c r="B219" s="566"/>
      <c r="C219" s="566" t="s">
        <v>1522</v>
      </c>
      <c r="D219" s="566"/>
      <c r="E219" s="566"/>
      <c r="F219" s="566"/>
      <c r="G219" s="567" t="s">
        <v>2820</v>
      </c>
      <c r="H219" s="567" t="s">
        <v>291</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291</v>
      </c>
      <c r="N219" s="566"/>
      <c r="O219" s="604"/>
      <c r="P219" s="566" t="s">
        <v>1509</v>
      </c>
    </row>
    <row r="220" spans="1:16" customFormat="1" ht="12.75" customHeight="1" x14ac:dyDescent="0.3">
      <c r="A220" s="566"/>
      <c r="B220" s="566"/>
      <c r="C220" s="566" t="s">
        <v>1524</v>
      </c>
      <c r="D220" s="566"/>
      <c r="E220" s="566"/>
      <c r="F220" s="566"/>
      <c r="G220" s="567" t="s">
        <v>2821</v>
      </c>
      <c r="H220" s="567" t="s">
        <v>291</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291</v>
      </c>
      <c r="N220" s="566"/>
      <c r="O220" s="604"/>
      <c r="P220" s="566" t="s">
        <v>1509</v>
      </c>
    </row>
    <row r="221" spans="1:16" customFormat="1" ht="12.75" customHeight="1" x14ac:dyDescent="0.3">
      <c r="A221" s="566"/>
      <c r="B221" s="566"/>
      <c r="C221" s="566"/>
      <c r="D221" s="566" t="s">
        <v>1528</v>
      </c>
      <c r="E221" s="566"/>
      <c r="F221" s="566"/>
      <c r="G221" s="566" t="s">
        <v>2822</v>
      </c>
      <c r="H221" s="567" t="s">
        <v>1530</v>
      </c>
      <c r="I221" s="677"/>
      <c r="J221" s="294" t="str">
        <f>IF(ISBLANK(HLOOKUP(CaseName,CaseData,MATCH($G221,cases!$G$4:$G$2494,0),FALSE)),"",HLOOKUP(CaseName,CaseData,MATCH($G221,cases!$G$4:$G$2494,0),FALSE))</f>
        <v/>
      </c>
      <c r="K221" s="627">
        <f>RadS/RadFP.s</f>
        <v>3.9062500000000001E-5</v>
      </c>
      <c r="L221" s="298">
        <f t="shared" si="12"/>
        <v>3.9062500000000001E-5</v>
      </c>
      <c r="M221" s="567" t="s">
        <v>1530</v>
      </c>
      <c r="N221" s="566"/>
      <c r="O221" s="604"/>
      <c r="P221" s="566" t="s">
        <v>1509</v>
      </c>
    </row>
    <row r="222" spans="1:16" customFormat="1" ht="12.75" customHeight="1" x14ac:dyDescent="0.3">
      <c r="A222" s="566"/>
      <c r="B222" s="566"/>
      <c r="C222" s="566"/>
      <c r="D222" s="566" t="s">
        <v>1531</v>
      </c>
      <c r="E222" s="566"/>
      <c r="F222" s="566"/>
      <c r="G222" s="566" t="s">
        <v>2823</v>
      </c>
      <c r="H222" s="567" t="s">
        <v>291</v>
      </c>
      <c r="I222" s="677"/>
      <c r="J222" s="294" t="str">
        <f>IF(ISBLANK(HLOOKUP(CaseName,CaseData,MATCH($G222,cases!$G$4:$G$2494,0),FALSE)),"",HLOOKUP(CaseName,CaseData,MATCH($G222,cases!$G$4:$G$2494,0),FALSE))</f>
        <v/>
      </c>
      <c r="K222" s="627">
        <f>(L213*2*RadFP.s)/(DiffS.wC)</f>
        <v>55.295939834256309</v>
      </c>
      <c r="L222" s="298">
        <f t="shared" si="12"/>
        <v>55.295939834256309</v>
      </c>
      <c r="M222" s="567" t="s">
        <v>291</v>
      </c>
      <c r="N222" s="566"/>
      <c r="O222" s="604"/>
      <c r="P222" s="566" t="s">
        <v>1509</v>
      </c>
    </row>
    <row r="223" spans="1:16" customFormat="1" ht="12.75" customHeight="1" x14ac:dyDescent="0.3">
      <c r="A223" s="566"/>
      <c r="B223" s="566"/>
      <c r="C223" s="566"/>
      <c r="D223" s="566" t="s">
        <v>1526</v>
      </c>
      <c r="E223" s="566"/>
      <c r="F223" s="566"/>
      <c r="G223" s="566" t="s">
        <v>2824</v>
      </c>
      <c r="H223" s="567" t="s">
        <v>291</v>
      </c>
      <c r="I223" s="677"/>
      <c r="J223" s="294" t="str">
        <f>IF(ISBLANK(HLOOKUP(CaseName,CaseData,MATCH($G223,cases!$G$4:$G$2494,0),FALSE)),"",HLOOKUP(CaseName,CaseData,MATCH($G223,cases!$G$4:$G$2494,0),FALSE))</f>
        <v/>
      </c>
      <c r="K223" s="627">
        <f>AHamakerSP.w/(kboltz*L52)</f>
        <v>5.1336149339684463</v>
      </c>
      <c r="L223" s="298">
        <f t="shared" si="12"/>
        <v>5.1336149339684463</v>
      </c>
      <c r="M223" s="567" t="s">
        <v>291</v>
      </c>
      <c r="N223" s="566"/>
      <c r="O223" s="604"/>
      <c r="P223" s="566" t="s">
        <v>1509</v>
      </c>
    </row>
    <row r="224" spans="1:16" customFormat="1" ht="12.75" customHeight="1" x14ac:dyDescent="0.3">
      <c r="A224" s="566"/>
      <c r="B224" s="566"/>
      <c r="C224" s="566"/>
      <c r="D224" s="566" t="s">
        <v>1533</v>
      </c>
      <c r="E224" s="566"/>
      <c r="F224" s="566"/>
      <c r="G224" s="567" t="s">
        <v>2825</v>
      </c>
      <c r="H224" s="567" t="s">
        <v>291</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291</v>
      </c>
      <c r="N224" s="566"/>
      <c r="O224" s="604"/>
      <c r="P224" s="566" t="s">
        <v>1509</v>
      </c>
    </row>
    <row r="225" spans="1:16" customFormat="1" ht="12.75" customHeight="1" x14ac:dyDescent="0.3">
      <c r="G225" s="172"/>
      <c r="H225" s="172"/>
      <c r="J225" s="273"/>
      <c r="K225" s="335"/>
      <c r="L225" s="332"/>
      <c r="O225" s="176"/>
    </row>
    <row r="226" spans="1:16" s="633" customFormat="1" ht="12.75" customHeight="1" x14ac:dyDescent="0.3">
      <c r="A226" s="632" t="s">
        <v>1598</v>
      </c>
      <c r="G226" s="632" t="s">
        <v>258</v>
      </c>
      <c r="H226" s="632" t="s">
        <v>274</v>
      </c>
      <c r="I226" s="633" t="s">
        <v>259</v>
      </c>
      <c r="J226" s="672" t="s">
        <v>275</v>
      </c>
      <c r="K226" s="660" t="s">
        <v>260</v>
      </c>
      <c r="L226" s="180" t="s">
        <v>261</v>
      </c>
      <c r="N226" s="632" t="s">
        <v>262</v>
      </c>
      <c r="O226" s="395" t="s">
        <v>1383</v>
      </c>
      <c r="P226" s="633" t="s">
        <v>1384</v>
      </c>
    </row>
    <row r="227" spans="1:16" customFormat="1" ht="12.75" customHeight="1" x14ac:dyDescent="0.3">
      <c r="A227" t="s">
        <v>2826</v>
      </c>
      <c r="G227" s="172"/>
      <c r="H227" s="172"/>
      <c r="J227" s="273"/>
      <c r="K227" s="335"/>
      <c r="L227" s="332"/>
      <c r="O227" s="176"/>
    </row>
    <row r="228" spans="1:16" customFormat="1" ht="12.75" customHeight="1" x14ac:dyDescent="0.3">
      <c r="A228" s="566"/>
      <c r="B228" s="566" t="s">
        <v>1600</v>
      </c>
      <c r="C228" s="566"/>
      <c r="D228" s="566"/>
      <c r="E228" s="566"/>
      <c r="F228" s="566"/>
      <c r="G228" s="567" t="s">
        <v>2827</v>
      </c>
      <c r="H228" s="567" t="s">
        <v>813</v>
      </c>
      <c r="I228" s="677"/>
      <c r="J228" s="294" t="str">
        <f>IF(ISBLANK(HLOOKUP(CaseName,CaseData,MATCH($G228,cases!$G$4:$G$2494,0),FALSE)),"",HLOOKUP(CaseName,CaseData,MATCH($G228,cases!$G$4:$G$2494,0),FALSE))</f>
        <v/>
      </c>
      <c r="K228" s="625">
        <f>((7*10^-4)*(60*6*10^4*L230)^0.25)/2</f>
        <v>3.7599209583432351E-4</v>
      </c>
      <c r="L228" s="298">
        <f t="shared" ref="L228:L234" si="13">IF(ISBLANK(I228),IF(ISNUMBER(J228)=FALSE,K228,J228),I228)</f>
        <v>3.7599209583432351E-4</v>
      </c>
      <c r="M228" s="567" t="s">
        <v>813</v>
      </c>
      <c r="N228" s="566"/>
      <c r="O228" s="604"/>
      <c r="P228" s="566" t="s">
        <v>1602</v>
      </c>
    </row>
    <row r="229" spans="1:16" customFormat="1" ht="12.75" customHeight="1" x14ac:dyDescent="0.3">
      <c r="A229" s="566"/>
      <c r="B229" s="566" t="s">
        <v>1603</v>
      </c>
      <c r="C229" s="566"/>
      <c r="D229" s="566"/>
      <c r="E229" s="566"/>
      <c r="F229" s="566"/>
      <c r="G229" s="567" t="s">
        <v>2828</v>
      </c>
      <c r="H229" s="567" t="s">
        <v>291</v>
      </c>
      <c r="I229" s="677"/>
      <c r="J229" s="294" t="str">
        <f>IF(ISBLANK(HLOOKUP(CaseName,CaseData,MATCH($G229,cases!$G$4:$G$2494,0),FALSE)),"",HLOOKUP(CaseName,CaseData,MATCH($G229,cases!$G$4:$G$2494,0),FALSE))</f>
        <v/>
      </c>
      <c r="K229" s="576">
        <f>L87/(L87+L86)</f>
        <v>0.06</v>
      </c>
      <c r="L229" s="298">
        <f t="shared" si="13"/>
        <v>0.06</v>
      </c>
      <c r="M229" s="567" t="s">
        <v>291</v>
      </c>
      <c r="N229" s="566"/>
      <c r="O229" s="604"/>
      <c r="P229" s="566"/>
    </row>
    <row r="230" spans="1:16" customFormat="1" ht="12.75" customHeight="1" x14ac:dyDescent="0.3">
      <c r="A230" s="566"/>
      <c r="B230" s="566" t="s">
        <v>1606</v>
      </c>
      <c r="C230" s="566"/>
      <c r="D230" s="566"/>
      <c r="E230" s="566"/>
      <c r="F230" s="566"/>
      <c r="G230" s="567" t="s">
        <v>2829</v>
      </c>
      <c r="H230" s="567" t="s">
        <v>866</v>
      </c>
      <c r="I230" s="677"/>
      <c r="J230" s="294" t="str">
        <f>IF(ISBLANK(HLOOKUP(CaseName,CaseData,MATCH($G230,cases!$G$4:$G$2494,0),FALSE)),"",HLOOKUP(CaseName,CaseData,MATCH($G230,cases!$G$4:$G$2494,0),FALSE))</f>
        <v/>
      </c>
      <c r="K230" s="576">
        <f>L92/L229</f>
        <v>3.699475731439202E-7</v>
      </c>
      <c r="L230" s="298">
        <f t="shared" si="13"/>
        <v>3.699475731439202E-7</v>
      </c>
      <c r="M230" s="567" t="s">
        <v>866</v>
      </c>
      <c r="N230" s="566"/>
      <c r="O230" s="604"/>
      <c r="P230" s="566"/>
    </row>
    <row r="231" spans="1:16" customFormat="1" ht="12.75" customHeight="1" x14ac:dyDescent="0.3">
      <c r="A231" s="566"/>
      <c r="B231" s="566" t="s">
        <v>1610</v>
      </c>
      <c r="C231" s="566"/>
      <c r="D231" s="566"/>
      <c r="E231" s="566"/>
      <c r="F231" s="566"/>
      <c r="G231" s="567" t="s">
        <v>2830</v>
      </c>
      <c r="H231" s="567" t="s">
        <v>866</v>
      </c>
      <c r="I231" s="677"/>
      <c r="J231" s="294" t="str">
        <f>IF(ISBLANK(HLOOKUP(CaseName,CaseData,MATCH($G231,cases!$G$4:$G$2494,0),FALSE)),"",HLOOKUP(CaseName,CaseData,MATCH($G231,cases!$G$4:$G$2494,0),FALSE))</f>
        <v/>
      </c>
      <c r="K231" s="576">
        <f>((2*L228)^2*(Rho.w-Rho.a)*g*L232)/(18*DYNVISC.a)</f>
        <v>16.971979015664793</v>
      </c>
      <c r="L231" s="298">
        <f t="shared" si="13"/>
        <v>16.971979015664793</v>
      </c>
      <c r="M231" s="567" t="s">
        <v>866</v>
      </c>
      <c r="N231" s="566"/>
      <c r="O231" s="604"/>
      <c r="P231" s="566"/>
    </row>
    <row r="232" spans="1:16" customFormat="1" ht="12.75" customHeight="1" x14ac:dyDescent="0.3">
      <c r="A232" s="566"/>
      <c r="B232" s="566" t="s">
        <v>1612</v>
      </c>
      <c r="C232" s="566"/>
      <c r="D232" s="566"/>
      <c r="E232" s="566"/>
      <c r="F232" s="566"/>
      <c r="G232" s="567" t="s">
        <v>2831</v>
      </c>
      <c r="H232" s="567" t="s">
        <v>291</v>
      </c>
      <c r="I232" s="677"/>
      <c r="J232" s="294" t="str">
        <f>IF(ISBLANK(HLOOKUP(CaseName,CaseData,MATCH($G232,cases!$G$4:$G$2494,0),FALSE)),"",HLOOKUP(CaseName,CaseData,MATCH($G232,cases!$G$4:$G$2494,0),FALSE))</f>
        <v/>
      </c>
      <c r="K232" s="576">
        <v>1</v>
      </c>
      <c r="L232" s="298">
        <f t="shared" si="13"/>
        <v>1</v>
      </c>
      <c r="M232" s="567" t="s">
        <v>291</v>
      </c>
      <c r="N232" s="566"/>
      <c r="O232" s="604"/>
      <c r="P232" s="566"/>
    </row>
    <row r="233" spans="1:16" customFormat="1" ht="12.75" customHeight="1" x14ac:dyDescent="0.3">
      <c r="A233" s="566"/>
      <c r="B233" s="566" t="s">
        <v>1614</v>
      </c>
      <c r="C233" s="566"/>
      <c r="D233" s="566"/>
      <c r="E233" s="566"/>
      <c r="F233" s="566"/>
      <c r="G233" s="567" t="s">
        <v>2832</v>
      </c>
      <c r="H233" s="567" t="s">
        <v>291</v>
      </c>
      <c r="I233" s="677"/>
      <c r="J233" s="294" t="str">
        <f>IF(ISBLANK(HLOOKUP(CaseName,CaseData,MATCH($G233,cases!$G$4:$G$2494,0),FALSE)),"",HLOOKUP(CaseName,CaseData,MATCH($G233,cases!$G$4:$G$2494,0),FALSE))</f>
        <v/>
      </c>
      <c r="K233" s="576">
        <f>((1.2+(1/12)*LN(1+L234))/(1+LN(L234)))</f>
        <v>0.24134606684422638</v>
      </c>
      <c r="L233" s="298">
        <f t="shared" si="13"/>
        <v>0.24134606684422638</v>
      </c>
      <c r="M233" s="567" t="s">
        <v>291</v>
      </c>
      <c r="N233" s="566"/>
      <c r="O233" s="604"/>
      <c r="P233" s="566"/>
    </row>
    <row r="234" spans="1:16" customFormat="1" ht="12.75" customHeight="1" x14ac:dyDescent="0.3">
      <c r="A234" s="566"/>
      <c r="B234" s="566" t="s">
        <v>1616</v>
      </c>
      <c r="C234" s="566"/>
      <c r="D234" s="566"/>
      <c r="E234" s="566"/>
      <c r="F234" s="566"/>
      <c r="G234" s="567" t="s">
        <v>2833</v>
      </c>
      <c r="H234" s="567" t="s">
        <v>291</v>
      </c>
      <c r="I234" s="677"/>
      <c r="J234" s="294" t="str">
        <f>IF(ISBLANK(HLOOKUP(CaseName,CaseData,MATCH($G234,cases!$G$4:$G$2494,0),FALSE)),"",HLOOKUP(CaseName,CaseData,MATCH($G234,cases!$G$4:$G$2494,0),FALSE))</f>
        <v/>
      </c>
      <c r="K234" s="626">
        <f>((2*L228)*L231*Rho.a)/(2*DYNVISC.a)</f>
        <v>431.88559125309695</v>
      </c>
      <c r="L234" s="298">
        <f t="shared" si="13"/>
        <v>431.88559125309695</v>
      </c>
      <c r="M234" s="567" t="s">
        <v>2334</v>
      </c>
      <c r="N234" s="566"/>
      <c r="O234" s="604"/>
      <c r="P234" s="566"/>
    </row>
    <row r="235" spans="1:16" customFormat="1" ht="12.75" customHeight="1" x14ac:dyDescent="0.3">
      <c r="A235" t="s">
        <v>2834</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1619</v>
      </c>
      <c r="C236" s="566"/>
      <c r="D236" s="566"/>
      <c r="E236" s="566"/>
      <c r="F236" s="566"/>
      <c r="G236" s="566" t="s">
        <v>2835</v>
      </c>
      <c r="H236" s="566" t="s">
        <v>813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813</v>
      </c>
      <c r="N236" s="566"/>
      <c r="O236" s="604"/>
      <c r="P236" s="566"/>
    </row>
    <row r="237" spans="1:16" customFormat="1" ht="12.75" customHeight="1" x14ac:dyDescent="0.3">
      <c r="A237" s="566"/>
      <c r="B237" s="566" t="s">
        <v>1621</v>
      </c>
      <c r="C237" s="566"/>
      <c r="D237" s="566"/>
      <c r="E237" s="566"/>
      <c r="F237" s="566"/>
      <c r="G237" s="566" t="s">
        <v>2836</v>
      </c>
      <c r="H237" s="566" t="s">
        <v>282</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282</v>
      </c>
      <c r="N237" s="566"/>
      <c r="O237" s="604"/>
      <c r="P237" s="566"/>
    </row>
    <row r="238" spans="1:16" customFormat="1" ht="12.75" customHeight="1" x14ac:dyDescent="0.3">
      <c r="A238" s="566"/>
      <c r="B238" s="566"/>
      <c r="C238" s="566" t="s">
        <v>1623</v>
      </c>
      <c r="D238" s="566"/>
      <c r="E238" s="566"/>
      <c r="F238" s="566"/>
      <c r="G238" s="566" t="s">
        <v>2837</v>
      </c>
      <c r="H238" s="566" t="s">
        <v>857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857</v>
      </c>
      <c r="N238" s="566"/>
      <c r="O238" s="604"/>
      <c r="P238" s="566"/>
    </row>
    <row r="239" spans="1:16" customFormat="1" ht="12.75" customHeight="1" x14ac:dyDescent="0.3">
      <c r="A239" s="566"/>
      <c r="B239" s="566"/>
      <c r="C239" s="566" t="s">
        <v>1625</v>
      </c>
      <c r="D239" s="566"/>
      <c r="E239" s="566"/>
      <c r="F239" s="566"/>
      <c r="G239" s="566" t="s">
        <v>2838</v>
      </c>
      <c r="H239" s="566" t="s">
        <v>888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888</v>
      </c>
      <c r="N239" s="566"/>
      <c r="O239" s="604"/>
      <c r="P239" s="566"/>
    </row>
    <row r="240" spans="1:16" customFormat="1" ht="12.75" customHeight="1" x14ac:dyDescent="0.3">
      <c r="A240" t="s">
        <v>2839</v>
      </c>
      <c r="J240" s="294" t="str">
        <f>IF(ISBLANK(HLOOKUP(CaseName,CaseData,MATCH($G240,cases!$G$4:$G$2494,0),FALSE)),"",HLOOKUP(CaseName,CaseData,MATCH($G240,cases!$G$4:$G$2494,0),FALSE))</f>
        <v/>
      </c>
      <c r="K240" s="437"/>
      <c r="L240" s="332"/>
      <c r="O240" s="176"/>
    </row>
    <row r="241" spans="1:16" customFormat="1" ht="12.75" customHeight="1" x14ac:dyDescent="0.3">
      <c r="A241" s="566" t="s">
        <v>1628</v>
      </c>
      <c r="B241" s="566"/>
      <c r="C241" s="566"/>
      <c r="D241" s="566"/>
      <c r="E241" s="566"/>
      <c r="F241" s="566"/>
      <c r="G241" s="567" t="s">
        <v>2840</v>
      </c>
      <c r="H241" s="567" t="s">
        <v>335</v>
      </c>
      <c r="I241" s="677"/>
      <c r="J241" s="294" t="str">
        <f>IF(ISBLANK(HLOOKUP(CaseName,CaseData,MATCH($G241,cases!$G$4:$G$2494,0),FALSE)),"",HLOOKUP(CaseName,CaseData,MATCH($G241,cases!$G$4:$G$2494,0),FALSE))</f>
        <v/>
      </c>
      <c r="K241" s="576">
        <f>(3/2)*(L249*L230)/(2*L228)</f>
        <v>2.751759734750754E-6</v>
      </c>
      <c r="L241" s="298">
        <f t="shared" ref="L241:L272" si="14">IF(ISBLANK(I241),IF(ISNUMBER(J241)=FALSE,K241,J241),I241)</f>
        <v>2.751759734750754E-6</v>
      </c>
      <c r="M241" s="567" t="s">
        <v>335</v>
      </c>
      <c r="N241" s="566"/>
      <c r="O241" s="604" t="s">
        <v>2341</v>
      </c>
      <c r="P241" s="566" t="s">
        <v>1630</v>
      </c>
    </row>
    <row r="242" spans="1:16" customFormat="1" ht="12.75" customHeight="1" x14ac:dyDescent="0.3">
      <c r="A242" s="566"/>
      <c r="B242" s="566" t="s">
        <v>1631</v>
      </c>
      <c r="C242" s="566"/>
      <c r="D242" s="566"/>
      <c r="E242" s="566"/>
      <c r="F242" s="566"/>
      <c r="G242" s="567" t="s">
        <v>2841</v>
      </c>
      <c r="H242" s="567" t="s">
        <v>1633</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1633</v>
      </c>
      <c r="N242" s="566"/>
      <c r="O242" s="604"/>
      <c r="P242" s="566"/>
    </row>
    <row r="243" spans="1:16" customFormat="1" ht="12.75" customHeight="1" x14ac:dyDescent="0.3">
      <c r="A243" s="566"/>
      <c r="B243" s="566" t="s">
        <v>1634</v>
      </c>
      <c r="C243" s="566"/>
      <c r="D243" s="566"/>
      <c r="E243" s="566"/>
      <c r="F243" s="566"/>
      <c r="G243" s="567" t="s">
        <v>2842</v>
      </c>
      <c r="H243" s="567" t="s">
        <v>291</v>
      </c>
      <c r="I243" s="677"/>
      <c r="J243" s="294" t="str">
        <f>IF(ISBLANK(HLOOKUP(CaseName,CaseData,MATCH($G243,cases!$G$4:$G$2494,0),FALSE)),"",HLOOKUP(CaseName,CaseData,MATCH($G243,cases!$G$4:$G$2494,0),FALSE))</f>
        <v/>
      </c>
      <c r="K243" s="576">
        <f>(2*L242*(L231-L244))/(2*L228)</f>
        <v>3.3314717644828133E-3</v>
      </c>
      <c r="L243" s="298">
        <f t="shared" si="14"/>
        <v>3.3314717644828133E-3</v>
      </c>
      <c r="M243" s="567" t="s">
        <v>291</v>
      </c>
      <c r="N243" s="566"/>
      <c r="O243" s="604" t="s">
        <v>1636</v>
      </c>
      <c r="P243" s="566"/>
    </row>
    <row r="244" spans="1:16" customFormat="1" ht="12.75" customHeight="1" x14ac:dyDescent="0.3">
      <c r="A244" s="566"/>
      <c r="B244" s="566" t="s">
        <v>1637</v>
      </c>
      <c r="C244" s="566"/>
      <c r="D244" s="566"/>
      <c r="E244" s="566"/>
      <c r="F244" s="566"/>
      <c r="G244" s="567" t="s">
        <v>2843</v>
      </c>
      <c r="H244" s="567" t="s">
        <v>866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866</v>
      </c>
      <c r="N244" s="566"/>
      <c r="O244" s="604"/>
      <c r="P244" s="566"/>
    </row>
    <row r="245" spans="1:16" customFormat="1" ht="12.75" customHeight="1" x14ac:dyDescent="0.3">
      <c r="A245" s="566"/>
      <c r="B245" s="566" t="s">
        <v>1639</v>
      </c>
      <c r="C245" s="566"/>
      <c r="D245" s="566"/>
      <c r="E245" s="566"/>
      <c r="F245" s="566"/>
      <c r="G245" s="567" t="s">
        <v>2844</v>
      </c>
      <c r="H245" s="567" t="s">
        <v>291</v>
      </c>
      <c r="I245" s="677"/>
      <c r="J245" s="294" t="str">
        <f>IF(ISBLANK(HLOOKUP(CaseName,CaseData,MATCH($G245,cases!$G$4:$G$2494,0),FALSE)),"",HLOOKUP(CaseName,CaseData,MATCH($G245,cases!$G$4:$G$2494,0),FALSE))</f>
        <v/>
      </c>
      <c r="K245" s="576">
        <f>DYNVISC.a/(Rho.a*DiffS.aM)</f>
        <v>279.68506291363371</v>
      </c>
      <c r="L245" s="298">
        <f t="shared" si="14"/>
        <v>279.68506291363371</v>
      </c>
      <c r="M245" s="567" t="s">
        <v>291</v>
      </c>
      <c r="N245" s="566"/>
      <c r="O245" s="604"/>
      <c r="P245" s="566"/>
    </row>
    <row r="246" spans="1:16" customFormat="1" ht="12.75" customHeight="1" x14ac:dyDescent="0.3">
      <c r="A246" s="566"/>
      <c r="B246" s="566"/>
      <c r="C246" s="566" t="s">
        <v>1641</v>
      </c>
      <c r="D246" s="566"/>
      <c r="E246" s="566"/>
      <c r="F246" s="566"/>
      <c r="G246" s="567" t="s">
        <v>2845</v>
      </c>
      <c r="H246" s="567" t="s">
        <v>291</v>
      </c>
      <c r="I246" s="677"/>
      <c r="J246" s="294" t="str">
        <f>IF(ISBLANK(HLOOKUP(CaseName,CaseData,MATCH($G246,cases!$G$4:$G$2494,0),FALSE)),"",HLOOKUP(CaseName,CaseData,MATCH($G246,cases!$G$4:$G$2494,0),FALSE))</f>
        <v/>
      </c>
      <c r="K246" s="576">
        <f>(4/(L234*L245))*(1+0.4*(L234^0.5*L245^(1/3))+0.16*(L234^0.5*L245^0.5))</f>
        <v>3.6747776071669532E-3</v>
      </c>
      <c r="L246" s="298">
        <f t="shared" si="14"/>
        <v>3.6747776071669532E-3</v>
      </c>
      <c r="M246" s="567" t="s">
        <v>291</v>
      </c>
      <c r="N246" s="566"/>
      <c r="O246" s="604"/>
      <c r="P246" s="566"/>
    </row>
    <row r="247" spans="1:16" customFormat="1" ht="12.75" customHeight="1" x14ac:dyDescent="0.3">
      <c r="A247" s="566"/>
      <c r="B247" s="566"/>
      <c r="C247" s="566" t="s">
        <v>1643</v>
      </c>
      <c r="D247" s="566"/>
      <c r="E247" s="566"/>
      <c r="F247" s="566"/>
      <c r="G247" s="567" t="s">
        <v>2846</v>
      </c>
      <c r="H247" s="567" t="s">
        <v>291</v>
      </c>
      <c r="I247" s="677"/>
      <c r="J247" s="294" t="str">
        <f>IF(ISBLANK(HLOOKUP(CaseName,CaseData,MATCH($G247,cases!$G$4:$G$2494,0),FALSE)),"",HLOOKUP(CaseName,CaseData,MATCH($G247,cases!$G$4:$G$2494,0),FALSE))</f>
        <v/>
      </c>
      <c r="K247" s="576">
        <f>4*(RadS/L228)*((DYNVISC.a/DYNVISC.w)+(1+2*L234^0.5*(RadS/L228)))</f>
        <v>5.4182872678961698E-5</v>
      </c>
      <c r="L247" s="298">
        <f t="shared" si="14"/>
        <v>5.4182872678961698E-5</v>
      </c>
      <c r="M247" s="567" t="s">
        <v>291</v>
      </c>
      <c r="N247" s="566"/>
      <c r="O247" s="604"/>
      <c r="P247" s="566"/>
    </row>
    <row r="248" spans="1:16" customFormat="1" ht="12.75" customHeight="1" x14ac:dyDescent="0.3">
      <c r="A248" s="566"/>
      <c r="B248" s="566"/>
      <c r="C248" s="566" t="s">
        <v>1645</v>
      </c>
      <c r="D248" s="566"/>
      <c r="E248" s="566"/>
      <c r="F248" s="566"/>
      <c r="G248" s="567" t="s">
        <v>2847</v>
      </c>
      <c r="H248" s="567" t="s">
        <v>291</v>
      </c>
      <c r="I248" s="677"/>
      <c r="J248" s="294" t="str">
        <f>IF(ISBLANK(HLOOKUP(CaseName,CaseData,MATCH($G248,cases!$G$4:$G$2494,0),FALSE)),"",HLOOKUP(CaseName,CaseData,MATCH($G248,cases!$G$4:$G$2494,0),FALSE))</f>
        <v/>
      </c>
      <c r="K248" s="576">
        <f>IF(L243&gt;L233,((L243-L233)/(L243-L233+2/3))^(3/2),0)</f>
        <v>0</v>
      </c>
      <c r="L248" s="298">
        <f t="shared" si="14"/>
        <v>0</v>
      </c>
      <c r="M248" s="567" t="s">
        <v>291</v>
      </c>
      <c r="N248" s="566"/>
      <c r="O248" s="604"/>
      <c r="P248" s="566"/>
    </row>
    <row r="249" spans="1:16" customFormat="1" ht="12.75" customHeight="1" x14ac:dyDescent="0.3">
      <c r="A249" s="566"/>
      <c r="B249" s="566"/>
      <c r="C249" s="566" t="s">
        <v>1647</v>
      </c>
      <c r="D249" s="566"/>
      <c r="E249" s="566"/>
      <c r="F249" s="566"/>
      <c r="G249" s="567" t="s">
        <v>2848</v>
      </c>
      <c r="H249" s="567" t="s">
        <v>291</v>
      </c>
      <c r="I249" s="677"/>
      <c r="J249" s="294" t="str">
        <f>IF(ISBLANK(HLOOKUP(CaseName,CaseData,MATCH($G249,cases!$G$4:$G$2494,0),FALSE)),"",HLOOKUP(CaseName,CaseData,MATCH($G249,cases!$G$4:$G$2494,0),FALSE))</f>
        <v/>
      </c>
      <c r="K249" s="576">
        <f>L246+L247+L248</f>
        <v>3.7289604798459147E-3</v>
      </c>
      <c r="L249" s="298">
        <f t="shared" si="14"/>
        <v>3.7289604798459147E-3</v>
      </c>
      <c r="M249" s="567" t="s">
        <v>291</v>
      </c>
      <c r="N249" s="566"/>
      <c r="O249" s="604"/>
      <c r="P249" s="566"/>
    </row>
    <row r="250" spans="1:16" customFormat="1" ht="12.75" customHeight="1" x14ac:dyDescent="0.3">
      <c r="A250" s="566" t="s">
        <v>1649</v>
      </c>
      <c r="B250" s="566"/>
      <c r="C250" s="566"/>
      <c r="D250" s="566"/>
      <c r="E250" s="566"/>
      <c r="F250" s="566"/>
      <c r="G250" s="567" t="s">
        <v>2849</v>
      </c>
      <c r="H250" s="567" t="s">
        <v>335</v>
      </c>
      <c r="I250" s="677"/>
      <c r="J250" s="294" t="str">
        <f>IF(ISBLANK(HLOOKUP(CaseName,CaseData,MATCH($G250,cases!$G$4:$G$2494,0),FALSE)),"",HLOOKUP(CaseName,CaseData,MATCH($G250,cases!$G$4:$G$2494,0),FALSE))</f>
        <v/>
      </c>
      <c r="K250" s="576">
        <f>((3/2)*(L260*L230)/(2*L228))</f>
        <v>6.0989959224259974E-7</v>
      </c>
      <c r="L250" s="298">
        <f t="shared" si="14"/>
        <v>6.0989959224259974E-7</v>
      </c>
      <c r="M250" s="567" t="s">
        <v>335</v>
      </c>
      <c r="N250" s="566"/>
      <c r="O250" s="604"/>
      <c r="P250" s="566"/>
    </row>
    <row r="251" spans="1:16" customFormat="1" ht="12.75" customHeight="1" x14ac:dyDescent="0.3">
      <c r="A251" s="566"/>
      <c r="B251" s="566" t="s">
        <v>1651</v>
      </c>
      <c r="C251" s="566"/>
      <c r="D251" s="566"/>
      <c r="E251" s="566"/>
      <c r="F251" s="566"/>
      <c r="G251" s="567" t="s">
        <v>2850</v>
      </c>
      <c r="H251" s="567" t="s">
        <v>291</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291</v>
      </c>
      <c r="N251" s="566"/>
      <c r="O251" s="604"/>
      <c r="P251" s="566"/>
    </row>
    <row r="252" spans="1:16" customFormat="1" ht="12.75" customHeight="1" x14ac:dyDescent="0.3">
      <c r="A252" s="566"/>
      <c r="B252" s="566" t="s">
        <v>1653</v>
      </c>
      <c r="C252" s="566"/>
      <c r="D252" s="566"/>
      <c r="E252" s="566"/>
      <c r="F252" s="566"/>
      <c r="G252" s="567" t="s">
        <v>2851</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1631</v>
      </c>
      <c r="C253" s="566"/>
      <c r="D253" s="566"/>
      <c r="E253" s="566"/>
      <c r="F253" s="566"/>
      <c r="G253" s="567" t="s">
        <v>2852</v>
      </c>
      <c r="H253" s="567" t="s">
        <v>1633</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1633</v>
      </c>
      <c r="N253" s="566"/>
      <c r="O253" s="604"/>
      <c r="P253" s="566"/>
    </row>
    <row r="254" spans="1:16" customFormat="1" ht="12.75" customHeight="1" x14ac:dyDescent="0.3">
      <c r="A254" s="566"/>
      <c r="B254" s="566" t="s">
        <v>1656</v>
      </c>
      <c r="C254" s="566"/>
      <c r="D254" s="566"/>
      <c r="E254" s="566"/>
      <c r="F254" s="566"/>
      <c r="G254" s="567" t="s">
        <v>2853</v>
      </c>
      <c r="H254" s="567" t="s">
        <v>291</v>
      </c>
      <c r="I254" s="677"/>
      <c r="J254" s="294" t="str">
        <f>IF(ISBLANK(HLOOKUP(CaseName,CaseData,MATCH($G254,cases!$G$4:$G$2494,0),FALSE)),"",HLOOKUP(CaseName,CaseData,MATCH($G254,cases!$G$4:$G$2494,0),FALSE))</f>
        <v/>
      </c>
      <c r="K254" s="576">
        <f>(2*L253*(L231-L255))/(2*L228)</f>
        <v>7.0260710924945043E-3</v>
      </c>
      <c r="L254" s="298">
        <f t="shared" si="14"/>
        <v>7.0260710924945043E-3</v>
      </c>
      <c r="M254" s="567" t="s">
        <v>291</v>
      </c>
      <c r="N254" s="566"/>
      <c r="O254" s="604"/>
      <c r="P254" s="566"/>
    </row>
    <row r="255" spans="1:16" customFormat="1" ht="12.75" customHeight="1" x14ac:dyDescent="0.3">
      <c r="A255" s="566"/>
      <c r="B255" s="566" t="s">
        <v>1637</v>
      </c>
      <c r="C255" s="566"/>
      <c r="D255" s="566"/>
      <c r="E255" s="566"/>
      <c r="F255" s="566"/>
      <c r="G255" s="567" t="s">
        <v>2854</v>
      </c>
      <c r="H255" s="567" t="s">
        <v>866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866</v>
      </c>
      <c r="N255" s="566"/>
      <c r="O255" s="604"/>
      <c r="P255" s="566"/>
    </row>
    <row r="256" spans="1:16" customFormat="1" ht="12.75" customHeight="1" x14ac:dyDescent="0.3">
      <c r="A256" s="566"/>
      <c r="B256" s="566" t="s">
        <v>1639</v>
      </c>
      <c r="C256" s="566"/>
      <c r="D256" s="566"/>
      <c r="E256" s="566"/>
      <c r="F256" s="566"/>
      <c r="G256" s="567" t="s">
        <v>2855</v>
      </c>
      <c r="H256" s="567" t="s">
        <v>291</v>
      </c>
      <c r="I256" s="677"/>
      <c r="J256" s="294" t="str">
        <f>IF(ISBLANK(HLOOKUP(CaseName,CaseData,MATCH($G256,cases!$G$4:$G$2494,0),FALSE)),"",HLOOKUP(CaseName,CaseData,MATCH($G256,cases!$G$4:$G$2494,0),FALSE))</f>
        <v/>
      </c>
      <c r="K256" s="576">
        <f>DYNVISC.a/(Rho.a*L252)</f>
        <v>18936.747269026804</v>
      </c>
      <c r="L256" s="298">
        <f t="shared" si="14"/>
        <v>18936.747269026804</v>
      </c>
      <c r="M256" s="567" t="s">
        <v>291</v>
      </c>
      <c r="N256" s="566"/>
      <c r="O256" s="604"/>
      <c r="P256" s="566"/>
    </row>
    <row r="257" spans="1:16" customFormat="1" ht="12.75" customHeight="1" x14ac:dyDescent="0.3">
      <c r="A257" s="566"/>
      <c r="B257" s="566"/>
      <c r="C257" s="566" t="s">
        <v>1641</v>
      </c>
      <c r="D257" s="566"/>
      <c r="E257" s="566"/>
      <c r="F257" s="566"/>
      <c r="G257" s="567" t="s">
        <v>2856</v>
      </c>
      <c r="H257" s="567" t="s">
        <v>291</v>
      </c>
      <c r="I257" s="677"/>
      <c r="J257" s="294" t="str">
        <f>IF(ISBLANK(HLOOKUP(CaseName,CaseData,MATCH($G257,cases!$G$4:$G$2494,0),FALSE)),"",HLOOKUP(CaseName,CaseData,MATCH($G257,cases!$G$4:$G$2494,0),FALSE))</f>
        <v/>
      </c>
      <c r="K257" s="576">
        <f>(4/(L234*L256))*(1+0.4*(L234^0.5*L256^(1/3))+0.16*(L234^0.5*L256^0.5))</f>
        <v>3.326476577257636E-4</v>
      </c>
      <c r="L257" s="298">
        <f t="shared" si="14"/>
        <v>3.326476577257636E-4</v>
      </c>
      <c r="M257" s="567" t="s">
        <v>291</v>
      </c>
      <c r="N257" s="566"/>
      <c r="O257" s="604"/>
      <c r="P257" s="566"/>
    </row>
    <row r="258" spans="1:16" customFormat="1" ht="12.75" customHeight="1" x14ac:dyDescent="0.3">
      <c r="A258" s="566"/>
      <c r="B258" s="566"/>
      <c r="C258" s="566" t="s">
        <v>1643</v>
      </c>
      <c r="D258" s="566"/>
      <c r="E258" s="566"/>
      <c r="F258" s="566"/>
      <c r="G258" s="567" t="s">
        <v>2857</v>
      </c>
      <c r="H258" s="567" t="s">
        <v>291</v>
      </c>
      <c r="I258" s="677"/>
      <c r="J258" s="294" t="str">
        <f>IF(ISBLANK(HLOOKUP(CaseName,CaseData,MATCH($G258,cases!$G$4:$G$2494,0),FALSE)),"",HLOOKUP(CaseName,CaseData,MATCH($G258,cases!$G$4:$G$2494,0),FALSE))</f>
        <v/>
      </c>
      <c r="K258" s="576">
        <f>4*(L236/L228)*((DYNVISC.a/DYNVISC.w)+(1+2*L234^0.5*(L236/L228)))</f>
        <v>4.9383855305266055E-4</v>
      </c>
      <c r="L258" s="298">
        <f t="shared" si="14"/>
        <v>4.9383855305266055E-4</v>
      </c>
      <c r="M258" s="567" t="s">
        <v>291</v>
      </c>
      <c r="N258" s="566"/>
      <c r="O258" s="604"/>
      <c r="P258" s="566"/>
    </row>
    <row r="259" spans="1:16" customFormat="1" ht="12.75" customHeight="1" x14ac:dyDescent="0.3">
      <c r="A259" s="566"/>
      <c r="B259" s="566"/>
      <c r="C259" s="566" t="s">
        <v>1645</v>
      </c>
      <c r="D259" s="566"/>
      <c r="E259" s="566"/>
      <c r="F259" s="566"/>
      <c r="G259" s="567" t="s">
        <v>2858</v>
      </c>
      <c r="H259" s="567" t="s">
        <v>291</v>
      </c>
      <c r="I259" s="677"/>
      <c r="J259" s="294" t="str">
        <f>IF(ISBLANK(HLOOKUP(CaseName,CaseData,MATCH($G259,cases!$G$4:$G$2494,0),FALSE)),"",HLOOKUP(CaseName,CaseData,MATCH($G259,cases!$G$4:$G$2494,0),FALSE))</f>
        <v/>
      </c>
      <c r="K259" s="576">
        <f>IF(L254&gt;L233,((L254-L233)/(L254-L233+2/3))^(3/2),0)</f>
        <v>0</v>
      </c>
      <c r="L259" s="298">
        <f t="shared" si="14"/>
        <v>0</v>
      </c>
      <c r="M259" s="567" t="s">
        <v>291</v>
      </c>
      <c r="N259" s="566"/>
      <c r="O259" s="604"/>
      <c r="P259" s="566"/>
    </row>
    <row r="260" spans="1:16" customFormat="1" ht="12.75" customHeight="1" x14ac:dyDescent="0.3">
      <c r="A260" s="566"/>
      <c r="B260" s="566"/>
      <c r="C260" s="566" t="s">
        <v>1647</v>
      </c>
      <c r="D260" s="566"/>
      <c r="E260" s="566"/>
      <c r="F260" s="566"/>
      <c r="G260" s="567" t="s">
        <v>2859</v>
      </c>
      <c r="H260" s="567" t="s">
        <v>291</v>
      </c>
      <c r="I260" s="677"/>
      <c r="J260" s="294" t="str">
        <f>IF(ISBLANK(HLOOKUP(CaseName,CaseData,MATCH($G260,cases!$G$4:$G$2494,0),FALSE)),"",HLOOKUP(CaseName,CaseData,MATCH($G260,cases!$G$4:$G$2494,0),FALSE))</f>
        <v/>
      </c>
      <c r="K260" s="576">
        <f>L257+L258+L259</f>
        <v>8.264862107784242E-4</v>
      </c>
      <c r="L260" s="298">
        <f t="shared" si="14"/>
        <v>8.264862107784242E-4</v>
      </c>
      <c r="M260" s="567" t="s">
        <v>291</v>
      </c>
      <c r="N260" s="566"/>
      <c r="O260" s="604"/>
      <c r="P260" s="566"/>
    </row>
    <row r="261" spans="1:16" customFormat="1" ht="12.75" customHeight="1" x14ac:dyDescent="0.3">
      <c r="A261" s="566" t="s">
        <v>1664</v>
      </c>
      <c r="B261" s="566"/>
      <c r="C261" s="566"/>
      <c r="D261" s="566"/>
      <c r="E261" s="566"/>
      <c r="F261" s="566"/>
      <c r="G261" s="567" t="s">
        <v>2860</v>
      </c>
      <c r="H261" s="567" t="s">
        <v>335</v>
      </c>
      <c r="I261" s="677"/>
      <c r="J261" s="294" t="str">
        <f>IF(ISBLANK(HLOOKUP(CaseName,CaseData,MATCH($G261,cases!$G$4:$G$2494,0),FALSE)),"",HLOOKUP(CaseName,CaseData,MATCH($G261,cases!$G$4:$G$2494,0),FALSE))</f>
        <v/>
      </c>
      <c r="K261" s="576">
        <f>((L86+L87)/L87*L92*L93)/L14</f>
        <v>7.3989514628784045E-5</v>
      </c>
      <c r="L261" s="298">
        <f t="shared" si="14"/>
        <v>7.3989514628784045E-5</v>
      </c>
      <c r="M261" s="566" t="s">
        <v>335</v>
      </c>
      <c r="N261" s="566" t="s">
        <v>2861</v>
      </c>
      <c r="O261" s="604"/>
      <c r="P261" s="566"/>
    </row>
    <row r="262" spans="1:16" customFormat="1" ht="12.75" customHeight="1" x14ac:dyDescent="0.3">
      <c r="A262" s="566" t="s">
        <v>2862</v>
      </c>
      <c r="B262" s="566"/>
      <c r="C262" s="566"/>
      <c r="D262" s="566"/>
      <c r="E262" s="566"/>
      <c r="F262" s="566"/>
      <c r="G262" s="567" t="s">
        <v>2863</v>
      </c>
      <c r="H262" s="567" t="s">
        <v>335</v>
      </c>
      <c r="I262" s="677"/>
      <c r="J262" s="294" t="str">
        <f>IF(ISBLANK(HLOOKUP(CaseName,CaseData,MATCH($G262,cases!$G$4:$G$2494,0),FALSE)),"",HLOOKUP(CaseName,CaseData,MATCH($G262,cases!$G$4:$G$2494,0),FALSE))</f>
        <v/>
      </c>
      <c r="K262" s="576">
        <f>(L263*L13*L11)/(L5)</f>
        <v>1.6732568691961274E-6</v>
      </c>
      <c r="L262" s="298">
        <f t="shared" si="14"/>
        <v>1.6732568691961274E-6</v>
      </c>
      <c r="M262" s="567" t="s">
        <v>335</v>
      </c>
      <c r="N262" s="566"/>
      <c r="O262" s="604"/>
      <c r="P262" s="566"/>
    </row>
    <row r="263" spans="1:16" customFormat="1" ht="12.75" customHeight="1" x14ac:dyDescent="0.3">
      <c r="A263" s="566"/>
      <c r="B263" s="566" t="s">
        <v>1669</v>
      </c>
      <c r="C263" s="566"/>
      <c r="D263" s="566"/>
      <c r="E263" s="566"/>
      <c r="F263" s="566"/>
      <c r="G263" s="567" t="s">
        <v>2864</v>
      </c>
      <c r="H263" s="567" t="s">
        <v>866</v>
      </c>
      <c r="I263" s="677"/>
      <c r="J263" s="294" t="str">
        <f>IF(ISBLANK(HLOOKUP(CaseName,CaseData,MATCH($G263,cases!$G$4:$G$2494,0),FALSE)),"",HLOOKUP(CaseName,CaseData,MATCH($G263,cases!$G$4:$G$2494,0),FALSE))</f>
        <v/>
      </c>
      <c r="K263" s="576">
        <f>1/(L264+L265)+L244</f>
        <v>3.3465127344381334E-3</v>
      </c>
      <c r="L263" s="298">
        <f t="shared" si="14"/>
        <v>3.3465127344381334E-3</v>
      </c>
      <c r="M263" s="567" t="s">
        <v>866</v>
      </c>
      <c r="N263" s="566"/>
      <c r="O263" s="604"/>
      <c r="P263" s="566"/>
    </row>
    <row r="264" spans="1:16" customFormat="1" ht="12.75" customHeight="1" x14ac:dyDescent="0.3">
      <c r="A264" s="566"/>
      <c r="B264" s="566" t="s">
        <v>1671</v>
      </c>
      <c r="C264" s="566"/>
      <c r="D264" s="566"/>
      <c r="E264" s="566"/>
      <c r="F264" s="566"/>
      <c r="G264" s="567" t="s">
        <v>2865</v>
      </c>
      <c r="H264" s="567" t="s">
        <v>1673</v>
      </c>
      <c r="I264" s="677"/>
      <c r="J264" s="294" t="str">
        <f>IF(ISBLANK(HLOOKUP(CaseName,CaseData,MATCH($G264,cases!$G$4:$G$2494,0),FALSE)),"",HLOOKUP(CaseName,CaseData,MATCH($G264,cases!$G$4:$G$2494,0),FALSE))</f>
        <v/>
      </c>
      <c r="K264" s="576">
        <v>74</v>
      </c>
      <c r="L264" s="298">
        <f t="shared" si="14"/>
        <v>74</v>
      </c>
      <c r="M264" s="567" t="s">
        <v>1673</v>
      </c>
      <c r="N264" s="566"/>
      <c r="O264" s="604" t="s">
        <v>1674</v>
      </c>
      <c r="P264" s="566" t="s">
        <v>1675</v>
      </c>
    </row>
    <row r="265" spans="1:16" customFormat="1" ht="12.75" customHeight="1" x14ac:dyDescent="0.3">
      <c r="A265" s="566"/>
      <c r="B265" s="566" t="s">
        <v>1676</v>
      </c>
      <c r="C265" s="566"/>
      <c r="D265" s="566"/>
      <c r="E265" s="566"/>
      <c r="F265" s="566"/>
      <c r="G265" s="567" t="s">
        <v>2866</v>
      </c>
      <c r="H265" s="567" t="s">
        <v>1673</v>
      </c>
      <c r="I265" s="677"/>
      <c r="J265" s="294" t="str">
        <f>IF(ISBLANK(HLOOKUP(CaseName,CaseData,MATCH($G265,cases!$G$4:$G$2494,0),FALSE)),"",HLOOKUP(CaseName,CaseData,MATCH($G265,cases!$G$4:$G$2494,0),FALSE))</f>
        <v/>
      </c>
      <c r="K265" s="576">
        <f>1/(L266*(L267+L268+L272))</f>
        <v>224.88318891674058</v>
      </c>
      <c r="L265" s="298">
        <f t="shared" si="14"/>
        <v>224.88318891674058</v>
      </c>
      <c r="M265" s="567" t="s">
        <v>1673</v>
      </c>
      <c r="N265" s="566"/>
      <c r="O265" s="604" t="s">
        <v>1678</v>
      </c>
      <c r="P265" s="566"/>
    </row>
    <row r="266" spans="1:16" customFormat="1" ht="12.75" customHeight="1" x14ac:dyDescent="0.3">
      <c r="A266" s="566"/>
      <c r="B266" s="566"/>
      <c r="C266" s="566" t="s">
        <v>1679</v>
      </c>
      <c r="D266" s="566"/>
      <c r="E266" s="566"/>
      <c r="F266" s="566"/>
      <c r="G266" s="567" t="s">
        <v>2867</v>
      </c>
      <c r="H266" s="567" t="s">
        <v>866</v>
      </c>
      <c r="I266" s="677"/>
      <c r="J266" s="294" t="str">
        <f>IF(ISBLANK(HLOOKUP(CaseName,CaseData,MATCH($G266,cases!$G$4:$G$2494,0),FALSE)),"",HLOOKUP(CaseName,CaseData,MATCH($G266,cases!$G$4:$G$2494,0),FALSE))</f>
        <v/>
      </c>
      <c r="K266" s="576">
        <v>0.19</v>
      </c>
      <c r="L266" s="298">
        <f t="shared" si="14"/>
        <v>0.19</v>
      </c>
      <c r="M266" s="567" t="s">
        <v>866</v>
      </c>
      <c r="N266" s="566"/>
      <c r="O266" s="604" t="s">
        <v>1681</v>
      </c>
      <c r="P266" s="566" t="s">
        <v>1682</v>
      </c>
    </row>
    <row r="267" spans="1:16" customFormat="1" ht="12.75" customHeight="1" x14ac:dyDescent="0.3">
      <c r="A267" s="566"/>
      <c r="B267" s="566"/>
      <c r="C267" s="566" t="s">
        <v>1641</v>
      </c>
      <c r="D267" s="566"/>
      <c r="E267" s="566"/>
      <c r="F267" s="566"/>
      <c r="G267" s="567" t="s">
        <v>2868</v>
      </c>
      <c r="H267" s="567" t="s">
        <v>291</v>
      </c>
      <c r="I267" s="677"/>
      <c r="J267" s="294" t="str">
        <f>IF(ISBLANK(HLOOKUP(CaseName,CaseData,MATCH($G267,cases!$G$4:$G$2494,0),FALSE)),"",HLOOKUP(CaseName,CaseData,MATCH($G267,cases!$G$4:$G$2494,0),FALSE))</f>
        <v/>
      </c>
      <c r="K267" s="576">
        <f>L245^(-2/3)</f>
        <v>2.338229586631968E-2</v>
      </c>
      <c r="L267" s="298">
        <f t="shared" si="14"/>
        <v>2.338229586631968E-2</v>
      </c>
      <c r="M267" s="567" t="s">
        <v>291</v>
      </c>
      <c r="N267" s="566"/>
      <c r="O267" s="604" t="s">
        <v>1678</v>
      </c>
      <c r="P267" s="566" t="s">
        <v>1684</v>
      </c>
    </row>
    <row r="268" spans="1:16" customFormat="1" ht="12.75" customHeight="1" x14ac:dyDescent="0.3">
      <c r="A268" s="566"/>
      <c r="B268" s="566"/>
      <c r="C268" s="566" t="s">
        <v>1643</v>
      </c>
      <c r="D268" s="566"/>
      <c r="E268" s="566"/>
      <c r="F268" s="566"/>
      <c r="G268" s="567" t="s">
        <v>2869</v>
      </c>
      <c r="H268" s="567" t="s">
        <v>291</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291</v>
      </c>
      <c r="N268" s="566"/>
      <c r="O268" s="604" t="s">
        <v>1678</v>
      </c>
      <c r="P268" s="566" t="s">
        <v>1684</v>
      </c>
    </row>
    <row r="269" spans="1:16" customFormat="1" ht="12.75" customHeight="1" x14ac:dyDescent="0.3">
      <c r="A269" s="566"/>
      <c r="B269" s="566"/>
      <c r="C269" s="566"/>
      <c r="D269" s="566" t="s">
        <v>1686</v>
      </c>
      <c r="E269" s="566"/>
      <c r="F269" s="566"/>
      <c r="G269" s="567" t="s">
        <v>2870</v>
      </c>
      <c r="H269" s="567" t="s">
        <v>813</v>
      </c>
      <c r="I269" s="677"/>
      <c r="J269" s="294" t="str">
        <f>IF(ISBLANK(HLOOKUP(CaseName,CaseData,MATCH($G269,cases!$G$4:$G$2494,0),FALSE)),"",HLOOKUP(CaseName,CaseData,MATCH($G269,cases!$G$4:$G$2494,0),FALSE))</f>
        <v/>
      </c>
      <c r="K269" s="576">
        <f>1*10^-5</f>
        <v>1.0000000000000001E-5</v>
      </c>
      <c r="L269" s="298">
        <f t="shared" si="14"/>
        <v>1.0000000000000001E-5</v>
      </c>
      <c r="M269" s="567" t="s">
        <v>813</v>
      </c>
      <c r="N269" s="566"/>
      <c r="O269" s="604" t="s">
        <v>1674</v>
      </c>
      <c r="P269" s="566" t="s">
        <v>1684</v>
      </c>
    </row>
    <row r="270" spans="1:16" customFormat="1" ht="12.75" customHeight="1" x14ac:dyDescent="0.3">
      <c r="A270" s="566"/>
      <c r="B270" s="566"/>
      <c r="C270" s="566"/>
      <c r="D270" s="566" t="s">
        <v>1688</v>
      </c>
      <c r="E270" s="566"/>
      <c r="F270" s="566"/>
      <c r="G270" s="567" t="s">
        <v>2871</v>
      </c>
      <c r="H270" s="567" t="s">
        <v>813</v>
      </c>
      <c r="I270" s="677"/>
      <c r="J270" s="294" t="str">
        <f>IF(ISBLANK(HLOOKUP(CaseName,CaseData,MATCH($G270,cases!$G$4:$G$2494,0),FALSE)),"",HLOOKUP(CaseName,CaseData,MATCH($G270,cases!$G$4:$G$2494,0),FALSE))</f>
        <v/>
      </c>
      <c r="K270" s="576">
        <f>0.0005</f>
        <v>5.0000000000000001E-4</v>
      </c>
      <c r="L270" s="298">
        <f t="shared" si="14"/>
        <v>5.0000000000000001E-4</v>
      </c>
      <c r="M270" s="567" t="s">
        <v>813</v>
      </c>
      <c r="N270" s="566"/>
      <c r="O270" s="604" t="s">
        <v>1674</v>
      </c>
      <c r="P270" s="566" t="s">
        <v>1684</v>
      </c>
    </row>
    <row r="271" spans="1:16" customFormat="1" ht="12.75" customHeight="1" x14ac:dyDescent="0.3">
      <c r="A271" s="566"/>
      <c r="B271" s="566"/>
      <c r="C271" s="566"/>
      <c r="D271" s="566" t="s">
        <v>1690</v>
      </c>
      <c r="E271" s="566"/>
      <c r="F271" s="566"/>
      <c r="G271" s="567" t="s">
        <v>2872</v>
      </c>
      <c r="H271" s="567" t="s">
        <v>291</v>
      </c>
      <c r="I271" s="677"/>
      <c r="J271" s="294" t="str">
        <f>IF(ISBLANK(HLOOKUP(CaseName,CaseData,MATCH($G271,cases!$G$4:$G$2494,0),FALSE)),"",HLOOKUP(CaseName,CaseData,MATCH($G271,cases!$G$4:$G$2494,0),FALSE))</f>
        <v/>
      </c>
      <c r="K271" s="576">
        <v>0.01</v>
      </c>
      <c r="L271" s="298">
        <f t="shared" si="14"/>
        <v>0.01</v>
      </c>
      <c r="M271" s="567" t="s">
        <v>291</v>
      </c>
      <c r="N271" s="566"/>
      <c r="O271" s="604" t="s">
        <v>1674</v>
      </c>
      <c r="P271" s="566" t="s">
        <v>1692</v>
      </c>
    </row>
    <row r="272" spans="1:16" customFormat="1" ht="12.75" customHeight="1" x14ac:dyDescent="0.3">
      <c r="A272" s="566"/>
      <c r="B272" s="566"/>
      <c r="C272" s="566" t="s">
        <v>1645</v>
      </c>
      <c r="D272" s="566"/>
      <c r="E272" s="566"/>
      <c r="F272" s="566"/>
      <c r="G272" s="567" t="s">
        <v>2873</v>
      </c>
      <c r="H272" s="567" t="s">
        <v>291</v>
      </c>
      <c r="I272" s="677"/>
      <c r="J272" s="294" t="str">
        <f>IF(ISBLANK(HLOOKUP(CaseName,CaseData,MATCH($G272,cases!$G$4:$G$2494,0),FALSE)),"",HLOOKUP(CaseName,CaseData,MATCH($G272,cases!$G$4:$G$2494,0),FALSE))</f>
        <v/>
      </c>
      <c r="K272" s="576">
        <f>(L243/(L243+0.8))^2</f>
        <v>1.7198188736959679E-5</v>
      </c>
      <c r="L272" s="298">
        <f t="shared" si="14"/>
        <v>1.7198188736959679E-5</v>
      </c>
      <c r="M272" s="567" t="s">
        <v>291</v>
      </c>
      <c r="N272" s="566"/>
      <c r="O272" s="604" t="s">
        <v>1678</v>
      </c>
      <c r="P272" s="566" t="s">
        <v>1684</v>
      </c>
    </row>
    <row r="273" spans="1:16" customFormat="1" ht="12.75" customHeight="1" x14ac:dyDescent="0.3">
      <c r="A273" s="566" t="s">
        <v>2874</v>
      </c>
      <c r="B273" s="566"/>
      <c r="C273" s="566"/>
      <c r="D273" s="566"/>
      <c r="E273" s="566"/>
      <c r="F273" s="566"/>
      <c r="G273" s="567" t="s">
        <v>2875</v>
      </c>
      <c r="H273" s="567" t="s">
        <v>335</v>
      </c>
      <c r="I273" s="677"/>
      <c r="J273" s="294" t="str">
        <f>IF(ISBLANK(HLOOKUP(CaseName,CaseData,MATCH($G273,cases!$G$4:$G$2494,0),FALSE)),"",HLOOKUP(CaseName,CaseData,MATCH($G273,cases!$G$4:$G$2494,0),FALSE))</f>
        <v/>
      </c>
      <c r="K273" s="576">
        <f>(L274*L13*L11)/(L5)</f>
        <v>1.4249208123019974E-7</v>
      </c>
      <c r="L273" s="298">
        <f t="shared" ref="L273:L304" si="15">IF(ISBLANK(I273),IF(ISNUMBER(J273)=FALSE,K273,J273),I273)</f>
        <v>1.4249208123019974E-7</v>
      </c>
      <c r="M273" s="567" t="s">
        <v>335</v>
      </c>
      <c r="N273" s="566"/>
      <c r="O273" s="604"/>
      <c r="P273" s="566"/>
    </row>
    <row r="274" spans="1:16" customFormat="1" ht="12.75" customHeight="1" x14ac:dyDescent="0.3">
      <c r="A274" s="566"/>
      <c r="B274" s="566" t="s">
        <v>1669</v>
      </c>
      <c r="C274" s="566"/>
      <c r="D274" s="566"/>
      <c r="E274" s="566"/>
      <c r="F274" s="566"/>
      <c r="G274" s="567" t="s">
        <v>2876</v>
      </c>
      <c r="H274" s="567" t="s">
        <v>866</v>
      </c>
      <c r="I274" s="677"/>
      <c r="J274" s="294" t="str">
        <f>IF(ISBLANK(HLOOKUP(CaseName,CaseData,MATCH($G274,cases!$G$4:$G$2494,0),FALSE)),"",HLOOKUP(CaseName,CaseData,MATCH($G274,cases!$G$4:$G$2494,0),FALSE))</f>
        <v/>
      </c>
      <c r="K274" s="576">
        <f>1/(L264+L275)+L255</f>
        <v>2.8498407696515073E-4</v>
      </c>
      <c r="L274" s="298">
        <f t="shared" si="15"/>
        <v>2.8498407696515073E-4</v>
      </c>
      <c r="M274" s="567" t="s">
        <v>866</v>
      </c>
      <c r="N274" s="566"/>
      <c r="O274" s="604"/>
      <c r="P274" s="566"/>
    </row>
    <row r="275" spans="1:16" customFormat="1" ht="12.75" customHeight="1" x14ac:dyDescent="0.3">
      <c r="A275" s="566"/>
      <c r="B275" s="566" t="s">
        <v>1676</v>
      </c>
      <c r="C275" s="566"/>
      <c r="D275" s="566"/>
      <c r="E275" s="566"/>
      <c r="F275" s="566"/>
      <c r="G275" s="567" t="s">
        <v>2877</v>
      </c>
      <c r="H275" s="567" t="s">
        <v>1673</v>
      </c>
      <c r="I275" s="677"/>
      <c r="J275" s="294" t="str">
        <f>IF(ISBLANK(HLOOKUP(CaseName,CaseData,MATCH($G275,cases!$G$4:$G$2494,0),FALSE)),"",HLOOKUP(CaseName,CaseData,MATCH($G275,cases!$G$4:$G$2494,0),FALSE))</f>
        <v/>
      </c>
      <c r="K275" s="576">
        <f>1/(L266*(L276+L277+L278))</f>
        <v>3453.8705034033878</v>
      </c>
      <c r="L275" s="298">
        <f t="shared" si="15"/>
        <v>3453.8705034033878</v>
      </c>
      <c r="M275" s="567" t="s">
        <v>1673</v>
      </c>
      <c r="N275" s="566"/>
      <c r="O275" s="604"/>
      <c r="P275" s="566"/>
    </row>
    <row r="276" spans="1:16" customFormat="1" ht="12.75" customHeight="1" x14ac:dyDescent="0.3">
      <c r="A276" s="566"/>
      <c r="B276" s="566"/>
      <c r="C276" s="566" t="s">
        <v>1641</v>
      </c>
      <c r="D276" s="566"/>
      <c r="E276" s="566"/>
      <c r="F276" s="566"/>
      <c r="G276" s="567" t="s">
        <v>2878</v>
      </c>
      <c r="H276" s="567" t="s">
        <v>291</v>
      </c>
      <c r="I276" s="677"/>
      <c r="J276" s="294" t="str">
        <f>IF(ISBLANK(HLOOKUP(CaseName,CaseData,MATCH($G276,cases!$G$4:$G$2494,0),FALSE)),"",HLOOKUP(CaseName,CaseData,MATCH($G276,cases!$G$4:$G$2494,0),FALSE))</f>
        <v/>
      </c>
      <c r="K276" s="576">
        <f>L256^(-2/3)</f>
        <v>1.4075475589468128E-3</v>
      </c>
      <c r="L276" s="298">
        <f t="shared" si="15"/>
        <v>1.4075475589468128E-3</v>
      </c>
      <c r="M276" s="567" t="s">
        <v>291</v>
      </c>
      <c r="N276" s="566"/>
      <c r="O276" s="604"/>
      <c r="P276" s="566" t="s">
        <v>1684</v>
      </c>
    </row>
    <row r="277" spans="1:16" customFormat="1" ht="12.75" customHeight="1" x14ac:dyDescent="0.3">
      <c r="A277" s="566"/>
      <c r="B277" s="566"/>
      <c r="C277" s="566" t="s">
        <v>1643</v>
      </c>
      <c r="D277" s="566"/>
      <c r="E277" s="566"/>
      <c r="F277" s="566"/>
      <c r="G277" s="567" t="s">
        <v>2879</v>
      </c>
      <c r="H277" s="567" t="s">
        <v>291</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291</v>
      </c>
      <c r="N277" s="566"/>
      <c r="O277" s="604"/>
      <c r="P277" s="566" t="s">
        <v>1684</v>
      </c>
    </row>
    <row r="278" spans="1:16" customFormat="1" ht="12.75" customHeight="1" x14ac:dyDescent="0.3">
      <c r="A278" s="566"/>
      <c r="B278" s="566"/>
      <c r="C278" s="566" t="s">
        <v>1645</v>
      </c>
      <c r="D278" s="566"/>
      <c r="E278" s="566"/>
      <c r="F278" s="566"/>
      <c r="G278" s="567" t="s">
        <v>2880</v>
      </c>
      <c r="H278" s="567" t="s">
        <v>291</v>
      </c>
      <c r="I278" s="677"/>
      <c r="J278" s="294" t="str">
        <f>IF(ISBLANK(HLOOKUP(CaseName,CaseData,MATCH($G278,cases!$G$4:$G$2494,0),FALSE)),"",HLOOKUP(CaseName,CaseData,MATCH($G278,cases!$G$4:$G$2494,0),FALSE))</f>
        <v/>
      </c>
      <c r="K278" s="576">
        <f>(L254/(L254+0.8))^2</f>
        <v>7.5796639254636317E-5</v>
      </c>
      <c r="L278" s="298">
        <f t="shared" si="15"/>
        <v>7.5796639254636317E-5</v>
      </c>
      <c r="M278" s="567" t="s">
        <v>291</v>
      </c>
      <c r="N278" s="566"/>
      <c r="O278" s="604"/>
      <c r="P278" s="566" t="s">
        <v>1684</v>
      </c>
    </row>
    <row r="279" spans="1:16" customFormat="1" ht="12.75" customHeight="1" x14ac:dyDescent="0.3">
      <c r="A279" s="566" t="s">
        <v>2881</v>
      </c>
      <c r="B279" s="566"/>
      <c r="C279" s="566"/>
      <c r="D279" s="566"/>
      <c r="E279" s="566"/>
      <c r="F279" s="566"/>
      <c r="G279" s="567" t="s">
        <v>2882</v>
      </c>
      <c r="H279" s="567" t="s">
        <v>335</v>
      </c>
      <c r="I279" s="677"/>
      <c r="J279" s="294" t="str">
        <f>IF(ISBLANK(HLOOKUP(CaseName,CaseData,MATCH($G279,cases!$G$4:$G$2494,0),FALSE)),"",HLOOKUP(CaseName,CaseData,MATCH($G279,cases!$G$4:$G$2494,0),FALSE))</f>
        <v/>
      </c>
      <c r="K279" s="576">
        <f>(L91*L13*L11)/(L5)</f>
        <v>5.0000015000004499E-7</v>
      </c>
      <c r="L279" s="298">
        <f t="shared" si="15"/>
        <v>5.0000015000004499E-7</v>
      </c>
      <c r="M279" s="567" t="s">
        <v>335</v>
      </c>
      <c r="N279" s="566" t="s">
        <v>2414</v>
      </c>
      <c r="O279" s="604"/>
      <c r="P279" s="566"/>
    </row>
    <row r="280" spans="1:16" customFormat="1" ht="12.75" customHeight="1" x14ac:dyDescent="0.3">
      <c r="A280" s="566" t="s">
        <v>2883</v>
      </c>
      <c r="B280" s="566"/>
      <c r="C280" s="566"/>
      <c r="D280" s="566"/>
      <c r="E280" s="566"/>
      <c r="F280" s="566"/>
      <c r="G280" s="567" t="s">
        <v>2884</v>
      </c>
      <c r="H280" s="567" t="s">
        <v>335</v>
      </c>
      <c r="I280" s="677"/>
      <c r="J280" s="294" t="str">
        <f>IF(ISBLANK(HLOOKUP(CaseName,CaseData,MATCH($G280,cases!$G$4:$G$2494,0),FALSE)),"",HLOOKUP(CaseName,CaseData,MATCH($G280,cases!$G$4:$G$2494,0),FALSE))</f>
        <v/>
      </c>
      <c r="K280" s="576">
        <f>(L281*L12*L11)/(L5)</f>
        <v>2.242314747832303E-6</v>
      </c>
      <c r="L280" s="298">
        <f t="shared" si="15"/>
        <v>2.242314747832303E-6</v>
      </c>
      <c r="M280" s="567" t="s">
        <v>335</v>
      </c>
      <c r="N280" s="566"/>
      <c r="O280" s="604"/>
      <c r="P280" s="566"/>
    </row>
    <row r="281" spans="1:16" customFormat="1" ht="12.75" customHeight="1" x14ac:dyDescent="0.3">
      <c r="A281" s="566"/>
      <c r="B281" s="566" t="s">
        <v>1669</v>
      </c>
      <c r="C281" s="566"/>
      <c r="D281" s="566"/>
      <c r="E281" s="566"/>
      <c r="F281" s="566"/>
      <c r="G281" s="567" t="s">
        <v>2885</v>
      </c>
      <c r="H281" s="567" t="s">
        <v>866</v>
      </c>
      <c r="I281" s="677"/>
      <c r="J281" s="294" t="str">
        <f>IF(ISBLANK(HLOOKUP(CaseName,CaseData,MATCH($G281,cases!$G$4:$G$2494,0),FALSE)),"",HLOOKUP(CaseName,CaseData,MATCH($G281,cases!$G$4:$G$2494,0),FALSE))</f>
        <v/>
      </c>
      <c r="K281" s="576">
        <f>1/(L282+L283)+L244</f>
        <v>4.4846281502757572E-3</v>
      </c>
      <c r="L281" s="298">
        <f t="shared" si="15"/>
        <v>4.4846281502757572E-3</v>
      </c>
      <c r="M281" s="567" t="s">
        <v>866</v>
      </c>
      <c r="N281" s="566"/>
      <c r="O281" s="604"/>
      <c r="P281" s="566"/>
    </row>
    <row r="282" spans="1:16" customFormat="1" ht="12.75" customHeight="1" x14ac:dyDescent="0.3">
      <c r="A282" s="566"/>
      <c r="B282" s="566"/>
      <c r="C282" s="566" t="s">
        <v>1765</v>
      </c>
      <c r="D282" s="566"/>
      <c r="E282" s="566"/>
      <c r="F282" s="566"/>
      <c r="G282" s="566" t="s">
        <v>2886</v>
      </c>
      <c r="H282" s="567" t="s">
        <v>1673</v>
      </c>
      <c r="I282" s="677"/>
      <c r="J282" s="294" t="str">
        <f>IF(ISBLANK(HLOOKUP(CaseName,CaseData,MATCH($G282,cases!$G$4:$G$2494,0),FALSE)),"",HLOOKUP(CaseName,CaseData,MATCH($G282,cases!$G$4:$G$2494,0),FALSE))</f>
        <v/>
      </c>
      <c r="K282" s="576">
        <v>135</v>
      </c>
      <c r="L282" s="298">
        <f t="shared" si="15"/>
        <v>135</v>
      </c>
      <c r="M282" s="567" t="s">
        <v>1673</v>
      </c>
      <c r="N282" s="566"/>
      <c r="O282" s="604"/>
      <c r="P282" s="566" t="s">
        <v>1675</v>
      </c>
    </row>
    <row r="283" spans="1:16" customFormat="1" ht="12.75" customHeight="1" x14ac:dyDescent="0.3">
      <c r="A283" s="566"/>
      <c r="B283" s="566"/>
      <c r="C283" s="566" t="s">
        <v>2887</v>
      </c>
      <c r="D283" s="566"/>
      <c r="E283" s="566"/>
      <c r="F283" s="566"/>
      <c r="G283" s="567" t="s">
        <v>2888</v>
      </c>
      <c r="H283" s="567" t="s">
        <v>1673</v>
      </c>
      <c r="I283" s="677"/>
      <c r="J283" s="294" t="str">
        <f>IF(ISBLANK(HLOOKUP(CaseName,CaseData,MATCH($G283,cases!$G$4:$G$2494,0),FALSE)),"",HLOOKUP(CaseName,CaseData,MATCH($G283,cases!$G$4:$G$2494,0),FALSE))</f>
        <v/>
      </c>
      <c r="K283" s="576">
        <f>1/(L284*(L285+L286))</f>
        <v>88.019933355846689</v>
      </c>
      <c r="L283" s="298">
        <f t="shared" si="15"/>
        <v>88.019933355846689</v>
      </c>
      <c r="M283" s="567" t="s">
        <v>1673</v>
      </c>
      <c r="N283" s="566"/>
      <c r="O283" s="604"/>
      <c r="P283" s="566"/>
    </row>
    <row r="284" spans="1:16" customFormat="1" ht="12.75" customHeight="1" x14ac:dyDescent="0.3">
      <c r="A284" s="566"/>
      <c r="B284" s="566"/>
      <c r="C284" s="566" t="s">
        <v>1753</v>
      </c>
      <c r="D284" s="566"/>
      <c r="E284" s="566"/>
      <c r="F284" s="566"/>
      <c r="G284" s="567" t="s">
        <v>2889</v>
      </c>
      <c r="H284" s="567" t="s">
        <v>866</v>
      </c>
      <c r="I284" s="677"/>
      <c r="J284" s="294" t="str">
        <f>IF(ISBLANK(HLOOKUP(CaseName,CaseData,MATCH($G284,cases!$G$4:$G$2494,0),FALSE)),"",HLOOKUP(CaseName,CaseData,MATCH($G284,cases!$G$4:$G$2494,0),FALSE))</f>
        <v/>
      </c>
      <c r="K284" s="576">
        <v>0.19</v>
      </c>
      <c r="L284" s="298">
        <f t="shared" si="15"/>
        <v>0.19</v>
      </c>
      <c r="M284" s="567" t="s">
        <v>866</v>
      </c>
      <c r="N284" s="566"/>
      <c r="O284" s="604" t="s">
        <v>1681</v>
      </c>
      <c r="P284" s="566" t="s">
        <v>1682</v>
      </c>
    </row>
    <row r="285" spans="1:16" customFormat="1" ht="12.75" customHeight="1" x14ac:dyDescent="0.3">
      <c r="A285" s="566"/>
      <c r="B285" s="566"/>
      <c r="C285" s="566"/>
      <c r="D285" s="566" t="s">
        <v>1641</v>
      </c>
      <c r="E285" s="566"/>
      <c r="F285" s="566"/>
      <c r="G285" s="567" t="s">
        <v>2890</v>
      </c>
      <c r="H285" s="567" t="s">
        <v>291</v>
      </c>
      <c r="I285" s="677"/>
      <c r="J285" s="294" t="str">
        <f>IF(ISBLANK(HLOOKUP(CaseName,CaseData,MATCH($G285,cases!$G$4:$G$2494,0),FALSE)),"",HLOOKUP(CaseName,CaseData,MATCH($G285,cases!$G$4:$G$2494,0),FALSE))</f>
        <v/>
      </c>
      <c r="K285" s="576">
        <f>L245^-(1/2)</f>
        <v>5.9795067936020407E-2</v>
      </c>
      <c r="L285" s="298">
        <f t="shared" si="15"/>
        <v>5.9795067936020407E-2</v>
      </c>
      <c r="M285" s="567" t="s">
        <v>291</v>
      </c>
      <c r="N285" s="566"/>
      <c r="O285" s="604"/>
      <c r="P285" s="566"/>
    </row>
    <row r="286" spans="1:16" customFormat="1" ht="12.75" customHeight="1" x14ac:dyDescent="0.3">
      <c r="A286" s="566"/>
      <c r="B286" s="566"/>
      <c r="C286" s="566"/>
      <c r="D286" s="566" t="s">
        <v>1645</v>
      </c>
      <c r="E286" s="566"/>
      <c r="F286" s="566"/>
      <c r="G286" s="567" t="s">
        <v>2891</v>
      </c>
      <c r="H286" s="567" t="s">
        <v>291</v>
      </c>
      <c r="I286" s="677"/>
      <c r="J286" s="294" t="str">
        <f>IF(ISBLANK(HLOOKUP(CaseName,CaseData,MATCH($G286,cases!$G$4:$G$2494,0),FALSE)),"",HLOOKUP(CaseName,CaseData,MATCH($G286,cases!$G$4:$G$2494,0),FALSE))</f>
        <v/>
      </c>
      <c r="K286" s="576">
        <f>10^(-3/L243)</f>
        <v>0</v>
      </c>
      <c r="L286" s="298">
        <f t="shared" si="15"/>
        <v>0</v>
      </c>
      <c r="M286" s="567" t="s">
        <v>291</v>
      </c>
      <c r="N286" s="566"/>
      <c r="O286" s="604"/>
      <c r="P286" s="566"/>
    </row>
    <row r="287" spans="1:16" customFormat="1" ht="12.75" customHeight="1" x14ac:dyDescent="0.3">
      <c r="A287" s="566" t="s">
        <v>2892</v>
      </c>
      <c r="B287" s="566"/>
      <c r="C287" s="566"/>
      <c r="D287" s="566"/>
      <c r="E287" s="566"/>
      <c r="F287" s="566"/>
      <c r="G287" s="566" t="s">
        <v>2893</v>
      </c>
      <c r="H287" s="567" t="s">
        <v>335</v>
      </c>
      <c r="I287" s="677"/>
      <c r="J287" s="294" t="str">
        <f>IF(ISBLANK(HLOOKUP(CaseName,CaseData,MATCH($G287,cases!$G$4:$G$2494,0),FALSE)),"",HLOOKUP(CaseName,CaseData,MATCH($G287,cases!$G$4:$G$2494,0),FALSE))</f>
        <v/>
      </c>
      <c r="K287" s="576">
        <f>L288*L12*L11/L5</f>
        <v>5.8265452110724478E-7</v>
      </c>
      <c r="L287" s="298">
        <f t="shared" si="15"/>
        <v>5.8265452110724478E-7</v>
      </c>
      <c r="M287" s="567" t="s">
        <v>335</v>
      </c>
      <c r="N287" s="566"/>
      <c r="O287" s="604"/>
      <c r="P287" s="566"/>
    </row>
    <row r="288" spans="1:16" customFormat="1" ht="12.75" customHeight="1" x14ac:dyDescent="0.3">
      <c r="A288" s="566"/>
      <c r="B288" s="566" t="s">
        <v>1669</v>
      </c>
      <c r="C288" s="566"/>
      <c r="D288" s="566"/>
      <c r="E288" s="566"/>
      <c r="F288" s="566"/>
      <c r="G288" s="567" t="s">
        <v>2894</v>
      </c>
      <c r="H288" s="567" t="s">
        <v>866</v>
      </c>
      <c r="I288" s="677"/>
      <c r="J288" s="294" t="str">
        <f>IF(ISBLANK(HLOOKUP(CaseName,CaseData,MATCH($G288,cases!$G$4:$G$2494,0),FALSE)),"",HLOOKUP(CaseName,CaseData,MATCH($G288,cases!$G$4:$G$2494,0),FALSE))</f>
        <v/>
      </c>
      <c r="K288" s="576">
        <f>1/(L282+L289)+L255</f>
        <v>1.1653086926217769E-3</v>
      </c>
      <c r="L288" s="298">
        <f t="shared" si="15"/>
        <v>1.1653086926217769E-3</v>
      </c>
      <c r="M288" s="567" t="s">
        <v>866</v>
      </c>
      <c r="N288" s="566"/>
      <c r="O288" s="604"/>
      <c r="P288" s="566"/>
    </row>
    <row r="289" spans="1:16" customFormat="1" ht="12.75" customHeight="1" x14ac:dyDescent="0.3">
      <c r="A289" s="566"/>
      <c r="B289" s="566"/>
      <c r="C289" s="566" t="s">
        <v>1751</v>
      </c>
      <c r="D289" s="566"/>
      <c r="E289" s="566"/>
      <c r="F289" s="566"/>
      <c r="G289" s="567" t="s">
        <v>2895</v>
      </c>
      <c r="H289" s="567" t="s">
        <v>1673</v>
      </c>
      <c r="I289" s="677"/>
      <c r="J289" s="294" t="str">
        <f>IF(ISBLANK(HLOOKUP(CaseName,CaseData,MATCH($G289,cases!$G$4:$G$2494,0),FALSE)),"",HLOOKUP(CaseName,CaseData,MATCH($G289,cases!$G$4:$G$2494,0),FALSE))</f>
        <v/>
      </c>
      <c r="K289" s="576">
        <f>1/(L284*(L290+L291))</f>
        <v>724.26765512559666</v>
      </c>
      <c r="L289" s="298">
        <f t="shared" si="15"/>
        <v>724.26765512559666</v>
      </c>
      <c r="M289" s="567" t="s">
        <v>1673</v>
      </c>
      <c r="N289" s="566"/>
      <c r="O289" s="566"/>
      <c r="P289" s="604"/>
    </row>
    <row r="290" spans="1:16" customFormat="1" ht="12.75" customHeight="1" x14ac:dyDescent="0.3">
      <c r="A290" s="566"/>
      <c r="B290" s="566"/>
      <c r="C290" s="566"/>
      <c r="D290" s="566" t="s">
        <v>1641</v>
      </c>
      <c r="E290" s="566"/>
      <c r="F290" s="566"/>
      <c r="G290" s="567" t="s">
        <v>2896</v>
      </c>
      <c r="H290" s="567" t="s">
        <v>291</v>
      </c>
      <c r="I290" s="677"/>
      <c r="J290" s="294" t="str">
        <f>IF(ISBLANK(HLOOKUP(CaseName,CaseData,MATCH($G290,cases!$G$4:$G$2494,0),FALSE)),"",HLOOKUP(CaseName,CaseData,MATCH($G290,cases!$G$4:$G$2494,0),FALSE))</f>
        <v/>
      </c>
      <c r="K290" s="576">
        <f>L256^-(1/2)</f>
        <v>7.2668686189281051E-3</v>
      </c>
      <c r="L290" s="298">
        <f t="shared" si="15"/>
        <v>7.2668686189281051E-3</v>
      </c>
      <c r="M290" s="567" t="s">
        <v>291</v>
      </c>
      <c r="N290" s="566"/>
      <c r="O290" s="566"/>
      <c r="P290" s="604"/>
    </row>
    <row r="291" spans="1:16" customFormat="1" ht="12.75" customHeight="1" x14ac:dyDescent="0.3">
      <c r="A291" s="566"/>
      <c r="B291" s="566"/>
      <c r="C291" s="566"/>
      <c r="D291" s="566" t="s">
        <v>1645</v>
      </c>
      <c r="E291" s="566"/>
      <c r="F291" s="566"/>
      <c r="G291" s="567" t="s">
        <v>2897</v>
      </c>
      <c r="H291" s="567" t="s">
        <v>291</v>
      </c>
      <c r="I291" s="677"/>
      <c r="J291" s="294" t="str">
        <f>IF(ISBLANK(HLOOKUP(CaseName,CaseData,MATCH($G291,cases!$G$4:$G$2494,0),FALSE)),"",HLOOKUP(CaseName,CaseData,MATCH($G291,cases!$G$4:$G$2494,0),FALSE))</f>
        <v/>
      </c>
      <c r="K291" s="576">
        <f>10^(-3/L254)</f>
        <v>0</v>
      </c>
      <c r="L291" s="298">
        <f t="shared" si="15"/>
        <v>0</v>
      </c>
      <c r="M291" s="567" t="s">
        <v>291</v>
      </c>
      <c r="N291" s="566"/>
      <c r="O291" s="566"/>
      <c r="P291" s="604"/>
    </row>
    <row r="292" spans="1:16" customFormat="1" ht="12.75" customHeight="1" x14ac:dyDescent="0.3">
      <c r="A292" s="566" t="s">
        <v>2898</v>
      </c>
      <c r="B292" s="566"/>
      <c r="C292" s="566"/>
      <c r="D292" s="566"/>
      <c r="E292" s="566"/>
      <c r="F292" s="566"/>
      <c r="G292" s="566" t="s">
        <v>2899</v>
      </c>
      <c r="H292" s="567" t="s">
        <v>335</v>
      </c>
      <c r="I292" s="677"/>
      <c r="J292" s="294" t="str">
        <f>IF(ISBLANK(HLOOKUP(CaseName,CaseData,MATCH($G292,cases!$G$4:$G$2494,0),FALSE)),"",HLOOKUP(CaseName,CaseData,MATCH($G292,cases!$G$4:$G$2494,0),FALSE))</f>
        <v/>
      </c>
      <c r="K292" s="576">
        <f>(L91*L12*L11)/L5</f>
        <v>5.0000015000004499E-7</v>
      </c>
      <c r="L292" s="298">
        <f t="shared" si="15"/>
        <v>5.0000015000004499E-7</v>
      </c>
      <c r="M292" s="567" t="s">
        <v>335</v>
      </c>
      <c r="N292" s="566"/>
      <c r="O292" s="604"/>
      <c r="P292" s="566"/>
    </row>
    <row r="293" spans="1:16" customFormat="1" ht="12.75" customHeight="1" x14ac:dyDescent="0.3">
      <c r="A293" s="566" t="s">
        <v>2900</v>
      </c>
      <c r="B293" s="566"/>
      <c r="C293" s="566"/>
      <c r="D293" s="566"/>
      <c r="E293" s="566"/>
      <c r="F293" s="566"/>
      <c r="G293" s="567" t="s">
        <v>2901</v>
      </c>
      <c r="H293" s="567" t="s">
        <v>335</v>
      </c>
      <c r="I293" s="677"/>
      <c r="J293" s="294" t="str">
        <f>IF(ISBLANK(HLOOKUP(CaseName,CaseData,MATCH($G293,cases!$G$4:$G$2494,0),FALSE)),"",HLOOKUP(CaseName,CaseData,MATCH($G293,cases!$G$4:$G$2494,0),FALSE))</f>
        <v/>
      </c>
      <c r="K293" s="576">
        <f>(L92*L13*L11)/(L6)</f>
        <v>3.699476841282254E-5</v>
      </c>
      <c r="L293" s="298">
        <f t="shared" si="15"/>
        <v>3.699476841282254E-5</v>
      </c>
      <c r="M293" s="567" t="s">
        <v>335</v>
      </c>
      <c r="N293" s="566"/>
      <c r="O293" s="604"/>
      <c r="P293" s="566"/>
    </row>
    <row r="294" spans="1:16" customFormat="1" ht="12.75" customHeight="1" x14ac:dyDescent="0.3">
      <c r="A294" s="566" t="s">
        <v>2902</v>
      </c>
      <c r="B294" s="566"/>
      <c r="C294" s="566"/>
      <c r="D294" s="566"/>
      <c r="E294" s="566"/>
      <c r="F294" s="566"/>
      <c r="G294" s="567" t="s">
        <v>2903</v>
      </c>
      <c r="H294" s="567" t="s">
        <v>335</v>
      </c>
      <c r="I294" s="677"/>
      <c r="J294" s="294" t="str">
        <f>IF(ISBLANK(HLOOKUP(CaseName,CaseData,MATCH($G294,cases!$G$4:$G$2494,0),FALSE)),"",HLOOKUP(CaseName,CaseData,MATCH($G294,cases!$G$4:$G$2494,0),FALSE))</f>
        <v/>
      </c>
      <c r="K294" s="576">
        <f>(L92*L13*L11)/(L6)</f>
        <v>3.699476841282254E-5</v>
      </c>
      <c r="L294" s="298">
        <f t="shared" si="15"/>
        <v>3.699476841282254E-5</v>
      </c>
      <c r="M294" s="567" t="s">
        <v>335</v>
      </c>
      <c r="N294" s="566"/>
      <c r="O294" s="604"/>
      <c r="P294" s="566"/>
    </row>
    <row r="295" spans="1:16" customFormat="1" ht="12.75" customHeight="1" x14ac:dyDescent="0.3">
      <c r="A295" s="566" t="s">
        <v>2904</v>
      </c>
      <c r="B295" s="566"/>
      <c r="C295" s="566"/>
      <c r="D295" s="566"/>
      <c r="E295" s="566"/>
      <c r="F295" s="566"/>
      <c r="G295" s="567" t="s">
        <v>2905</v>
      </c>
      <c r="H295" s="567" t="s">
        <v>335</v>
      </c>
      <c r="I295" s="677"/>
      <c r="J295" s="294" t="str">
        <f>IF(ISBLANK(HLOOKUP(CaseName,CaseData,MATCH($G295,cases!$G$4:$G$2494,0),FALSE)),"",HLOOKUP(CaseName,CaseData,MATCH($G295,cases!$G$4:$G$2494,0),FALSE))</f>
        <v/>
      </c>
      <c r="K295" s="576">
        <f>(L92*L13*L11)/(L6)</f>
        <v>3.699476841282254E-5</v>
      </c>
      <c r="L295" s="298">
        <f t="shared" si="15"/>
        <v>3.699476841282254E-5</v>
      </c>
      <c r="M295" s="567" t="s">
        <v>335</v>
      </c>
      <c r="N295" s="566"/>
      <c r="O295" s="604"/>
      <c r="P295" s="566"/>
    </row>
    <row r="296" spans="1:16" customFormat="1" ht="12.75" customHeight="1" x14ac:dyDescent="0.3">
      <c r="A296" s="566" t="s">
        <v>2906</v>
      </c>
      <c r="B296" s="566"/>
      <c r="C296" s="566"/>
      <c r="D296" s="566"/>
      <c r="E296" s="566"/>
      <c r="F296" s="566"/>
      <c r="G296" s="567" t="s">
        <v>2907</v>
      </c>
      <c r="H296" s="567" t="s">
        <v>335</v>
      </c>
      <c r="I296" s="677"/>
      <c r="J296" s="294" t="str">
        <f>IF(ISBLANK(HLOOKUP(CaseName,CaseData,MATCH($G296,cases!$G$4:$G$2494,0),FALSE)),"",HLOOKUP(CaseName,CaseData,MATCH($G296,cases!$G$4:$G$2494,0),FALSE))</f>
        <v/>
      </c>
      <c r="K296" s="576">
        <f>(L92*L12*L11)/(L6)</f>
        <v>3.699476841282254E-5</v>
      </c>
      <c r="L296" s="298">
        <f t="shared" si="15"/>
        <v>3.699476841282254E-5</v>
      </c>
      <c r="M296" s="567" t="s">
        <v>335</v>
      </c>
      <c r="N296" s="566"/>
      <c r="O296" s="604"/>
      <c r="P296" s="566"/>
    </row>
    <row r="297" spans="1:16" customFormat="1" ht="12.75" customHeight="1" x14ac:dyDescent="0.3">
      <c r="A297" s="566" t="s">
        <v>2908</v>
      </c>
      <c r="B297" s="566"/>
      <c r="C297" s="566"/>
      <c r="D297" s="566"/>
      <c r="E297" s="566"/>
      <c r="F297" s="566"/>
      <c r="G297" s="567" t="s">
        <v>2909</v>
      </c>
      <c r="H297" s="567" t="s">
        <v>335</v>
      </c>
      <c r="I297" s="677"/>
      <c r="J297" s="294" t="str">
        <f>IF(ISBLANK(HLOOKUP(CaseName,CaseData,MATCH($G297,cases!$G$4:$G$2494,0),FALSE)),"",HLOOKUP(CaseName,CaseData,MATCH($G297,cases!$G$4:$G$2494,0),FALSE))</f>
        <v/>
      </c>
      <c r="K297" s="576">
        <f>(L92*L12*L11)/(L6)</f>
        <v>3.699476841282254E-5</v>
      </c>
      <c r="L297" s="298">
        <f t="shared" si="15"/>
        <v>3.699476841282254E-5</v>
      </c>
      <c r="M297" s="567" t="s">
        <v>335</v>
      </c>
      <c r="N297" s="566"/>
      <c r="O297" s="604"/>
      <c r="P297" s="566"/>
    </row>
    <row r="298" spans="1:16" customFormat="1" ht="12.75" customHeight="1" x14ac:dyDescent="0.3">
      <c r="A298" s="566" t="s">
        <v>2910</v>
      </c>
      <c r="B298" s="566"/>
      <c r="C298" s="566"/>
      <c r="D298" s="566"/>
      <c r="E298" s="566"/>
      <c r="F298" s="566"/>
      <c r="G298" s="567" t="s">
        <v>2911</v>
      </c>
      <c r="H298" s="567" t="s">
        <v>335</v>
      </c>
      <c r="I298" s="677"/>
      <c r="J298" s="294" t="str">
        <f>IF(ISBLANK(HLOOKUP(CaseName,CaseData,MATCH($G298,cases!$G$4:$G$2494,0),FALSE)),"",HLOOKUP(CaseName,CaseData,MATCH($G298,cases!$G$4:$G$2494,0),FALSE))</f>
        <v/>
      </c>
      <c r="K298" s="576">
        <f>(L92*L12*L11)/(L6)</f>
        <v>3.699476841282254E-5</v>
      </c>
      <c r="L298" s="298">
        <f t="shared" si="15"/>
        <v>3.699476841282254E-5</v>
      </c>
      <c r="M298" s="567" t="s">
        <v>335</v>
      </c>
      <c r="N298" s="566"/>
      <c r="O298" s="566"/>
      <c r="P298" s="797"/>
    </row>
    <row r="299" spans="1:16" customFormat="1" ht="12.75" customHeight="1" x14ac:dyDescent="0.3">
      <c r="A299" s="566" t="s">
        <v>2912</v>
      </c>
      <c r="B299" s="566"/>
      <c r="C299" s="566"/>
      <c r="D299" s="566"/>
      <c r="E299" s="566"/>
      <c r="F299" s="566"/>
      <c r="G299" s="567" t="s">
        <v>2913</v>
      </c>
      <c r="H299" s="567" t="s">
        <v>335</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335</v>
      </c>
      <c r="N299" s="566" t="s">
        <v>2914</v>
      </c>
      <c r="O299" s="566"/>
      <c r="P299" s="797"/>
    </row>
    <row r="300" spans="1:16" customFormat="1" ht="12.75" customHeight="1" x14ac:dyDescent="0.3">
      <c r="A300" s="566" t="s">
        <v>2915</v>
      </c>
      <c r="B300" s="566"/>
      <c r="C300" s="566"/>
      <c r="D300" s="566"/>
      <c r="E300" s="566"/>
      <c r="F300" s="566"/>
      <c r="G300" s="567" t="s">
        <v>2916</v>
      </c>
      <c r="H300" s="567" t="s">
        <v>335</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335</v>
      </c>
      <c r="N300" s="566" t="s">
        <v>2914</v>
      </c>
      <c r="O300" s="566"/>
      <c r="P300" s="797"/>
    </row>
    <row r="301" spans="1:16" customFormat="1" ht="12.75" customHeight="1" x14ac:dyDescent="0.3">
      <c r="A301" s="566" t="s">
        <v>2917</v>
      </c>
      <c r="B301" s="566"/>
      <c r="C301" s="566"/>
      <c r="D301" s="566"/>
      <c r="E301" s="566"/>
      <c r="F301" s="566"/>
      <c r="G301" s="567" t="s">
        <v>2918</v>
      </c>
      <c r="H301" s="567" t="s">
        <v>335</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335</v>
      </c>
      <c r="N301" s="566" t="s">
        <v>2914</v>
      </c>
      <c r="O301" s="566"/>
      <c r="P301" s="797"/>
    </row>
    <row r="302" spans="1:16" customFormat="1" ht="12.75" customHeight="1" x14ac:dyDescent="0.3">
      <c r="A302" s="566" t="s">
        <v>2919</v>
      </c>
      <c r="B302" s="566"/>
      <c r="C302" s="566"/>
      <c r="D302" s="566"/>
      <c r="E302" s="566"/>
      <c r="F302" s="566"/>
      <c r="G302" s="567" t="s">
        <v>2920</v>
      </c>
      <c r="H302" s="567" t="s">
        <v>335</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335</v>
      </c>
      <c r="N302" s="566"/>
      <c r="O302" s="566"/>
      <c r="P302" s="797"/>
    </row>
    <row r="303" spans="1:16" customFormat="1" ht="12.75" customHeight="1" x14ac:dyDescent="0.3">
      <c r="A303" s="566" t="s">
        <v>2921</v>
      </c>
      <c r="B303" s="566"/>
      <c r="C303" s="566"/>
      <c r="D303" s="566"/>
      <c r="E303" s="566"/>
      <c r="F303" s="566"/>
      <c r="G303" s="567" t="s">
        <v>2922</v>
      </c>
      <c r="H303" s="567" t="s">
        <v>335</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335</v>
      </c>
      <c r="N303" s="566"/>
      <c r="O303" s="566"/>
      <c r="P303" s="797"/>
    </row>
    <row r="304" spans="1:16" customFormat="1" ht="12.75" customHeight="1" x14ac:dyDescent="0.3">
      <c r="A304" s="566" t="s">
        <v>2923</v>
      </c>
      <c r="B304" s="566"/>
      <c r="C304" s="566"/>
      <c r="D304" s="566"/>
      <c r="E304" s="566"/>
      <c r="F304" s="566"/>
      <c r="G304" s="567" t="s">
        <v>2924</v>
      </c>
      <c r="H304" s="567" t="s">
        <v>335</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335</v>
      </c>
      <c r="N304" s="566"/>
      <c r="O304" s="566"/>
      <c r="P304" s="797"/>
    </row>
    <row r="305" spans="1:20" customFormat="1" ht="12.75" customHeight="1" x14ac:dyDescent="0.3">
      <c r="A305" s="566" t="s">
        <v>2925</v>
      </c>
      <c r="B305" s="566"/>
      <c r="C305" s="566"/>
      <c r="D305" s="566"/>
      <c r="E305" s="566"/>
      <c r="F305" s="566"/>
      <c r="G305" s="567" t="s">
        <v>2926</v>
      </c>
      <c r="H305" s="567" t="s">
        <v>335</v>
      </c>
      <c r="I305" s="677"/>
      <c r="J305" s="294" t="str">
        <f>IF(ISBLANK(HLOOKUP(CaseName,CaseData,MATCH($G305,cases!$G$4:$G$2494,0),FALSE)),"",HLOOKUP(CaseName,CaseData,MATCH($G305,cases!$G$4:$G$2494,0),FALSE))</f>
        <v/>
      </c>
      <c r="K305" s="576">
        <f>$L$108/$L$17</f>
        <v>9.6420777940804072E-9</v>
      </c>
      <c r="L305" s="298">
        <f t="shared" ref="L305:L310" si="16">IF(ISBLANK(I305),IF(ISNUMBER(J305)=FALSE,K305,J305),I305)</f>
        <v>9.6420777940804072E-9</v>
      </c>
      <c r="M305" s="567" t="s">
        <v>335</v>
      </c>
      <c r="N305" s="566" t="s">
        <v>1843</v>
      </c>
      <c r="O305" s="566"/>
      <c r="P305" s="566"/>
    </row>
    <row r="306" spans="1:20" customFormat="1" ht="12.75" customHeight="1" x14ac:dyDescent="0.3">
      <c r="A306" s="566" t="s">
        <v>2927</v>
      </c>
      <c r="B306" s="566"/>
      <c r="C306" s="566"/>
      <c r="D306" s="566"/>
      <c r="E306" s="566"/>
      <c r="F306" s="566"/>
      <c r="G306" s="567" t="s">
        <v>2928</v>
      </c>
      <c r="H306" s="567" t="s">
        <v>335</v>
      </c>
      <c r="I306" s="677"/>
      <c r="J306" s="294" t="str">
        <f>IF(ISBLANK(HLOOKUP(CaseName,CaseData,MATCH($G306,cases!$G$4:$G$2494,0),FALSE)),"",HLOOKUP(CaseName,CaseData,MATCH($G306,cases!$G$4:$G$2494,0),FALSE))</f>
        <v/>
      </c>
      <c r="K306" s="576">
        <f>$L$108/$L$17</f>
        <v>9.6420777940804072E-9</v>
      </c>
      <c r="L306" s="298">
        <f t="shared" si="16"/>
        <v>9.6420777940804072E-9</v>
      </c>
      <c r="M306" s="567" t="s">
        <v>335</v>
      </c>
      <c r="N306" s="566" t="s">
        <v>1843</v>
      </c>
      <c r="O306" s="604"/>
      <c r="P306" s="566"/>
    </row>
    <row r="307" spans="1:20" customFormat="1" ht="12.75" customHeight="1" x14ac:dyDescent="0.3">
      <c r="A307" s="566" t="s">
        <v>2929</v>
      </c>
      <c r="B307" s="566"/>
      <c r="C307" s="566"/>
      <c r="D307" s="566"/>
      <c r="E307" s="566"/>
      <c r="F307" s="566"/>
      <c r="G307" s="567" t="s">
        <v>2930</v>
      </c>
      <c r="H307" s="567" t="s">
        <v>335</v>
      </c>
      <c r="I307" s="677"/>
      <c r="J307" s="294" t="str">
        <f>IF(ISBLANK(HLOOKUP(CaseName,CaseData,MATCH($G307,cases!$G$4:$G$2494,0),FALSE)),"",HLOOKUP(CaseName,CaseData,MATCH($G307,cases!$G$4:$G$2494,0),FALSE))</f>
        <v/>
      </c>
      <c r="K307" s="576">
        <f>$L$108/$L$17</f>
        <v>9.6420777940804072E-9</v>
      </c>
      <c r="L307" s="298">
        <f t="shared" si="16"/>
        <v>9.6420777940804072E-9</v>
      </c>
      <c r="M307" s="567" t="s">
        <v>335</v>
      </c>
      <c r="N307" s="566" t="s">
        <v>1843</v>
      </c>
      <c r="O307" s="604"/>
      <c r="P307" s="566"/>
    </row>
    <row r="308" spans="1:20" customFormat="1" ht="12.75" customHeight="1" x14ac:dyDescent="0.3">
      <c r="A308" s="566" t="s">
        <v>1860</v>
      </c>
      <c r="B308" s="566"/>
      <c r="C308" s="566"/>
      <c r="D308" s="566"/>
      <c r="E308" s="566"/>
      <c r="F308" s="566"/>
      <c r="G308" s="567" t="s">
        <v>2931</v>
      </c>
      <c r="H308" s="567" t="s">
        <v>335</v>
      </c>
      <c r="I308" s="677"/>
      <c r="J308" s="294" t="str">
        <f>IF(ISBLANK(HLOOKUP(CaseName,CaseData,MATCH($G308,cases!$G$4:$G$2494,0),FALSE)),"",HLOOKUP(CaseName,CaseData,MATCH($G308,cases!$G$4:$G$2494,0),FALSE))</f>
        <v/>
      </c>
      <c r="K308" s="576">
        <f>((L120*L92*L121+L119)/L18)</f>
        <v>1.4105196107430861E-7</v>
      </c>
      <c r="L308" s="298">
        <f t="shared" si="16"/>
        <v>1.4105196107430861E-7</v>
      </c>
      <c r="M308" s="567" t="s">
        <v>335</v>
      </c>
      <c r="N308" s="566" t="s">
        <v>1862</v>
      </c>
      <c r="O308" s="679"/>
      <c r="P308" s="566"/>
    </row>
    <row r="309" spans="1:20" customFormat="1" ht="12.75" customHeight="1" x14ac:dyDescent="0.3">
      <c r="A309" s="566" t="s">
        <v>1867</v>
      </c>
      <c r="B309" s="566"/>
      <c r="C309" s="566"/>
      <c r="D309" s="566"/>
      <c r="E309" s="566"/>
      <c r="F309" s="566"/>
      <c r="G309" s="567" t="s">
        <v>2932</v>
      </c>
      <c r="H309" s="567" t="s">
        <v>335</v>
      </c>
      <c r="I309" s="677"/>
      <c r="J309" s="294" t="str">
        <f>IF(ISBLANK(HLOOKUP(CaseName,CaseData,MATCH($G309,cases!$G$4:$G$2494,0),FALSE)),"",HLOOKUP(CaseName,CaseData,MATCH($G309,cases!$G$4:$G$2494,0),FALSE))</f>
        <v/>
      </c>
      <c r="K309" s="576">
        <f>((L120*L92*L121+L119)/L18)</f>
        <v>1.4105196107430861E-7</v>
      </c>
      <c r="L309" s="298">
        <f t="shared" si="16"/>
        <v>1.4105196107430861E-7</v>
      </c>
      <c r="M309" s="567" t="s">
        <v>335</v>
      </c>
      <c r="N309" s="566" t="s">
        <v>1862</v>
      </c>
      <c r="O309" s="604"/>
      <c r="P309" s="566"/>
    </row>
    <row r="310" spans="1:20" customFormat="1" ht="12.75" customHeight="1" x14ac:dyDescent="0.3">
      <c r="A310" s="566" t="s">
        <v>1873</v>
      </c>
      <c r="B310" s="566"/>
      <c r="C310" s="566"/>
      <c r="D310" s="566"/>
      <c r="E310" s="566"/>
      <c r="F310" s="566"/>
      <c r="G310" s="567" t="s">
        <v>2933</v>
      </c>
      <c r="H310" s="567" t="s">
        <v>335</v>
      </c>
      <c r="I310" s="677"/>
      <c r="J310" s="294" t="str">
        <f>IF(ISBLANK(HLOOKUP(CaseName,CaseData,MATCH($G310,cases!$G$4:$G$2494,0),FALSE)),"",HLOOKUP(CaseName,CaseData,MATCH($G310,cases!$G$4:$G$2494,0),FALSE))</f>
        <v/>
      </c>
      <c r="K310" s="626">
        <f>(L119/L18)</f>
        <v>1.9025875190258751E-11</v>
      </c>
      <c r="L310" s="298">
        <f t="shared" si="16"/>
        <v>1.9025875190258751E-11</v>
      </c>
      <c r="M310" s="567" t="s">
        <v>335</v>
      </c>
      <c r="N310" s="566" t="s">
        <v>1875</v>
      </c>
      <c r="O310" s="604"/>
      <c r="P310" s="566"/>
    </row>
    <row r="311" spans="1:20" customFormat="1" ht="12.75" customHeight="1" x14ac:dyDescent="0.3">
      <c r="A311" s="172" t="s">
        <v>2934</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1315</v>
      </c>
      <c r="B312" s="566"/>
      <c r="C312" s="566"/>
      <c r="D312" s="566"/>
      <c r="E312" s="566"/>
      <c r="F312" s="566"/>
      <c r="G312" s="567" t="s">
        <v>2935</v>
      </c>
      <c r="H312" s="567" t="s">
        <v>617</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1041</v>
      </c>
      <c r="N312" s="567"/>
      <c r="O312" s="604"/>
      <c r="P312" s="577"/>
      <c r="Q312" s="625"/>
      <c r="R312" s="386"/>
      <c r="S312" s="802"/>
      <c r="T312" s="386"/>
    </row>
    <row r="313" spans="1:20" customFormat="1" ht="12.75" customHeight="1" x14ac:dyDescent="0.3">
      <c r="A313" s="567" t="s">
        <v>1315</v>
      </c>
      <c r="B313" s="566"/>
      <c r="C313" s="566"/>
      <c r="D313" s="566"/>
      <c r="E313" s="566"/>
      <c r="F313" s="566"/>
      <c r="G313" s="567" t="s">
        <v>2936</v>
      </c>
      <c r="H313" s="567" t="s">
        <v>617</v>
      </c>
      <c r="I313" s="681"/>
      <c r="J313" s="294" t="str">
        <f>IF(ISBLANK(HLOOKUP(CaseName,CaseData,MATCH($G313,cases!$G$4:$G$2494,0),FALSE)),"",HLOOKUP(CaseName,CaseData,MATCH($G313,cases!$G$4:$G$2494,0),FALSE))</f>
        <v/>
      </c>
      <c r="K313" s="576">
        <f>L130+kdegA.a</f>
        <v>3.663258818281463E-10</v>
      </c>
      <c r="L313" s="298">
        <f t="shared" si="17"/>
        <v>3.663258818281463E-10</v>
      </c>
      <c r="M313" s="566" t="s">
        <v>1041</v>
      </c>
      <c r="N313" s="567"/>
      <c r="O313" s="604"/>
      <c r="P313" s="577"/>
      <c r="Q313" s="576"/>
      <c r="R313" s="386"/>
      <c r="S313" s="802"/>
      <c r="T313" s="386"/>
    </row>
    <row r="314" spans="1:20" customFormat="1" ht="12.75" customHeight="1" x14ac:dyDescent="0.3">
      <c r="A314" s="567" t="s">
        <v>1315</v>
      </c>
      <c r="B314" s="566"/>
      <c r="C314" s="566"/>
      <c r="D314" s="566"/>
      <c r="E314" s="566"/>
      <c r="F314" s="566"/>
      <c r="G314" s="567" t="s">
        <v>2937</v>
      </c>
      <c r="H314" s="567" t="s">
        <v>617</v>
      </c>
      <c r="I314" s="681"/>
      <c r="J314" s="294" t="str">
        <f>IF(ISBLANK(HLOOKUP(CaseName,CaseData,MATCH($G314,cases!$G$4:$G$2494,0),FALSE)),"",HLOOKUP(CaseName,CaseData,MATCH($G314,cases!$G$4:$G$2494,0),FALSE))</f>
        <v/>
      </c>
      <c r="K314" s="576">
        <f>L130+kdegP.a</f>
        <v>3.663258818281463E-10</v>
      </c>
      <c r="L314" s="298">
        <f t="shared" si="17"/>
        <v>3.663258818281463E-10</v>
      </c>
      <c r="M314" s="566" t="s">
        <v>1041</v>
      </c>
      <c r="N314" s="567"/>
      <c r="O314" s="604"/>
      <c r="P314" s="577"/>
      <c r="Q314" s="576"/>
      <c r="R314" s="386"/>
      <c r="S314" s="802"/>
      <c r="T314" s="386"/>
    </row>
    <row r="315" spans="1:20" customFormat="1" ht="12.75" customHeight="1" x14ac:dyDescent="0.3">
      <c r="A315" s="567" t="s">
        <v>2712</v>
      </c>
      <c r="B315" s="566"/>
      <c r="C315" s="566"/>
      <c r="D315" s="566"/>
      <c r="E315" s="566"/>
      <c r="F315" s="566"/>
      <c r="G315" s="567" t="s">
        <v>2938</v>
      </c>
      <c r="H315" s="567" t="s">
        <v>617</v>
      </c>
      <c r="I315" s="681"/>
      <c r="J315" s="294" t="str">
        <f>IF(ISBLANK(HLOOKUP(CaseName,CaseData,MATCH($G315,cases!$G$4:$G$2494,0),FALSE)),"",HLOOKUP(CaseName,CaseData,MATCH($G315,cases!$G$4:$G$2494,0),FALSE))</f>
        <v/>
      </c>
      <c r="K315" s="576">
        <f>kdegS.w2</f>
        <v>0</v>
      </c>
      <c r="L315" s="298">
        <f t="shared" si="17"/>
        <v>0</v>
      </c>
      <c r="M315" s="566" t="s">
        <v>1885</v>
      </c>
      <c r="N315" s="567"/>
      <c r="O315" s="604"/>
      <c r="P315" s="577"/>
      <c r="Q315" s="576"/>
      <c r="R315" s="386"/>
      <c r="S315" s="802"/>
      <c r="T315" s="386"/>
    </row>
    <row r="316" spans="1:20" customFormat="1" ht="12.75" customHeight="1" x14ac:dyDescent="0.3">
      <c r="A316" s="567" t="s">
        <v>2712</v>
      </c>
      <c r="B316" s="566"/>
      <c r="C316" s="566"/>
      <c r="D316" s="566"/>
      <c r="E316" s="566"/>
      <c r="F316" s="566"/>
      <c r="G316" s="567" t="s">
        <v>2939</v>
      </c>
      <c r="H316" s="567" t="s">
        <v>617</v>
      </c>
      <c r="I316" s="681"/>
      <c r="J316" s="294" t="str">
        <f>IF(ISBLANK(HLOOKUP(CaseName,CaseData,MATCH($G316,cases!$G$4:$G$2494,0),FALSE)),"",HLOOKUP(CaseName,CaseData,MATCH($G316,cases!$G$4:$G$2494,0),FALSE))</f>
        <v/>
      </c>
      <c r="K316" s="576">
        <f>kdegA.w2</f>
        <v>0</v>
      </c>
      <c r="L316" s="298">
        <f t="shared" si="17"/>
        <v>0</v>
      </c>
      <c r="M316" s="566" t="s">
        <v>1885</v>
      </c>
      <c r="N316" s="567"/>
      <c r="O316" s="604"/>
      <c r="P316" s="577"/>
      <c r="Q316" s="576"/>
      <c r="R316" s="386"/>
      <c r="S316" s="802"/>
      <c r="T316" s="386"/>
    </row>
    <row r="317" spans="1:20" customFormat="1" ht="12.75" customHeight="1" x14ac:dyDescent="0.3">
      <c r="A317" s="567" t="s">
        <v>2712</v>
      </c>
      <c r="B317" s="566"/>
      <c r="C317" s="566"/>
      <c r="D317" s="566"/>
      <c r="E317" s="566"/>
      <c r="F317" s="566"/>
      <c r="G317" s="567" t="s">
        <v>2940</v>
      </c>
      <c r="H317" s="567" t="s">
        <v>617</v>
      </c>
      <c r="I317" s="681"/>
      <c r="J317" s="294" t="str">
        <f>IF(ISBLANK(HLOOKUP(CaseName,CaseData,MATCH($G317,cases!$G$4:$G$2494,0),FALSE)),"",HLOOKUP(CaseName,CaseData,MATCH($G317,cases!$G$4:$G$2494,0),FALSE))</f>
        <v/>
      </c>
      <c r="K317" s="576">
        <f>kdegP.w2</f>
        <v>0</v>
      </c>
      <c r="L317" s="298">
        <f t="shared" si="17"/>
        <v>0</v>
      </c>
      <c r="M317" s="566" t="s">
        <v>1885</v>
      </c>
      <c r="N317" s="567"/>
      <c r="O317" s="604"/>
      <c r="P317" s="577"/>
      <c r="Q317" s="576"/>
      <c r="R317" s="386"/>
      <c r="S317" s="802"/>
      <c r="T317" s="386"/>
    </row>
    <row r="318" spans="1:20" customFormat="1" ht="12.75" customHeight="1" x14ac:dyDescent="0.3">
      <c r="A318" s="567" t="s">
        <v>2714</v>
      </c>
      <c r="B318" s="566"/>
      <c r="C318" s="566"/>
      <c r="D318" s="566"/>
      <c r="E318" s="566"/>
      <c r="F318" s="566"/>
      <c r="G318" s="567" t="s">
        <v>2941</v>
      </c>
      <c r="H318" s="567" t="s">
        <v>617</v>
      </c>
      <c r="I318" s="681"/>
      <c r="J318" s="294" t="str">
        <f>IF(ISBLANK(HLOOKUP(CaseName,CaseData,MATCH($G318,cases!$G$4:$G$2494,0),FALSE)),"",HLOOKUP(CaseName,CaseData,MATCH($G318,cases!$G$4:$G$2494,0),FALSE))</f>
        <v/>
      </c>
      <c r="K318" s="576">
        <f>kdegS.w3</f>
        <v>0</v>
      </c>
      <c r="L318" s="298">
        <f t="shared" si="17"/>
        <v>0</v>
      </c>
      <c r="M318" s="566" t="s">
        <v>1885</v>
      </c>
      <c r="N318" s="567"/>
      <c r="O318" s="604"/>
      <c r="P318" s="577"/>
      <c r="Q318" s="576"/>
      <c r="R318" s="386"/>
      <c r="S318" s="802"/>
      <c r="T318" s="386"/>
    </row>
    <row r="319" spans="1:20" customFormat="1" ht="12.75" customHeight="1" x14ac:dyDescent="0.3">
      <c r="A319" s="567" t="s">
        <v>2714</v>
      </c>
      <c r="B319" s="566"/>
      <c r="C319" s="566"/>
      <c r="D319" s="566"/>
      <c r="E319" s="566"/>
      <c r="F319" s="566"/>
      <c r="G319" s="567" t="s">
        <v>2942</v>
      </c>
      <c r="H319" s="567" t="s">
        <v>617</v>
      </c>
      <c r="I319" s="681"/>
      <c r="J319" s="294" t="str">
        <f>IF(ISBLANK(HLOOKUP(CaseName,CaseData,MATCH($G319,cases!$G$4:$G$2494,0),FALSE)),"",HLOOKUP(CaseName,CaseData,MATCH($G319,cases!$G$4:$G$2494,0),FALSE))</f>
        <v/>
      </c>
      <c r="K319" s="576">
        <f>kdegA.w3</f>
        <v>0</v>
      </c>
      <c r="L319" s="298">
        <f t="shared" si="17"/>
        <v>0</v>
      </c>
      <c r="M319" s="566" t="s">
        <v>1885</v>
      </c>
      <c r="N319" s="567"/>
      <c r="O319" s="604"/>
      <c r="P319" s="577"/>
      <c r="Q319" s="576"/>
      <c r="R319" s="386"/>
      <c r="S319" s="802"/>
      <c r="T319" s="386"/>
    </row>
    <row r="320" spans="1:20" customFormat="1" ht="12.75" customHeight="1" x14ac:dyDescent="0.3">
      <c r="A320" s="567" t="s">
        <v>2714</v>
      </c>
      <c r="B320" s="566"/>
      <c r="C320" s="566"/>
      <c r="D320" s="566"/>
      <c r="E320" s="566"/>
      <c r="F320" s="566"/>
      <c r="G320" s="567" t="s">
        <v>2943</v>
      </c>
      <c r="H320" s="567" t="s">
        <v>617</v>
      </c>
      <c r="I320" s="681"/>
      <c r="J320" s="294" t="str">
        <f>IF(ISBLANK(HLOOKUP(CaseName,CaseData,MATCH($G320,cases!$G$4:$G$2494,0),FALSE)),"",HLOOKUP(CaseName,CaseData,MATCH($G320,cases!$G$4:$G$2494,0),FALSE))</f>
        <v/>
      </c>
      <c r="K320" s="576">
        <f>kdegP.w3</f>
        <v>0</v>
      </c>
      <c r="L320" s="298">
        <f t="shared" si="17"/>
        <v>0</v>
      </c>
      <c r="M320" s="566" t="s">
        <v>1885</v>
      </c>
      <c r="N320" s="567"/>
      <c r="O320" s="604"/>
      <c r="P320" s="577"/>
      <c r="Q320" s="576"/>
      <c r="R320" s="386"/>
      <c r="S320" s="802"/>
      <c r="T320" s="386"/>
    </row>
    <row r="321" spans="1:20" customFormat="1" ht="12.75" customHeight="1" x14ac:dyDescent="0.3">
      <c r="A321" s="567" t="s">
        <v>2716</v>
      </c>
      <c r="B321" s="566"/>
      <c r="C321" s="566"/>
      <c r="D321" s="566"/>
      <c r="E321" s="566"/>
      <c r="F321" s="566"/>
      <c r="G321" s="567" t="s">
        <v>2944</v>
      </c>
      <c r="H321" s="567" t="s">
        <v>617</v>
      </c>
      <c r="I321" s="681"/>
      <c r="J321" s="294" t="str">
        <f>IF(ISBLANK(HLOOKUP(CaseName,CaseData,MATCH($G321,cases!$G$4:$G$2494,0),FALSE)),"",HLOOKUP(CaseName,CaseData,MATCH($G321,cases!$G$4:$G$2494,0),FALSE))</f>
        <v/>
      </c>
      <c r="K321" s="576">
        <f>L328+kdegS.sd2</f>
        <v>2.983934314656158E-12</v>
      </c>
      <c r="L321" s="298">
        <f t="shared" si="17"/>
        <v>2.983934314656158E-12</v>
      </c>
      <c r="M321" s="566" t="s">
        <v>1885</v>
      </c>
      <c r="N321" s="567"/>
      <c r="O321" s="604"/>
      <c r="P321" s="802"/>
      <c r="Q321" s="576"/>
      <c r="R321" s="386"/>
      <c r="S321" s="802"/>
      <c r="T321" s="386"/>
    </row>
    <row r="322" spans="1:20" customFormat="1" ht="12.75" customHeight="1" x14ac:dyDescent="0.3">
      <c r="A322" s="567" t="s">
        <v>2716</v>
      </c>
      <c r="B322" s="566"/>
      <c r="C322" s="566"/>
      <c r="D322" s="566"/>
      <c r="E322" s="566"/>
      <c r="F322" s="566"/>
      <c r="G322" s="567" t="s">
        <v>2945</v>
      </c>
      <c r="H322" s="567" t="s">
        <v>617</v>
      </c>
      <c r="I322" s="681"/>
      <c r="J322" s="294" t="str">
        <f>IF(ISBLANK(HLOOKUP(CaseName,CaseData,MATCH($G322,cases!$G$4:$G$2494,0),FALSE)),"",HLOOKUP(CaseName,CaseData,MATCH($G322,cases!$G$4:$G$2494,0),FALSE))</f>
        <v/>
      </c>
      <c r="K322" s="576">
        <f>L328+kdegA.sd2</f>
        <v>2.983934314656158E-12</v>
      </c>
      <c r="L322" s="298">
        <f t="shared" si="17"/>
        <v>2.983934314656158E-12</v>
      </c>
      <c r="M322" s="566" t="s">
        <v>1885</v>
      </c>
      <c r="N322" s="567"/>
      <c r="O322" s="604"/>
      <c r="P322" s="802"/>
      <c r="Q322" s="576"/>
      <c r="R322" s="386"/>
      <c r="S322" s="802"/>
      <c r="T322" s="386"/>
    </row>
    <row r="323" spans="1:20" customFormat="1" ht="12.75" customHeight="1" x14ac:dyDescent="0.3">
      <c r="A323" s="567" t="s">
        <v>2716</v>
      </c>
      <c r="B323" s="566"/>
      <c r="C323" s="566"/>
      <c r="D323" s="566"/>
      <c r="E323" s="566"/>
      <c r="F323" s="566"/>
      <c r="G323" s="567" t="s">
        <v>2946</v>
      </c>
      <c r="H323" s="567" t="s">
        <v>617</v>
      </c>
      <c r="I323" s="681"/>
      <c r="J323" s="294" t="str">
        <f>IF(ISBLANK(HLOOKUP(CaseName,CaseData,MATCH($G323,cases!$G$4:$G$2494,0),FALSE)),"",HLOOKUP(CaseName,CaseData,MATCH($G323,cases!$G$4:$G$2494,0),FALSE))</f>
        <v/>
      </c>
      <c r="K323" s="576">
        <f>L328+kdegP.sd2</f>
        <v>2.983934314656158E-12</v>
      </c>
      <c r="L323" s="298">
        <f t="shared" si="17"/>
        <v>2.983934314656158E-12</v>
      </c>
      <c r="M323" s="566" t="s">
        <v>1885</v>
      </c>
      <c r="N323" s="567"/>
      <c r="O323" s="604"/>
      <c r="P323" s="802"/>
      <c r="Q323" s="576"/>
      <c r="R323" s="386"/>
      <c r="S323" s="802"/>
      <c r="T323" s="386"/>
    </row>
    <row r="324" spans="1:20" customFormat="1" ht="12.75" customHeight="1" x14ac:dyDescent="0.3">
      <c r="A324" s="567" t="s">
        <v>2718</v>
      </c>
      <c r="B324" s="566"/>
      <c r="C324" s="566"/>
      <c r="D324" s="566"/>
      <c r="E324" s="566"/>
      <c r="F324" s="566"/>
      <c r="G324" s="567" t="s">
        <v>2947</v>
      </c>
      <c r="H324" s="567" t="s">
        <v>617</v>
      </c>
      <c r="I324" s="681"/>
      <c r="J324" s="294" t="str">
        <f>IF(ISBLANK(HLOOKUP(CaseName,CaseData,MATCH($G324,cases!$G$4:$G$2494,0),FALSE)),"",HLOOKUP(CaseName,CaseData,MATCH($G324,cases!$G$4:$G$2494,0),FALSE))</f>
        <v/>
      </c>
      <c r="K324" s="576">
        <f>L327+kdegS.s1</f>
        <v>9.5027244249711473E-10</v>
      </c>
      <c r="L324" s="298">
        <f t="shared" si="17"/>
        <v>9.5027244249711473E-10</v>
      </c>
      <c r="M324" s="566" t="s">
        <v>1885</v>
      </c>
      <c r="N324" s="567"/>
      <c r="O324" s="604"/>
      <c r="P324" s="802"/>
      <c r="Q324" s="576"/>
      <c r="R324" s="386"/>
      <c r="S324" s="802"/>
      <c r="T324" s="386"/>
    </row>
    <row r="325" spans="1:20" customFormat="1" ht="12.75" customHeight="1" x14ac:dyDescent="0.3">
      <c r="A325" s="567" t="s">
        <v>2718</v>
      </c>
      <c r="B325" s="566"/>
      <c r="C325" s="566"/>
      <c r="D325" s="566"/>
      <c r="E325" s="566"/>
      <c r="F325" s="566"/>
      <c r="G325" s="567" t="s">
        <v>2948</v>
      </c>
      <c r="H325" s="567" t="s">
        <v>617</v>
      </c>
      <c r="I325" s="681"/>
      <c r="J325" s="294" t="str">
        <f>IF(ISBLANK(HLOOKUP(CaseName,CaseData,MATCH($G325,cases!$G$4:$G$2494,0),FALSE)),"",HLOOKUP(CaseName,CaseData,MATCH($G325,cases!$G$4:$G$2494,0),FALSE))</f>
        <v/>
      </c>
      <c r="K325" s="576">
        <f>L327+kdegA.s1</f>
        <v>9.5027244249711473E-10</v>
      </c>
      <c r="L325" s="298">
        <f t="shared" si="17"/>
        <v>9.5027244249711473E-10</v>
      </c>
      <c r="M325" s="566" t="s">
        <v>1885</v>
      </c>
      <c r="N325" s="567"/>
      <c r="O325" s="604"/>
      <c r="P325" s="802"/>
      <c r="Q325" s="576"/>
      <c r="R325" s="386"/>
      <c r="S325" s="802"/>
      <c r="T325" s="386"/>
    </row>
    <row r="326" spans="1:20" customFormat="1" ht="12.75" customHeight="1" x14ac:dyDescent="0.3">
      <c r="A326" s="567" t="s">
        <v>2718</v>
      </c>
      <c r="B326" s="566"/>
      <c r="C326" s="566"/>
      <c r="D326" s="566"/>
      <c r="E326" s="566"/>
      <c r="F326" s="566"/>
      <c r="G326" s="567" t="s">
        <v>2949</v>
      </c>
      <c r="H326" s="567" t="s">
        <v>617</v>
      </c>
      <c r="I326" s="681"/>
      <c r="J326" s="294" t="str">
        <f>IF(ISBLANK(HLOOKUP(CaseName,CaseData,MATCH($G326,cases!$G$4:$G$2494,0),FALSE)),"",HLOOKUP(CaseName,CaseData,MATCH($G326,cases!$G$4:$G$2494,0),FALSE))</f>
        <v/>
      </c>
      <c r="K326" s="576">
        <f>kdegP.s1</f>
        <v>0</v>
      </c>
      <c r="L326" s="298">
        <f t="shared" si="17"/>
        <v>0</v>
      </c>
      <c r="M326" s="566" t="s">
        <v>1885</v>
      </c>
      <c r="N326" s="567"/>
      <c r="O326" s="604"/>
      <c r="P326" s="577"/>
      <c r="Q326" s="576"/>
      <c r="R326" s="386"/>
      <c r="S326" s="802"/>
      <c r="T326" s="386"/>
    </row>
    <row r="327" spans="1:20" customFormat="1" ht="12.75" customHeight="1" x14ac:dyDescent="0.3">
      <c r="A327" s="566"/>
      <c r="B327" s="566" t="s">
        <v>1912</v>
      </c>
      <c r="C327" s="566"/>
      <c r="D327" s="566"/>
      <c r="E327" s="566"/>
      <c r="F327" s="566"/>
      <c r="G327" s="567" t="s">
        <v>2950</v>
      </c>
      <c r="H327" s="567" t="s">
        <v>335</v>
      </c>
      <c r="I327" s="677"/>
      <c r="J327" s="294" t="str">
        <f>IF(ISBLANK(HLOOKUP(CaseName,CaseData,MATCH($G327,cases!$G$4:$G$2494,0),FALSE)),"",HLOOKUP(CaseName,CaseData,MATCH($G327,cases!$G$4:$G$2494,0),FALSE))</f>
        <v/>
      </c>
      <c r="K327" s="576">
        <f>(L141*L92*L142)/L18</f>
        <v>9.5027244249711473E-10</v>
      </c>
      <c r="L327" s="298">
        <f t="shared" si="17"/>
        <v>9.5027244249711473E-10</v>
      </c>
      <c r="M327" s="566" t="s">
        <v>1885</v>
      </c>
      <c r="N327" s="566" t="s">
        <v>1914</v>
      </c>
      <c r="O327" s="604"/>
      <c r="P327" s="802"/>
      <c r="S327" s="802"/>
    </row>
    <row r="328" spans="1:20" s="487" customFormat="1" ht="12.75" customHeight="1" x14ac:dyDescent="0.3">
      <c r="A328" s="598"/>
      <c r="B328" s="598" t="s">
        <v>1919</v>
      </c>
      <c r="C328" s="598"/>
      <c r="D328" s="598"/>
      <c r="E328" s="598"/>
      <c r="F328" s="598"/>
      <c r="G328" s="601" t="s">
        <v>2951</v>
      </c>
      <c r="H328" s="601" t="s">
        <v>335</v>
      </c>
      <c r="I328" s="682"/>
      <c r="J328" s="294" t="str">
        <f>IF(ISBLANK(HLOOKUP(CaseName,CaseData,MATCH($G328,cases!$G$4:$G$2494,0),FALSE)),"",HLOOKUP(CaseName,CaseData,MATCH($G328,cases!$G$4:$G$2494,0),FALSE))</f>
        <v/>
      </c>
      <c r="K328" s="626">
        <f>L111/L17</f>
        <v>2.983934314656158E-12</v>
      </c>
      <c r="L328" s="680">
        <f t="shared" si="17"/>
        <v>2.983934314656158E-12</v>
      </c>
      <c r="M328" s="598" t="s">
        <v>1885</v>
      </c>
      <c r="N328" s="598" t="s">
        <v>1921</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2952</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947</v>
      </c>
      <c r="B332" s="147"/>
      <c r="C332" s="147"/>
      <c r="D332" s="147"/>
      <c r="E332" s="147"/>
      <c r="F332" s="147"/>
      <c r="G332" s="148" t="s">
        <v>258</v>
      </c>
      <c r="H332" s="148" t="s">
        <v>274</v>
      </c>
      <c r="I332" s="147" t="s">
        <v>259</v>
      </c>
      <c r="J332" s="271" t="s">
        <v>2953</v>
      </c>
      <c r="K332" s="331" t="s">
        <v>260</v>
      </c>
      <c r="L332" s="331" t="s">
        <v>261</v>
      </c>
      <c r="M332" s="147"/>
      <c r="N332" s="148" t="s">
        <v>262</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948</v>
      </c>
      <c r="B334" s="17"/>
      <c r="C334" s="17"/>
      <c r="D334" s="17"/>
      <c r="E334" s="17"/>
      <c r="F334" s="17"/>
      <c r="G334" s="38" t="s">
        <v>2954</v>
      </c>
      <c r="H334" s="17" t="s">
        <v>950</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951</v>
      </c>
      <c r="N334" s="17"/>
      <c r="O334" s="11"/>
      <c r="P334" s="802"/>
      <c r="Q334" s="11"/>
      <c r="R334" s="11"/>
      <c r="S334" s="11"/>
      <c r="T334" s="11"/>
    </row>
    <row r="335" spans="1:20" s="386" customFormat="1" ht="12.75" customHeight="1" x14ac:dyDescent="0.3">
      <c r="A335" s="567" t="s">
        <v>1928</v>
      </c>
      <c r="B335" s="566"/>
      <c r="C335" s="566"/>
      <c r="D335" s="566"/>
      <c r="E335" s="566"/>
      <c r="F335" s="566"/>
      <c r="G335" s="567" t="s">
        <v>2955</v>
      </c>
      <c r="H335" s="566" t="s">
        <v>950</v>
      </c>
      <c r="I335" s="614"/>
      <c r="J335" s="294" t="str">
        <f>IF(ISBLANK(HLOOKUP(CaseName,CaseData,MATCH($G335,cases!$G$4:$G$2494,0),FALSE)),"",HLOOKUP(CaseName,CaseData,MATCH($G335,cases!$G$4:$G$2494,0),FALSE))</f>
        <v/>
      </c>
      <c r="K335" s="613">
        <f>L348*L334</f>
        <v>12749996175</v>
      </c>
      <c r="L335" s="607">
        <f t="shared" si="20"/>
        <v>12749996175</v>
      </c>
      <c r="M335" s="567" t="s">
        <v>951</v>
      </c>
      <c r="N335" s="566"/>
      <c r="P335" s="802"/>
    </row>
    <row r="336" spans="1:20" ht="12.75" customHeight="1" x14ac:dyDescent="0.3">
      <c r="A336" s="17" t="s">
        <v>2956</v>
      </c>
      <c r="B336" s="17"/>
      <c r="C336" s="17"/>
      <c r="D336" s="17"/>
      <c r="E336" s="17"/>
      <c r="F336" s="17"/>
      <c r="G336" s="38" t="s">
        <v>2957</v>
      </c>
      <c r="H336" s="17" t="s">
        <v>950</v>
      </c>
      <c r="I336" s="284"/>
      <c r="J336" s="294" t="str">
        <f>IF(ISBLANK(HLOOKUP(CaseName,CaseData,MATCH($G336,cases!$G$4:$G$2494,0),FALSE)),"",HLOOKUP(CaseName,CaseData,MATCH($G336,cases!$G$4:$G$2494,0),FALSE))</f>
        <v/>
      </c>
      <c r="K336" s="428">
        <f>L340*L344*L341</f>
        <v>2550000000000000</v>
      </c>
      <c r="L336" s="298">
        <f t="shared" si="20"/>
        <v>2550000000000000</v>
      </c>
      <c r="M336" s="38" t="s">
        <v>951</v>
      </c>
      <c r="N336" s="17"/>
      <c r="O336" s="11"/>
      <c r="P336" s="802"/>
      <c r="Q336" s="11"/>
      <c r="R336" s="11"/>
      <c r="S336" s="11"/>
      <c r="T336" s="11"/>
    </row>
    <row r="337" spans="1:16" ht="12.75" customHeight="1" x14ac:dyDescent="0.3">
      <c r="A337" s="38" t="s">
        <v>2958</v>
      </c>
      <c r="B337" s="17"/>
      <c r="C337" s="17"/>
      <c r="D337" s="17"/>
      <c r="E337" s="17"/>
      <c r="F337" s="17"/>
      <c r="G337" s="38" t="s">
        <v>2959</v>
      </c>
      <c r="H337" s="17" t="s">
        <v>950</v>
      </c>
      <c r="I337" s="284"/>
      <c r="J337" s="294" t="str">
        <f>IF(ISBLANK(HLOOKUP(CaseName,CaseData,MATCH($G337,cases!$G$4:$G$2494,0),FALSE)),"",HLOOKUP(CaseName,CaseData,MATCH($G337,cases!$G$4:$G$2494,0),FALSE))</f>
        <v/>
      </c>
      <c r="K337" s="428">
        <f>L340*L345*L341</f>
        <v>7.65E+16</v>
      </c>
      <c r="L337" s="298">
        <f t="shared" si="20"/>
        <v>7.65E+16</v>
      </c>
      <c r="M337" s="38" t="s">
        <v>951</v>
      </c>
      <c r="N337" s="17"/>
      <c r="O337" s="11"/>
      <c r="P337" s="802"/>
    </row>
    <row r="338" spans="1:16" ht="12.75" customHeight="1" x14ac:dyDescent="0.3">
      <c r="A338" s="38" t="s">
        <v>2531</v>
      </c>
      <c r="B338" s="17"/>
      <c r="C338" s="17"/>
      <c r="D338" s="17"/>
      <c r="E338" s="17"/>
      <c r="F338" s="17"/>
      <c r="G338" s="38" t="s">
        <v>2960</v>
      </c>
      <c r="H338" s="17" t="s">
        <v>950</v>
      </c>
      <c r="I338" s="284"/>
      <c r="J338" s="294" t="str">
        <f>IF(ISBLANK(HLOOKUP(CaseName,CaseData,MATCH($G338,cases!$G$4:$G$2494,0),FALSE)),"",HLOOKUP(CaseName,CaseData,MATCH($G338,cases!$G$4:$G$2494,0),FALSE))</f>
        <v/>
      </c>
      <c r="K338" s="428">
        <f>L340*L346*L341</f>
        <v>765000000000</v>
      </c>
      <c r="L338" s="298">
        <f t="shared" si="20"/>
        <v>765000000000</v>
      </c>
      <c r="M338" s="38" t="s">
        <v>951</v>
      </c>
      <c r="N338" s="17"/>
      <c r="O338" s="11"/>
      <c r="P338" s="802"/>
    </row>
    <row r="339" spans="1:16" ht="12.75" customHeight="1" x14ac:dyDescent="0.3">
      <c r="A339" s="38" t="s">
        <v>2533</v>
      </c>
      <c r="B339" s="17"/>
      <c r="C339" s="17"/>
      <c r="D339" s="17"/>
      <c r="E339" s="17"/>
      <c r="F339" s="17"/>
      <c r="G339" s="38" t="s">
        <v>2961</v>
      </c>
      <c r="H339" s="17" t="s">
        <v>950</v>
      </c>
      <c r="I339" s="284"/>
      <c r="J339" s="294" t="str">
        <f>IF(ISBLANK(HLOOKUP(CaseName,CaseData,MATCH($G339,cases!$G$4:$G$2494,0),FALSE)),"",HLOOKUP(CaseName,CaseData,MATCH($G339,cases!$G$4:$G$2494,0),FALSE))</f>
        <v/>
      </c>
      <c r="K339" s="428">
        <f>L340*L342*L347</f>
        <v>850000000000</v>
      </c>
      <c r="L339" s="298">
        <f t="shared" si="20"/>
        <v>850000000000</v>
      </c>
      <c r="M339" s="38" t="s">
        <v>951</v>
      </c>
      <c r="N339" s="17"/>
      <c r="O339" s="11"/>
      <c r="P339" s="802"/>
    </row>
    <row r="340" spans="1:16" ht="12.75" customHeight="1" x14ac:dyDescent="0.3">
      <c r="A340" s="17"/>
      <c r="B340" s="38" t="s">
        <v>2962</v>
      </c>
      <c r="C340" s="17"/>
      <c r="D340" s="17"/>
      <c r="E340" s="17"/>
      <c r="F340" s="17"/>
      <c r="G340" s="38" t="s">
        <v>2963</v>
      </c>
      <c r="H340" s="17" t="s">
        <v>672</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673</v>
      </c>
      <c r="N340" s="17"/>
      <c r="O340" s="11"/>
      <c r="P340" s="802"/>
    </row>
    <row r="341" spans="1:16" ht="12.75" customHeight="1" x14ac:dyDescent="0.3">
      <c r="A341" s="17"/>
      <c r="B341" s="38" t="s">
        <v>2537</v>
      </c>
      <c r="C341" s="17"/>
      <c r="D341" s="17"/>
      <c r="E341" s="17"/>
      <c r="F341" s="17"/>
      <c r="G341" s="146" t="s">
        <v>2964</v>
      </c>
      <c r="H341" s="17" t="s">
        <v>291</v>
      </c>
      <c r="I341" s="284"/>
      <c r="J341" s="294" t="str">
        <f>IF(ISBLANK(HLOOKUP(CaseName,CaseData,MATCH($G341,cases!$G$4:$G$2494,0),FALSE)),"",HLOOKUP(CaseName,CaseData,MATCH($G341,cases!$G$4:$G$2494,0),FALSE))</f>
        <v/>
      </c>
      <c r="K341" s="428">
        <v>0.6</v>
      </c>
      <c r="L341" s="298">
        <f>IF(ISBLANK(I341),IF(ISNUMBER(J341)=FALSE,K341,J341),I341)</f>
        <v>0.6</v>
      </c>
      <c r="M341" s="17" t="s">
        <v>292</v>
      </c>
      <c r="N341" s="17"/>
      <c r="O341" s="11"/>
      <c r="P341" s="802"/>
    </row>
    <row r="342" spans="1:16" ht="12.75" customHeight="1" x14ac:dyDescent="0.3">
      <c r="A342" s="17"/>
      <c r="B342" s="38" t="s">
        <v>2539</v>
      </c>
      <c r="C342" s="17"/>
      <c r="D342" s="17"/>
      <c r="E342" s="17"/>
      <c r="F342" s="17"/>
      <c r="G342" s="146" t="s">
        <v>2965</v>
      </c>
      <c r="H342" s="17" t="s">
        <v>291</v>
      </c>
      <c r="I342" s="284"/>
      <c r="J342" s="294" t="str">
        <f>IF(ISBLANK(HLOOKUP(CaseName,CaseData,MATCH($G342,cases!$G$4:$G$2494,0),FALSE)),"",HLOOKUP(CaseName,CaseData,MATCH($G342,cases!$G$4:$G$2494,0),FALSE))</f>
        <v/>
      </c>
      <c r="K342" s="428">
        <f>1-L341</f>
        <v>0.4</v>
      </c>
      <c r="L342" s="298">
        <f>IF(ISBLANK(I342),IF(ISNUMBER(J342)=FALSE,K342,J342),I342)</f>
        <v>0.4</v>
      </c>
      <c r="M342" s="17" t="s">
        <v>292</v>
      </c>
      <c r="N342" s="17"/>
      <c r="O342" s="11"/>
      <c r="P342" s="802"/>
    </row>
    <row r="343" spans="1:16" ht="12.75" customHeight="1" x14ac:dyDescent="0.3">
      <c r="A343" s="17"/>
      <c r="B343" s="17"/>
      <c r="C343" s="38" t="s">
        <v>987</v>
      </c>
      <c r="D343" s="17"/>
      <c r="E343" s="17"/>
      <c r="F343" s="17"/>
      <c r="G343" s="146" t="s">
        <v>2966</v>
      </c>
      <c r="H343" s="38" t="s">
        <v>813</v>
      </c>
      <c r="I343" s="284"/>
      <c r="J343" s="294" t="str">
        <f>IF(ISBLANK(HLOOKUP(CaseName,CaseData,MATCH($G343,cases!$G$4:$G$2494,0),FALSE)),"",HLOOKUP(CaseName,CaseData,MATCH($G343,cases!$G$4:$G$2494,0),FALSE))</f>
        <v/>
      </c>
      <c r="K343" s="428">
        <v>1000</v>
      </c>
      <c r="L343" s="298">
        <f>IF(ISBLANK(I343),IF(ISNUMBER(J343)=FALSE,K343,J343),I343)</f>
        <v>1000</v>
      </c>
      <c r="M343" s="38" t="s">
        <v>279</v>
      </c>
      <c r="N343" s="17"/>
      <c r="O343" s="11"/>
      <c r="P343" s="802"/>
    </row>
    <row r="344" spans="1:16" ht="12.75" customHeight="1" x14ac:dyDescent="0.3">
      <c r="A344" s="17"/>
      <c r="B344" s="17"/>
      <c r="C344" s="38" t="s">
        <v>2967</v>
      </c>
      <c r="D344" s="17"/>
      <c r="E344" s="17"/>
      <c r="F344" s="17"/>
      <c r="G344" s="146" t="s">
        <v>2968</v>
      </c>
      <c r="H344" s="38" t="s">
        <v>813</v>
      </c>
      <c r="I344" s="285"/>
      <c r="J344" s="294" t="str">
        <f>IF(ISBLANK(HLOOKUP(CaseName,CaseData,MATCH($G344,cases!$G$4:$G$2494,0),FALSE)),"",HLOOKUP(CaseName,CaseData,MATCH($G344,cases!$G$4:$G$2494,0),FALSE))</f>
        <v/>
      </c>
      <c r="K344" s="428">
        <v>100</v>
      </c>
      <c r="L344" s="298">
        <f>IF(ISBLANK(I344),IF(ISNUMBER(J344)=FALSE,K344,J344),I344)</f>
        <v>100</v>
      </c>
      <c r="M344" s="38" t="s">
        <v>279</v>
      </c>
      <c r="N344" s="17"/>
      <c r="O344" s="11"/>
      <c r="P344" s="802"/>
    </row>
    <row r="345" spans="1:16" ht="12.75" customHeight="1" x14ac:dyDescent="0.3">
      <c r="A345" s="17"/>
      <c r="B345" s="17"/>
      <c r="C345" s="38" t="s">
        <v>2969</v>
      </c>
      <c r="D345" s="17"/>
      <c r="E345" s="17"/>
      <c r="F345" s="17"/>
      <c r="G345" s="146" t="s">
        <v>2970</v>
      </c>
      <c r="H345" s="38" t="s">
        <v>813</v>
      </c>
      <c r="I345" s="284"/>
      <c r="J345" s="294" t="str">
        <f>IF(ISBLANK(HLOOKUP(CaseName,CaseData,MATCH($G345,cases!$G$4:$G$2494,0),FALSE)),"",HLOOKUP(CaseName,CaseData,MATCH($G345,cases!$G$4:$G$2494,0),FALSE))</f>
        <v/>
      </c>
      <c r="K345" s="428">
        <v>3000</v>
      </c>
      <c r="L345" s="298">
        <f>IF(ISBLANK(I345),IF(ISNUMBER(J345)=FALSE,K345,J345),I345)</f>
        <v>3000</v>
      </c>
      <c r="M345" s="38" t="s">
        <v>279</v>
      </c>
      <c r="N345" s="17"/>
      <c r="O345" s="11"/>
      <c r="P345" s="802"/>
    </row>
    <row r="346" spans="1:16" ht="12.75" customHeight="1" x14ac:dyDescent="0.3">
      <c r="A346" s="17"/>
      <c r="B346" s="17"/>
      <c r="C346" s="38" t="s">
        <v>2546</v>
      </c>
      <c r="D346" s="17"/>
      <c r="E346" s="17"/>
      <c r="F346" s="17"/>
      <c r="G346" s="146" t="s">
        <v>2971</v>
      </c>
      <c r="H346" s="38" t="s">
        <v>997</v>
      </c>
      <c r="I346" s="284"/>
      <c r="J346" s="294" t="str">
        <f>IF(ISBLANK(HLOOKUP(CaseName,CaseData,MATCH($G346,cases!$G$4:$G$2494,0),FALSE)),"",HLOOKUP(CaseName,CaseData,MATCH($G346,cases!$G$4:$G$2494,0),FALSE))</f>
        <v/>
      </c>
      <c r="K346" s="428">
        <v>3</v>
      </c>
      <c r="L346" s="298">
        <f>IF(ISBLANK(I346),IF(ISNUMBER(J346)=FALSE,K346/100,J346/100),I346/100)</f>
        <v>0.03</v>
      </c>
      <c r="M346" s="38" t="s">
        <v>279</v>
      </c>
      <c r="N346" s="17"/>
      <c r="O346" s="11"/>
      <c r="P346" s="11"/>
    </row>
    <row r="347" spans="1:16" ht="12.75" customHeight="1" x14ac:dyDescent="0.3">
      <c r="A347" s="38"/>
      <c r="B347" s="17"/>
      <c r="C347" s="38" t="s">
        <v>2548</v>
      </c>
      <c r="D347" s="146"/>
      <c r="E347" s="146"/>
      <c r="F347" s="146"/>
      <c r="G347" s="146" t="s">
        <v>2972</v>
      </c>
      <c r="H347" s="38" t="s">
        <v>813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279</v>
      </c>
      <c r="N347" s="17"/>
      <c r="O347" s="11"/>
      <c r="P347" s="11"/>
    </row>
    <row r="348" spans="1:16" ht="12.75" customHeight="1" x14ac:dyDescent="0.3">
      <c r="A348" s="566"/>
      <c r="B348" s="566"/>
      <c r="C348" s="566" t="s">
        <v>1008</v>
      </c>
      <c r="D348" s="566"/>
      <c r="E348" s="566"/>
      <c r="F348" s="566"/>
      <c r="G348" s="567" t="s">
        <v>2973</v>
      </c>
      <c r="H348" s="567" t="s">
        <v>1010</v>
      </c>
      <c r="I348" s="629"/>
      <c r="J348" s="294" t="str">
        <f>IF(ISBLANK(HLOOKUP(CaseName,CaseData,MATCH($G348,cases!$G$4:$G$2494,0),FALSE)),"",HLOOKUP(CaseName,CaseData,MATCH($G348,cases!$G$4:$G$2494,0),FALSE))</f>
        <v/>
      </c>
      <c r="K348" s="613">
        <v>2.9999999999999999E-7</v>
      </c>
      <c r="L348" s="607">
        <f t="shared" si="21"/>
        <v>2.9999999999999999E-7</v>
      </c>
      <c r="M348" s="567" t="s">
        <v>292</v>
      </c>
      <c r="N348" s="566" t="s">
        <v>1011</v>
      </c>
      <c r="O348" s="11"/>
      <c r="P348" s="11"/>
    </row>
    <row r="349" spans="1:16" ht="12.75" customHeight="1" x14ac:dyDescent="0.3">
      <c r="A349" s="17"/>
      <c r="B349" s="17"/>
      <c r="C349" s="17" t="s">
        <v>1012</v>
      </c>
      <c r="D349" s="17"/>
      <c r="E349" s="17"/>
      <c r="F349" s="17"/>
      <c r="G349" s="38" t="s">
        <v>2974</v>
      </c>
      <c r="H349" s="38" t="s">
        <v>1010</v>
      </c>
      <c r="I349" s="286"/>
      <c r="J349" s="294" t="str">
        <f>IF(ISBLANK(HLOOKUP(CaseName,CaseData,MATCH($G349,cases!$G$4:$G$2494,0),FALSE)),"",HLOOKUP(CaseName,CaseData,MATCH($G349,cases!$G$4:$G$2494,0),FALSE))</f>
        <v/>
      </c>
      <c r="K349" s="428">
        <v>1.9999999999999999E-11</v>
      </c>
      <c r="L349" s="298">
        <f t="shared" si="21"/>
        <v>1.9999999999999999E-11</v>
      </c>
      <c r="M349" s="38" t="s">
        <v>292</v>
      </c>
      <c r="N349" s="17" t="s">
        <v>1014</v>
      </c>
      <c r="O349" s="11"/>
      <c r="P349" s="11"/>
    </row>
    <row r="350" spans="1:16" ht="12.75" customHeight="1" x14ac:dyDescent="0.3">
      <c r="A350" s="17"/>
      <c r="B350" s="17"/>
      <c r="C350" s="17" t="s">
        <v>1015</v>
      </c>
      <c r="D350" s="17"/>
      <c r="E350" s="17"/>
      <c r="F350" s="17"/>
      <c r="G350" s="38" t="s">
        <v>2975</v>
      </c>
      <c r="H350" s="38" t="s">
        <v>1010</v>
      </c>
      <c r="I350" s="286"/>
      <c r="J350" s="294" t="str">
        <f>IF(ISBLANK(HLOOKUP(CaseName,CaseData,MATCH($G350,cases!$G$4:$G$2494,0),FALSE)),"",HLOOKUP(CaseName,CaseData,MATCH($G350,cases!$G$4:$G$2494,0),FALSE))</f>
        <v/>
      </c>
      <c r="K350" s="428">
        <v>1.9999999999999999E-11</v>
      </c>
      <c r="L350" s="298">
        <f t="shared" si="21"/>
        <v>1.9999999999999999E-11</v>
      </c>
      <c r="M350" s="38" t="s">
        <v>292</v>
      </c>
      <c r="N350" s="17" t="s">
        <v>1014</v>
      </c>
      <c r="O350" s="11"/>
      <c r="P350" s="11"/>
    </row>
    <row r="351" spans="1:16" ht="12.75" customHeight="1" x14ac:dyDescent="0.3">
      <c r="A351" s="17"/>
      <c r="B351" s="17"/>
      <c r="C351" s="38" t="s">
        <v>2553</v>
      </c>
      <c r="D351" s="146"/>
      <c r="E351" s="146"/>
      <c r="F351" s="146"/>
      <c r="G351" s="146" t="s">
        <v>2976</v>
      </c>
      <c r="H351" s="38" t="s">
        <v>1010</v>
      </c>
      <c r="I351" s="284"/>
      <c r="J351" s="294" t="str">
        <f>IF(ISBLANK(HLOOKUP(CaseName,CaseData,MATCH($G351,cases!$G$4:$G$2494,0),FALSE)),"",HLOOKUP(CaseName,CaseData,MATCH($G351,cases!$G$4:$G$2494,0),FALSE))</f>
        <v/>
      </c>
      <c r="K351" s="428">
        <v>0.2</v>
      </c>
      <c r="L351" s="298">
        <f t="shared" si="21"/>
        <v>0.2</v>
      </c>
      <c r="M351" s="17" t="s">
        <v>292</v>
      </c>
      <c r="N351" s="17"/>
      <c r="O351" s="11"/>
      <c r="P351" s="11"/>
    </row>
    <row r="352" spans="1:16" ht="12.75" customHeight="1" x14ac:dyDescent="0.3">
      <c r="A352" s="17"/>
      <c r="B352" s="17"/>
      <c r="C352" s="38" t="s">
        <v>2555</v>
      </c>
      <c r="D352" s="17"/>
      <c r="E352" s="17"/>
      <c r="F352" s="17"/>
      <c r="G352" s="146" t="s">
        <v>2977</v>
      </c>
      <c r="H352" s="38" t="s">
        <v>1010</v>
      </c>
      <c r="I352" s="284"/>
      <c r="J352" s="294" t="str">
        <f>IF(ISBLANK(HLOOKUP(CaseName,CaseData,MATCH($G352,cases!$G$4:$G$2494,0),FALSE)),"",HLOOKUP(CaseName,CaseData,MATCH($G352,cases!$G$4:$G$2494,0),FALSE))</f>
        <v/>
      </c>
      <c r="K352" s="428">
        <v>0.2</v>
      </c>
      <c r="L352" s="298">
        <f t="shared" si="21"/>
        <v>0.2</v>
      </c>
      <c r="M352" s="17" t="s">
        <v>292</v>
      </c>
      <c r="N352" s="17"/>
      <c r="O352" s="11"/>
      <c r="P352" s="11"/>
    </row>
    <row r="353" spans="1:14" ht="12.75" customHeight="1" x14ac:dyDescent="0.3">
      <c r="A353" s="17"/>
      <c r="B353" s="17"/>
      <c r="C353" s="38" t="s">
        <v>2557</v>
      </c>
      <c r="D353" s="17"/>
      <c r="E353" s="17"/>
      <c r="F353" s="17"/>
      <c r="G353" s="146" t="s">
        <v>2978</v>
      </c>
      <c r="H353" s="38" t="s">
        <v>1010</v>
      </c>
      <c r="I353" s="284"/>
      <c r="J353" s="294" t="str">
        <f>IF(ISBLANK(HLOOKUP(CaseName,CaseData,MATCH($G353,cases!$G$4:$G$2494,0),FALSE)),"",HLOOKUP(CaseName,CaseData,MATCH($G353,cases!$G$4:$G$2494,0),FALSE))</f>
        <v/>
      </c>
      <c r="K353" s="428">
        <f>1-L351-L352</f>
        <v>0.60000000000000009</v>
      </c>
      <c r="L353" s="298">
        <f t="shared" si="21"/>
        <v>0.60000000000000009</v>
      </c>
      <c r="M353" s="17" t="s">
        <v>292</v>
      </c>
      <c r="N353" s="17"/>
    </row>
    <row r="354" spans="1:14" ht="12.75" customHeight="1" x14ac:dyDescent="0.3">
      <c r="A354" s="38"/>
      <c r="B354" s="17"/>
      <c r="C354" s="38" t="s">
        <v>1035</v>
      </c>
      <c r="D354" s="146"/>
      <c r="E354" s="146"/>
      <c r="F354" s="146"/>
      <c r="G354" s="146" t="s">
        <v>2979</v>
      </c>
      <c r="H354" s="38" t="s">
        <v>1010</v>
      </c>
      <c r="I354" s="284"/>
      <c r="J354" s="294" t="str">
        <f>IF(ISBLANK(HLOOKUP(CaseName,CaseData,MATCH($G354,cases!$G$4:$G$2494,0),FALSE)),"",HLOOKUP(CaseName,CaseData,MATCH($G354,cases!$G$4:$G$2494,0),FALSE))</f>
        <v/>
      </c>
      <c r="K354" s="428">
        <v>0.8</v>
      </c>
      <c r="L354" s="298">
        <f t="shared" si="21"/>
        <v>0.8</v>
      </c>
      <c r="M354" s="38" t="s">
        <v>292</v>
      </c>
      <c r="N354" s="17"/>
    </row>
    <row r="355" spans="1:14" ht="12.75" customHeight="1" x14ac:dyDescent="0.3">
      <c r="A355" s="38"/>
      <c r="B355" s="17"/>
      <c r="C355" s="38" t="s">
        <v>2980</v>
      </c>
      <c r="D355" s="146"/>
      <c r="E355" s="146"/>
      <c r="F355" s="146"/>
      <c r="G355" s="146" t="s">
        <v>2981</v>
      </c>
      <c r="H355" s="38" t="s">
        <v>1010</v>
      </c>
      <c r="I355" s="284"/>
      <c r="J355" s="294" t="str">
        <f>IF(ISBLANK(HLOOKUP(CaseName,CaseData,MATCH($G355,cases!$G$4:$G$2494,0),FALSE)),"",HLOOKUP(CaseName,CaseData,MATCH($G355,cases!$G$4:$G$2494,0),FALSE))</f>
        <v/>
      </c>
      <c r="K355" s="428">
        <f>1-L354</f>
        <v>0.19999999999999996</v>
      </c>
      <c r="L355" s="298">
        <f t="shared" si="21"/>
        <v>0.19999999999999996</v>
      </c>
      <c r="M355" s="38" t="s">
        <v>292</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2982</v>
      </c>
      <c r="B357" s="17"/>
      <c r="C357" s="17"/>
      <c r="D357" s="17"/>
      <c r="E357" s="17"/>
      <c r="F357" s="17"/>
      <c r="G357" s="38" t="s">
        <v>2983</v>
      </c>
      <c r="H357" s="38" t="s">
        <v>617</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1041</v>
      </c>
      <c r="N357" s="17"/>
    </row>
    <row r="358" spans="1:14" ht="12.75" customHeight="1" x14ac:dyDescent="0.3">
      <c r="A358" s="38"/>
      <c r="B358" s="38" t="s">
        <v>2984</v>
      </c>
      <c r="C358" s="17"/>
      <c r="D358" s="17"/>
      <c r="E358" s="17"/>
      <c r="F358" s="17"/>
      <c r="G358" s="38" t="s">
        <v>2985</v>
      </c>
      <c r="H358" s="17" t="s">
        <v>1044</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1045</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2986</v>
      </c>
      <c r="B360" s="17"/>
      <c r="C360" s="17"/>
      <c r="D360" s="17"/>
      <c r="E360" s="17"/>
      <c r="F360" s="17"/>
      <c r="G360" s="38" t="s">
        <v>2987</v>
      </c>
      <c r="H360" s="38" t="s">
        <v>617</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1041</v>
      </c>
      <c r="N360" s="17"/>
    </row>
    <row r="361" spans="1:14" ht="12.75" customHeight="1" x14ac:dyDescent="0.3">
      <c r="A361" s="38" t="s">
        <v>2988</v>
      </c>
      <c r="B361" s="17"/>
      <c r="C361" s="17"/>
      <c r="D361" s="17"/>
      <c r="E361" s="17"/>
      <c r="F361" s="17"/>
      <c r="G361" s="38" t="s">
        <v>2989</v>
      </c>
      <c r="H361" s="38" t="s">
        <v>617</v>
      </c>
      <c r="I361" s="285"/>
      <c r="J361" s="294" t="str">
        <f>IF(ISBLANK(HLOOKUP(CaseName,CaseData,MATCH($G361,cases!$G$4:$G$2494,0),FALSE)),"",HLOOKUP(CaseName,CaseData,MATCH($G361,cases!$G$4:$G$2494,0),FALSE))</f>
        <v/>
      </c>
      <c r="K361" s="435">
        <f>L40/L337</f>
        <v>1.9607843137254903E-9</v>
      </c>
      <c r="L361" s="298">
        <f t="shared" si="22"/>
        <v>1.9607843137254903E-9</v>
      </c>
      <c r="M361" s="17" t="s">
        <v>1041</v>
      </c>
      <c r="N361" s="17"/>
    </row>
    <row r="362" spans="1:14" ht="12.75" customHeight="1" x14ac:dyDescent="0.3">
      <c r="A362" s="38"/>
      <c r="B362" s="38" t="s">
        <v>2990</v>
      </c>
      <c r="C362" s="17"/>
      <c r="D362" s="17"/>
      <c r="E362" s="17"/>
      <c r="F362" s="17"/>
      <c r="G362" s="146" t="s">
        <v>2991</v>
      </c>
      <c r="H362" s="17" t="s">
        <v>1058</v>
      </c>
      <c r="I362" s="284"/>
      <c r="J362" s="294" t="str">
        <f>IF(ISBLANK(HLOOKUP(CaseName,CaseData,MATCH($G362,cases!$G$4:$G$2494,0),FALSE)),"",HLOOKUP(CaseName,CaseData,MATCH($G362,cases!$G$4:$G$2494,0),FALSE))</f>
        <v/>
      </c>
      <c r="K362" s="435">
        <f>0</f>
        <v>0</v>
      </c>
      <c r="L362" s="298">
        <f t="shared" si="22"/>
        <v>0</v>
      </c>
      <c r="M362" s="17" t="s">
        <v>1059</v>
      </c>
      <c r="N362" s="17"/>
    </row>
    <row r="363" spans="1:14" ht="12.75" customHeight="1" x14ac:dyDescent="0.3">
      <c r="A363" s="38" t="s">
        <v>2992</v>
      </c>
      <c r="B363" s="17"/>
      <c r="C363" s="17"/>
      <c r="D363" s="17"/>
      <c r="E363" s="17"/>
      <c r="F363" s="17"/>
      <c r="G363" s="38" t="s">
        <v>2993</v>
      </c>
      <c r="H363" s="38" t="s">
        <v>617</v>
      </c>
      <c r="I363" s="284"/>
      <c r="J363" s="294" t="str">
        <f>IF(ISBLANK(HLOOKUP(CaseName,CaseData,MATCH($G363,cases!$G$4:$G$2494,0),FALSE)),"",HLOOKUP(CaseName,CaseData,MATCH($G363,cases!$G$4:$G$2494,0),FALSE))</f>
        <v/>
      </c>
      <c r="K363" s="435">
        <f>(L40+L365)/L336</f>
        <v>2.6926123984947511E-7</v>
      </c>
      <c r="L363" s="298">
        <f t="shared" si="22"/>
        <v>2.6926123984947511E-7</v>
      </c>
      <c r="M363" s="17" t="s">
        <v>1041</v>
      </c>
      <c r="N363" s="17"/>
    </row>
    <row r="364" spans="1:14" ht="12.75" customHeight="1" x14ac:dyDescent="0.3">
      <c r="A364" s="38" t="s">
        <v>2994</v>
      </c>
      <c r="B364" s="17"/>
      <c r="C364" s="17"/>
      <c r="D364" s="17"/>
      <c r="E364" s="17"/>
      <c r="F364" s="17"/>
      <c r="G364" s="38" t="s">
        <v>2995</v>
      </c>
      <c r="H364" s="38" t="s">
        <v>617</v>
      </c>
      <c r="I364" s="285"/>
      <c r="J364" s="294" t="str">
        <f>IF(ISBLANK(HLOOKUP(CaseName,CaseData,MATCH($G364,cases!$G$4:$G$2494,0),FALSE)),"",HLOOKUP(CaseName,CaseData,MATCH($G364,cases!$G$4:$G$2494,0),FALSE))</f>
        <v/>
      </c>
      <c r="K364" s="435">
        <f>(L40+L365)/L337</f>
        <v>8.9753746616491718E-9</v>
      </c>
      <c r="L364" s="298">
        <f t="shared" si="22"/>
        <v>8.9753746616491718E-9</v>
      </c>
      <c r="M364" s="17" t="s">
        <v>1041</v>
      </c>
      <c r="N364" s="17"/>
    </row>
    <row r="365" spans="1:14" ht="12.75" customHeight="1" x14ac:dyDescent="0.3">
      <c r="A365" s="38"/>
      <c r="B365" s="17" t="s">
        <v>2589</v>
      </c>
      <c r="C365" s="17"/>
      <c r="D365" s="17"/>
      <c r="E365" s="17"/>
      <c r="F365" s="17"/>
      <c r="G365" s="38" t="s">
        <v>2996</v>
      </c>
      <c r="H365" s="17" t="s">
        <v>1058</v>
      </c>
      <c r="I365" s="276"/>
      <c r="J365" s="294" t="str">
        <f>IF(ISBLANK(HLOOKUP(CaseName,CaseData,MATCH($G365,cases!$G$4:$G$2494,0),FALSE)),"",HLOOKUP(CaseName,CaseData,MATCH($G365,cases!$G$4:$G$2494,0),FALSE))</f>
        <v/>
      </c>
      <c r="K365" s="428">
        <f>L336/L366</f>
        <v>536616161.61616164</v>
      </c>
      <c r="L365" s="298">
        <f t="shared" si="22"/>
        <v>536616161.61616164</v>
      </c>
      <c r="M365" s="17" t="s">
        <v>1059</v>
      </c>
      <c r="N365" s="17"/>
    </row>
    <row r="366" spans="1:14" ht="12.75" customHeight="1" x14ac:dyDescent="0.3">
      <c r="A366" s="38"/>
      <c r="B366" s="38"/>
      <c r="C366" s="17" t="s">
        <v>2591</v>
      </c>
      <c r="D366" s="17"/>
      <c r="E366" s="17"/>
      <c r="F366" s="17"/>
      <c r="G366" s="38" t="s">
        <v>2997</v>
      </c>
      <c r="H366" s="17" t="s">
        <v>1044</v>
      </c>
      <c r="I366" s="285"/>
      <c r="J366" s="294" t="str">
        <f>IF(ISBLANK(HLOOKUP(CaseName,CaseData,MATCH($G366,cases!$G$4:$G$2494,0),FALSE)),"",HLOOKUP(CaseName,CaseData,MATCH($G366,cases!$G$4:$G$2494,0),FALSE))</f>
        <v/>
      </c>
      <c r="K366" s="428">
        <v>55</v>
      </c>
      <c r="L366" s="298">
        <f>IF(ISBLANK(I366),IF(ISNUMBER(J366)=FALSE,K366*(3600*24),J366*(3600*24)),I366*(3600*24))</f>
        <v>4752000</v>
      </c>
      <c r="M366" s="38" t="s">
        <v>1045</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2010</v>
      </c>
      <c r="B368" s="147"/>
      <c r="C368" s="147"/>
      <c r="D368" s="147"/>
      <c r="E368" s="147"/>
      <c r="F368" s="147"/>
      <c r="G368" s="148" t="s">
        <v>258</v>
      </c>
      <c r="H368" s="148" t="s">
        <v>274</v>
      </c>
      <c r="I368" s="147" t="s">
        <v>259</v>
      </c>
      <c r="J368" s="271" t="s">
        <v>2953</v>
      </c>
      <c r="K368" s="331" t="s">
        <v>260</v>
      </c>
      <c r="L368" s="331" t="s">
        <v>261</v>
      </c>
      <c r="M368" s="147"/>
      <c r="N368" s="148" t="s">
        <v>262</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2593</v>
      </c>
      <c r="C370" s="17"/>
      <c r="D370" s="17"/>
      <c r="E370" s="17"/>
      <c r="F370" s="17"/>
      <c r="G370" s="38" t="s">
        <v>2998</v>
      </c>
      <c r="H370" s="38" t="s">
        <v>291</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292</v>
      </c>
      <c r="N370" s="38"/>
    </row>
    <row r="371" spans="1:14" ht="12.75" customHeight="1" x14ac:dyDescent="0.3">
      <c r="A371" s="17"/>
      <c r="B371" s="17" t="s">
        <v>2013</v>
      </c>
      <c r="C371" s="17"/>
      <c r="D371" s="17"/>
      <c r="E371" s="17"/>
      <c r="F371" s="17"/>
      <c r="G371" s="17" t="s">
        <v>2999</v>
      </c>
      <c r="H371" s="17" t="s">
        <v>291</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292</v>
      </c>
      <c r="N371" s="17" t="s">
        <v>1073</v>
      </c>
    </row>
    <row r="372" spans="1:14" ht="12.75" customHeight="1" x14ac:dyDescent="0.3">
      <c r="A372" s="17"/>
      <c r="B372" s="17" t="s">
        <v>2015</v>
      </c>
      <c r="C372" s="17"/>
      <c r="D372" s="17"/>
      <c r="E372" s="17"/>
      <c r="F372" s="17"/>
      <c r="G372" s="17" t="s">
        <v>3000</v>
      </c>
      <c r="H372" s="17" t="s">
        <v>291</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292</v>
      </c>
      <c r="N372" s="17" t="s">
        <v>1073</v>
      </c>
    </row>
    <row r="373" spans="1:14" ht="12.75" customHeight="1" x14ac:dyDescent="0.3">
      <c r="A373" s="17"/>
      <c r="B373" s="17"/>
      <c r="C373" s="38" t="s">
        <v>2017</v>
      </c>
      <c r="D373" s="38"/>
      <c r="E373" s="38"/>
      <c r="F373" s="38"/>
      <c r="G373" s="38" t="s">
        <v>3001</v>
      </c>
      <c r="H373" s="38" t="s">
        <v>291</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292</v>
      </c>
      <c r="N373" s="17"/>
    </row>
    <row r="374" spans="1:14" ht="12.75" customHeight="1" x14ac:dyDescent="0.3">
      <c r="A374" s="38"/>
      <c r="B374" s="17"/>
      <c r="C374" s="17" t="s">
        <v>3002</v>
      </c>
      <c r="D374" s="17"/>
      <c r="E374" s="17"/>
      <c r="F374" s="17"/>
      <c r="G374" s="17" t="s">
        <v>3003</v>
      </c>
      <c r="H374" s="17" t="s">
        <v>585</v>
      </c>
      <c r="I374" s="281"/>
      <c r="J374" s="294" t="str">
        <f>IF(ISBLANK(HLOOKUP(CaseName,CaseData,MATCH($G374,cases!$G$4:$G$2494,0),FALSE)),"",HLOOKUP(CaseName,CaseData,MATCH($G374,cases!$G$4:$G$2494,0),FALSE))</f>
        <v/>
      </c>
      <c r="K374" s="428">
        <v>-10</v>
      </c>
      <c r="L374" s="298">
        <f>IF(ISBLANK(I374),IF(ISNUMBER(J374)=FALSE,K374+273,J374+273),I374+273)</f>
        <v>263</v>
      </c>
      <c r="M374" s="38" t="s">
        <v>586</v>
      </c>
      <c r="N374" s="17"/>
    </row>
    <row r="375" spans="1:14" ht="12.75" customHeight="1" x14ac:dyDescent="0.4">
      <c r="A375" s="17"/>
      <c r="B375" s="17"/>
      <c r="C375" s="17" t="s">
        <v>2019</v>
      </c>
      <c r="D375" s="17"/>
      <c r="E375" s="17"/>
      <c r="F375" s="17"/>
      <c r="G375" s="17" t="s">
        <v>3004</v>
      </c>
      <c r="H375" s="17" t="s">
        <v>1081</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2601</v>
      </c>
      <c r="N375" s="17"/>
    </row>
    <row r="376" spans="1:14" ht="12.75" customHeight="1" x14ac:dyDescent="0.4">
      <c r="A376" s="17"/>
      <c r="B376" s="17"/>
      <c r="C376" s="17" t="s">
        <v>2021</v>
      </c>
      <c r="D376" s="17"/>
      <c r="E376" s="17"/>
      <c r="F376" s="17"/>
      <c r="G376" s="17" t="s">
        <v>3005</v>
      </c>
      <c r="H376" s="17" t="s">
        <v>1084</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2603</v>
      </c>
      <c r="N376" s="17" t="s">
        <v>1085</v>
      </c>
    </row>
    <row r="377" spans="1:14" ht="12.75" customHeight="1" x14ac:dyDescent="0.3">
      <c r="A377" s="38"/>
      <c r="B377" s="38" t="s">
        <v>2604</v>
      </c>
      <c r="C377" s="146"/>
      <c r="D377" s="17"/>
      <c r="E377" s="17"/>
      <c r="F377" s="17"/>
      <c r="G377" s="38" t="s">
        <v>3006</v>
      </c>
      <c r="H377" s="38" t="s">
        <v>291</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292</v>
      </c>
      <c r="N377" s="17"/>
    </row>
    <row r="378" spans="1:14" ht="12.75" customHeight="1" x14ac:dyDescent="0.3">
      <c r="A378" s="38"/>
      <c r="B378" s="38" t="s">
        <v>2606</v>
      </c>
      <c r="C378" s="146"/>
      <c r="D378" s="17"/>
      <c r="E378" s="17"/>
      <c r="F378" s="17"/>
      <c r="G378" s="38" t="s">
        <v>3007</v>
      </c>
      <c r="H378" s="38" t="s">
        <v>291</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292</v>
      </c>
      <c r="N378" s="17"/>
    </row>
    <row r="379" spans="1:14" ht="12.75" customHeight="1" x14ac:dyDescent="0.3">
      <c r="A379" s="38"/>
      <c r="B379" s="17"/>
      <c r="C379" s="38" t="s">
        <v>2608</v>
      </c>
      <c r="D379" s="17"/>
      <c r="E379" s="17"/>
      <c r="F379" s="17"/>
      <c r="G379" s="146" t="s">
        <v>3008</v>
      </c>
      <c r="H379" s="38" t="s">
        <v>1090</v>
      </c>
      <c r="I379" s="281"/>
      <c r="J379" s="294" t="str">
        <f>IF(ISBLANK(HLOOKUP(CaseName,CaseData,MATCH($G379,cases!$G$4:$G$2494,0),FALSE)),"",HLOOKUP(CaseName,CaseData,MATCH($G379,cases!$G$4:$G$2494,0),FALSE))</f>
        <v/>
      </c>
      <c r="K379" s="428">
        <f>(FRorig.w2*Ksw+(1-FRorig.w2)*Ksw.alt)*(1000/RHOsolid/CORG)*L381</f>
        <v>95000</v>
      </c>
      <c r="L379" s="298">
        <f t="shared" si="24"/>
        <v>95000</v>
      </c>
      <c r="M379" s="38" t="s">
        <v>1091</v>
      </c>
      <c r="N379" s="17"/>
    </row>
    <row r="380" spans="1:14" ht="12.75" customHeight="1" x14ac:dyDescent="0.3">
      <c r="A380" s="38"/>
      <c r="B380" s="17"/>
      <c r="C380" s="38" t="s">
        <v>2610</v>
      </c>
      <c r="D380" s="17"/>
      <c r="E380" s="17"/>
      <c r="F380" s="17"/>
      <c r="G380" s="146" t="s">
        <v>3009</v>
      </c>
      <c r="H380" s="38" t="s">
        <v>1090</v>
      </c>
      <c r="I380" s="281"/>
      <c r="J380" s="294" t="str">
        <f>IF(ISBLANK(HLOOKUP(CaseName,CaseData,MATCH($G380,cases!$G$4:$G$2494,0),FALSE)),"",HLOOKUP(CaseName,CaseData,MATCH($G380,cases!$G$4:$G$2494,0),FALSE))</f>
        <v/>
      </c>
      <c r="K380" s="428">
        <f>(FRorig.w2*Ksw+(1-FRorig.w2)*Ksw.alt)*(1000/RHOsolid/CORG)*L382</f>
        <v>95000</v>
      </c>
      <c r="L380" s="298">
        <f t="shared" si="24"/>
        <v>95000</v>
      </c>
      <c r="M380" s="38" t="s">
        <v>1091</v>
      </c>
      <c r="N380" s="17"/>
    </row>
    <row r="381" spans="1:14" ht="12.75" customHeight="1" x14ac:dyDescent="0.3">
      <c r="A381" s="38"/>
      <c r="B381" s="17"/>
      <c r="C381" s="38" t="s">
        <v>2612</v>
      </c>
      <c r="D381" s="17"/>
      <c r="E381" s="17"/>
      <c r="F381" s="17"/>
      <c r="G381" s="146" t="s">
        <v>3010</v>
      </c>
      <c r="H381" s="38" t="s">
        <v>291</v>
      </c>
      <c r="I381" s="281"/>
      <c r="J381" s="294" t="str">
        <f>IF(ISBLANK(HLOOKUP(CaseName,CaseData,MATCH($G381,cases!$G$4:$G$2494,0),FALSE)),"",HLOOKUP(CaseName,CaseData,MATCH($G381,cases!$G$4:$G$2494,0),FALSE))</f>
        <v/>
      </c>
      <c r="K381" s="428">
        <v>0.1</v>
      </c>
      <c r="L381" s="298">
        <f t="shared" si="24"/>
        <v>0.1</v>
      </c>
      <c r="M381" s="38" t="s">
        <v>292</v>
      </c>
      <c r="N381" s="17"/>
    </row>
    <row r="382" spans="1:14" ht="12.75" customHeight="1" x14ac:dyDescent="0.3">
      <c r="A382" s="38"/>
      <c r="B382" s="17"/>
      <c r="C382" s="38" t="s">
        <v>2614</v>
      </c>
      <c r="D382" s="17"/>
      <c r="E382" s="17"/>
      <c r="F382" s="17"/>
      <c r="G382" s="146" t="s">
        <v>3011</v>
      </c>
      <c r="H382" s="38" t="s">
        <v>291</v>
      </c>
      <c r="I382" s="281"/>
      <c r="J382" s="294" t="str">
        <f>IF(ISBLANK(HLOOKUP(CaseName,CaseData,MATCH($G382,cases!$G$4:$G$2494,0),FALSE)),"",HLOOKUP(CaseName,CaseData,MATCH($G382,cases!$G$4:$G$2494,0),FALSE))</f>
        <v/>
      </c>
      <c r="K382" s="428">
        <v>0.1</v>
      </c>
      <c r="L382" s="298">
        <f t="shared" si="24"/>
        <v>0.1</v>
      </c>
      <c r="M382" s="38" t="s">
        <v>292</v>
      </c>
      <c r="N382" s="17"/>
    </row>
    <row r="383" spans="1:14" ht="12.75" customHeight="1" x14ac:dyDescent="0.3">
      <c r="A383" s="38"/>
      <c r="B383" s="17"/>
      <c r="C383" s="38" t="s">
        <v>2616</v>
      </c>
      <c r="D383" s="17"/>
      <c r="E383" s="17"/>
      <c r="F383" s="17"/>
      <c r="G383" s="146" t="s">
        <v>3012</v>
      </c>
      <c r="H383" s="38" t="s">
        <v>579</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717</v>
      </c>
      <c r="N383" s="17"/>
    </row>
    <row r="384" spans="1:14" ht="12.75" customHeight="1" x14ac:dyDescent="0.3">
      <c r="A384" s="38"/>
      <c r="B384" s="17"/>
      <c r="C384" s="38" t="s">
        <v>2618</v>
      </c>
      <c r="D384" s="17"/>
      <c r="E384" s="17"/>
      <c r="F384" s="17"/>
      <c r="G384" s="146" t="s">
        <v>3013</v>
      </c>
      <c r="H384" s="38" t="s">
        <v>579</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717</v>
      </c>
      <c r="N384" s="17"/>
    </row>
    <row r="385" spans="1:14" ht="12.75" customHeight="1" x14ac:dyDescent="0.3">
      <c r="A385" s="38"/>
      <c r="B385" s="17"/>
      <c r="C385" s="38" t="s">
        <v>2620</v>
      </c>
      <c r="D385" s="17"/>
      <c r="E385" s="17"/>
      <c r="F385" s="17"/>
      <c r="G385" s="146" t="s">
        <v>3014</v>
      </c>
      <c r="H385" s="38" t="s">
        <v>1096</v>
      </c>
      <c r="I385" s="274"/>
      <c r="J385" s="294" t="str">
        <f>IF(ISBLANK(HLOOKUP(CaseName,CaseData,MATCH($G385,cases!$G$4:$G$2494,0),FALSE)),"",HLOOKUP(CaseName,CaseData,MATCH($G385,cases!$G$4:$G$2494,0),FALSE))</f>
        <v/>
      </c>
      <c r="K385" s="428">
        <f>0.08*D</f>
        <v>220</v>
      </c>
      <c r="L385" s="298">
        <f>IF(ISBLANK(I385),IF(ISNUMBER(J385)=FALSE,K385,J385),I385)</f>
        <v>220</v>
      </c>
      <c r="M385" s="38" t="s">
        <v>1091</v>
      </c>
      <c r="N385" s="17"/>
    </row>
    <row r="386" spans="1:14" ht="12.75" customHeight="1" x14ac:dyDescent="0.3">
      <c r="A386" s="38"/>
      <c r="B386" s="17"/>
      <c r="C386" s="38" t="s">
        <v>2622</v>
      </c>
      <c r="D386" s="17"/>
      <c r="E386" s="17"/>
      <c r="F386" s="17"/>
      <c r="G386" s="146" t="s">
        <v>3015</v>
      </c>
      <c r="H386" s="38" t="s">
        <v>1096</v>
      </c>
      <c r="I386" s="274"/>
      <c r="J386" s="294" t="str">
        <f>IF(ISBLANK(HLOOKUP(CaseName,CaseData,MATCH($G386,cases!$G$4:$G$2494,0),FALSE)),"",HLOOKUP(CaseName,CaseData,MATCH($G386,cases!$G$4:$G$2494,0),FALSE))</f>
        <v/>
      </c>
      <c r="K386" s="428">
        <f>0.08*D</f>
        <v>220</v>
      </c>
      <c r="L386" s="298">
        <f>IF(ISBLANK(I386),IF(ISNUMBER(J386)=FALSE,K386,J386),I386)</f>
        <v>220</v>
      </c>
      <c r="M386" s="38" t="s">
        <v>1091</v>
      </c>
      <c r="N386" s="17"/>
    </row>
    <row r="387" spans="1:14" ht="12.75" customHeight="1" x14ac:dyDescent="0.3">
      <c r="A387" s="38"/>
      <c r="B387" s="17"/>
      <c r="C387" s="38" t="s">
        <v>2624</v>
      </c>
      <c r="D387" s="17"/>
      <c r="E387" s="17"/>
      <c r="F387" s="17"/>
      <c r="G387" s="146" t="s">
        <v>3016</v>
      </c>
      <c r="H387" s="38" t="s">
        <v>716</v>
      </c>
      <c r="I387" s="274"/>
      <c r="J387" s="294" t="str">
        <f>IF(ISBLANK(HLOOKUP(CaseName,CaseData,MATCH($G387,cases!$G$4:$G$2494,0),FALSE)),"",HLOOKUP(CaseName,CaseData,MATCH($G387,cases!$G$4:$G$2494,0),FALSE))</f>
        <v/>
      </c>
      <c r="K387" s="428">
        <v>1</v>
      </c>
      <c r="L387" s="298">
        <f>IF(ISBLANK(I387),IF(ISNUMBER(J387)=FALSE,K387/1000,J387/1000),I387/1000)</f>
        <v>1E-3</v>
      </c>
      <c r="M387" s="38" t="s">
        <v>717</v>
      </c>
      <c r="N387" s="17"/>
    </row>
    <row r="388" spans="1:14" ht="12.75" customHeight="1" x14ac:dyDescent="0.3">
      <c r="A388" s="38"/>
      <c r="B388" s="17"/>
      <c r="C388" s="38" t="s">
        <v>2626</v>
      </c>
      <c r="D388" s="17"/>
      <c r="E388" s="17"/>
      <c r="F388" s="17"/>
      <c r="G388" s="146" t="s">
        <v>3017</v>
      </c>
      <c r="H388" s="38" t="s">
        <v>716</v>
      </c>
      <c r="I388" s="274"/>
      <c r="J388" s="294" t="str">
        <f>IF(ISBLANK(HLOOKUP(CaseName,CaseData,MATCH($G388,cases!$G$4:$G$2494,0),FALSE)),"",HLOOKUP(CaseName,CaseData,MATCH($G388,cases!$G$4:$G$2494,0),FALSE))</f>
        <v/>
      </c>
      <c r="K388" s="428">
        <v>1</v>
      </c>
      <c r="L388" s="298">
        <f>IF(ISBLANK(I388),IF(ISNUMBER(J388)=FALSE,K388/1000,J388/1000),I388/1000)</f>
        <v>1E-3</v>
      </c>
      <c r="M388" s="38" t="s">
        <v>717</v>
      </c>
      <c r="N388" s="17"/>
    </row>
    <row r="389" spans="1:14" ht="12.75" customHeight="1" x14ac:dyDescent="0.3">
      <c r="A389" s="38"/>
      <c r="B389" s="38" t="s">
        <v>2628</v>
      </c>
      <c r="C389" s="146"/>
      <c r="D389" s="17"/>
      <c r="E389" s="17"/>
      <c r="F389" s="17"/>
      <c r="G389" s="146" t="s">
        <v>3018</v>
      </c>
      <c r="H389" s="38" t="s">
        <v>291</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292</v>
      </c>
      <c r="N389" s="17"/>
    </row>
    <row r="390" spans="1:14" ht="12.75" customHeight="1" x14ac:dyDescent="0.3">
      <c r="A390" s="38"/>
      <c r="B390" s="17"/>
      <c r="C390" s="38" t="s">
        <v>2630</v>
      </c>
      <c r="D390" s="17"/>
      <c r="E390" s="17"/>
      <c r="F390" s="17"/>
      <c r="G390" s="146" t="s">
        <v>3019</v>
      </c>
      <c r="H390" s="38" t="s">
        <v>1090</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1091</v>
      </c>
      <c r="N390" s="17"/>
    </row>
    <row r="391" spans="1:14" ht="12.75" customHeight="1" x14ac:dyDescent="0.3">
      <c r="A391" s="38"/>
      <c r="B391" s="17"/>
      <c r="C391" s="38" t="s">
        <v>2632</v>
      </c>
      <c r="D391" s="17"/>
      <c r="E391" s="17"/>
      <c r="F391" s="17"/>
      <c r="G391" s="146" t="s">
        <v>3020</v>
      </c>
      <c r="H391" s="38" t="s">
        <v>291</v>
      </c>
      <c r="I391" s="281"/>
      <c r="J391" s="294" t="str">
        <f>IF(ISBLANK(HLOOKUP(CaseName,CaseData,MATCH($G391,cases!$G$4:$G$2494,0),FALSE)),"",HLOOKUP(CaseName,CaseData,MATCH($G391,cases!$G$4:$G$2494,0),FALSE))</f>
        <v/>
      </c>
      <c r="K391" s="428">
        <v>0.05</v>
      </c>
      <c r="L391" s="298">
        <f t="shared" si="25"/>
        <v>0.05</v>
      </c>
      <c r="M391" s="38" t="s">
        <v>292</v>
      </c>
      <c r="N391" s="17"/>
    </row>
    <row r="392" spans="1:14" ht="12.75" customHeight="1" x14ac:dyDescent="0.3">
      <c r="A392" s="38"/>
      <c r="B392" s="38" t="s">
        <v>2634</v>
      </c>
      <c r="C392" s="146"/>
      <c r="D392" s="17"/>
      <c r="E392" s="17"/>
      <c r="F392" s="17"/>
      <c r="G392" s="146" t="s">
        <v>3021</v>
      </c>
      <c r="H392" s="38" t="s">
        <v>291</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292</v>
      </c>
      <c r="N392" s="17"/>
    </row>
    <row r="393" spans="1:14" ht="12.75" customHeight="1" x14ac:dyDescent="0.3">
      <c r="A393" s="38"/>
      <c r="B393" s="38" t="s">
        <v>2636</v>
      </c>
      <c r="C393" s="146"/>
      <c r="D393" s="17"/>
      <c r="E393" s="17"/>
      <c r="F393" s="17"/>
      <c r="G393" s="146" t="s">
        <v>3022</v>
      </c>
      <c r="H393" s="38" t="s">
        <v>291</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292</v>
      </c>
      <c r="N393" s="17"/>
    </row>
    <row r="394" spans="1:14" ht="12.75" customHeight="1" x14ac:dyDescent="0.3">
      <c r="A394" s="38"/>
      <c r="B394" s="38" t="s">
        <v>2638</v>
      </c>
      <c r="C394" s="146"/>
      <c r="D394" s="17"/>
      <c r="E394" s="17"/>
      <c r="F394" s="17"/>
      <c r="G394" s="146" t="s">
        <v>3023</v>
      </c>
      <c r="H394" s="38" t="s">
        <v>291</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292</v>
      </c>
      <c r="N394" s="17"/>
    </row>
    <row r="395" spans="1:14" ht="12.75" customHeight="1" x14ac:dyDescent="0.3">
      <c r="A395" s="38"/>
      <c r="B395" s="17"/>
      <c r="C395" s="38" t="s">
        <v>2640</v>
      </c>
      <c r="D395" s="17"/>
      <c r="E395" s="17"/>
      <c r="F395" s="17"/>
      <c r="G395" s="146" t="s">
        <v>3024</v>
      </c>
      <c r="H395" s="38" t="s">
        <v>1090</v>
      </c>
      <c r="I395" s="281"/>
      <c r="J395" s="294" t="str">
        <f>IF(ISBLANK(HLOOKUP(CaseName,CaseData,MATCH($G395,cases!$G$4:$G$2494,0),FALSE)),"",HLOOKUP(CaseName,CaseData,MATCH($G395,cases!$G$4:$G$2494,0),FALSE))</f>
        <v/>
      </c>
      <c r="K395" s="428">
        <f>(FRorig.s1*Ksw+(1-FRorig.s1)*Ksw.alt)*(1000/RHOsolid/CORG)*L396</f>
        <v>19000</v>
      </c>
      <c r="L395" s="298">
        <f t="shared" si="25"/>
        <v>19000</v>
      </c>
      <c r="M395" s="38" t="s">
        <v>1091</v>
      </c>
      <c r="N395" s="17"/>
    </row>
    <row r="396" spans="1:14" ht="12.75" customHeight="1" x14ac:dyDescent="0.3">
      <c r="A396" s="38"/>
      <c r="B396" s="17"/>
      <c r="C396" s="38" t="s">
        <v>2642</v>
      </c>
      <c r="D396" s="17"/>
      <c r="E396" s="17"/>
      <c r="F396" s="17"/>
      <c r="G396" s="146" t="s">
        <v>3025</v>
      </c>
      <c r="H396" s="38" t="s">
        <v>291</v>
      </c>
      <c r="I396" s="281"/>
      <c r="J396" s="294" t="str">
        <f>IF(ISBLANK(HLOOKUP(CaseName,CaseData,MATCH($G396,cases!$G$4:$G$2494,0),FALSE)),"",HLOOKUP(CaseName,CaseData,MATCH($G396,cases!$G$4:$G$2494,0),FALSE))</f>
        <v/>
      </c>
      <c r="K396" s="428">
        <v>0.02</v>
      </c>
      <c r="L396" s="298">
        <f t="shared" si="25"/>
        <v>0.02</v>
      </c>
      <c r="M396" s="17" t="s">
        <v>292</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1155</v>
      </c>
      <c r="B398" s="147"/>
      <c r="C398" s="147"/>
      <c r="D398" s="147"/>
      <c r="E398" s="147"/>
      <c r="F398" s="147"/>
      <c r="G398" s="148" t="s">
        <v>258</v>
      </c>
      <c r="H398" s="148" t="s">
        <v>274</v>
      </c>
      <c r="I398" s="147" t="s">
        <v>259</v>
      </c>
      <c r="J398" s="271" t="s">
        <v>2953</v>
      </c>
      <c r="K398" s="331" t="s">
        <v>260</v>
      </c>
      <c r="L398" s="331" t="s">
        <v>261</v>
      </c>
      <c r="M398" s="147"/>
      <c r="N398" s="148" t="s">
        <v>262</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2644</v>
      </c>
      <c r="B400" s="17"/>
      <c r="C400" s="17"/>
      <c r="D400" s="17"/>
      <c r="E400" s="17"/>
      <c r="F400" s="17"/>
      <c r="G400" s="38" t="s">
        <v>3026</v>
      </c>
      <c r="H400" s="38" t="s">
        <v>617</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1041</v>
      </c>
      <c r="N400" s="17"/>
    </row>
    <row r="401" spans="1:14" ht="12.75" customHeight="1" x14ac:dyDescent="0.3">
      <c r="A401" s="38" t="s">
        <v>2646</v>
      </c>
      <c r="B401" s="17"/>
      <c r="C401" s="17"/>
      <c r="D401" s="17"/>
      <c r="E401" s="17"/>
      <c r="F401" s="17"/>
      <c r="G401" s="38" t="s">
        <v>3027</v>
      </c>
      <c r="H401" s="38" t="s">
        <v>617</v>
      </c>
      <c r="I401" s="276"/>
      <c r="J401" s="294" t="str">
        <f>IF(ISBLANK(HLOOKUP(CaseName,CaseData,MATCH($G401,cases!$G$4:$G$2494,0),FALSE)),"",HLOOKUP(CaseName,CaseData,MATCH($G401,cases!$G$4:$G$2494,0),FALSE))</f>
        <v/>
      </c>
      <c r="K401" s="616">
        <f>(L404+L417/L343)*L342</f>
        <v>3.2067534978259445E-6</v>
      </c>
      <c r="L401" s="298">
        <f t="shared" si="27"/>
        <v>3.2067534978259445E-6</v>
      </c>
      <c r="M401" s="17" t="s">
        <v>1041</v>
      </c>
      <c r="N401" s="17"/>
    </row>
    <row r="402" spans="1:14" ht="12.75" customHeight="1" x14ac:dyDescent="0.3">
      <c r="A402" s="38" t="s">
        <v>2648</v>
      </c>
      <c r="B402" s="17"/>
      <c r="C402" s="17"/>
      <c r="D402" s="17"/>
      <c r="E402" s="17"/>
      <c r="F402" s="17"/>
      <c r="G402" s="38" t="s">
        <v>3028</v>
      </c>
      <c r="H402" s="38" t="s">
        <v>617</v>
      </c>
      <c r="I402" s="276"/>
      <c r="J402" s="294" t="str">
        <f>IF(ISBLANK(HLOOKUP(CaseName,CaseData,MATCH($G402,cases!$G$4:$G$2494,0),FALSE)),"",HLOOKUP(CaseName,CaseData,MATCH($G402,cases!$G$4:$G$2494,0),FALSE))</f>
        <v/>
      </c>
      <c r="K402" s="616">
        <f>L418/L344</f>
        <v>8.4354969655652253E-34</v>
      </c>
      <c r="L402" s="298">
        <f t="shared" si="27"/>
        <v>8.4354969655652253E-34</v>
      </c>
      <c r="M402" s="17" t="s">
        <v>1041</v>
      </c>
      <c r="N402" s="17"/>
    </row>
    <row r="403" spans="1:14" ht="12.75" customHeight="1" x14ac:dyDescent="0.3">
      <c r="A403" s="38" t="s">
        <v>2650</v>
      </c>
      <c r="B403" s="17"/>
      <c r="C403" s="17"/>
      <c r="D403" s="17"/>
      <c r="E403" s="17"/>
      <c r="F403" s="17"/>
      <c r="G403" s="38" t="s">
        <v>3029</v>
      </c>
      <c r="H403" s="38" t="s">
        <v>617</v>
      </c>
      <c r="I403" s="276"/>
      <c r="J403" s="294" t="str">
        <f>IF(ISBLANK(HLOOKUP(CaseName,CaseData,MATCH($G403,cases!$G$4:$G$2494,0),FALSE)),"",HLOOKUP(CaseName,CaseData,MATCH($G403,cases!$G$4:$G$2494,0),FALSE))</f>
        <v/>
      </c>
      <c r="K403" s="616">
        <f>L419/L347</f>
        <v>2.3536002012694911E-35</v>
      </c>
      <c r="L403" s="298">
        <f t="shared" si="27"/>
        <v>2.3536002012694911E-35</v>
      </c>
      <c r="M403" s="17" t="s">
        <v>1041</v>
      </c>
      <c r="N403" s="17"/>
    </row>
    <row r="404" spans="1:14" ht="12.75" customHeight="1" x14ac:dyDescent="0.3">
      <c r="A404" s="38"/>
      <c r="B404" s="38" t="s">
        <v>2091</v>
      </c>
      <c r="C404" s="17"/>
      <c r="D404" s="17"/>
      <c r="E404" s="17"/>
      <c r="F404" s="17"/>
      <c r="G404" s="540" t="s">
        <v>3030</v>
      </c>
      <c r="H404" s="38" t="s">
        <v>617</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1885</v>
      </c>
      <c r="N404" s="17"/>
    </row>
    <row r="405" spans="1:14" ht="12.75" customHeight="1" x14ac:dyDescent="0.3">
      <c r="A405" s="38"/>
      <c r="B405" s="38"/>
      <c r="C405" s="17" t="s">
        <v>2093</v>
      </c>
      <c r="D405" s="17"/>
      <c r="E405" s="17"/>
      <c r="F405" s="17"/>
      <c r="G405" s="540" t="s">
        <v>3031</v>
      </c>
      <c r="H405" s="38" t="s">
        <v>617</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1041</v>
      </c>
      <c r="N405" s="17"/>
    </row>
    <row r="406" spans="1:14" ht="12.75" customHeight="1" x14ac:dyDescent="0.3">
      <c r="A406" s="38"/>
      <c r="B406" s="38"/>
      <c r="C406" s="38"/>
      <c r="D406" s="38" t="s">
        <v>3032</v>
      </c>
      <c r="E406" s="17"/>
      <c r="F406" s="17"/>
      <c r="G406" s="540" t="s">
        <v>3033</v>
      </c>
      <c r="H406" s="38" t="s">
        <v>617</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1041</v>
      </c>
      <c r="N406" s="17"/>
    </row>
    <row r="407" spans="1:14" ht="12.75" customHeight="1" x14ac:dyDescent="0.3">
      <c r="A407" s="38"/>
      <c r="B407" s="38"/>
      <c r="C407" s="38"/>
      <c r="D407" s="38" t="s">
        <v>3034</v>
      </c>
      <c r="E407" s="17"/>
      <c r="F407" s="17"/>
      <c r="G407" s="540" t="s">
        <v>3035</v>
      </c>
      <c r="H407" s="38" t="s">
        <v>617</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1041</v>
      </c>
      <c r="N407" s="17"/>
    </row>
    <row r="408" spans="1:14" ht="12.75" customHeight="1" x14ac:dyDescent="0.3">
      <c r="A408" s="38"/>
      <c r="B408" s="38"/>
      <c r="C408" s="17" t="s">
        <v>1188</v>
      </c>
      <c r="D408" s="17"/>
      <c r="E408" s="17"/>
      <c r="F408" s="17"/>
      <c r="G408" s="17" t="s">
        <v>3036</v>
      </c>
      <c r="H408" s="17" t="s">
        <v>1190</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1045</v>
      </c>
      <c r="N408" s="17"/>
    </row>
    <row r="409" spans="1:14" ht="12.75" customHeight="1" x14ac:dyDescent="0.3">
      <c r="A409" s="38"/>
      <c r="B409" s="38"/>
      <c r="C409" s="17" t="s">
        <v>1191</v>
      </c>
      <c r="D409" s="17"/>
      <c r="E409" s="17"/>
      <c r="F409" s="17"/>
      <c r="G409" s="17" t="s">
        <v>3037</v>
      </c>
      <c r="H409" s="17" t="s">
        <v>1190</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3038</v>
      </c>
      <c r="N409" s="17"/>
    </row>
    <row r="410" spans="1:14" ht="12.75" customHeight="1" x14ac:dyDescent="0.3">
      <c r="A410" s="38"/>
      <c r="B410" s="38"/>
      <c r="C410" s="38" t="s">
        <v>1193</v>
      </c>
      <c r="D410" s="17"/>
      <c r="E410" s="17"/>
      <c r="F410" s="17"/>
      <c r="G410" s="146" t="s">
        <v>3039</v>
      </c>
      <c r="H410" s="31" t="s">
        <v>1195</v>
      </c>
      <c r="I410" s="281"/>
      <c r="J410" s="294" t="str">
        <f>IF(ISBLANK(HLOOKUP(CaseName,CaseData,MATCH($G410,cases!$G$4:$G$2494,0),FALSE)),"",HLOOKUP(CaseName,CaseData,MATCH($G410,cases!$G$4:$G$2494,0),FALSE))</f>
        <v/>
      </c>
      <c r="K410" s="616">
        <f>L413*(L371+L372)</f>
        <v>1E-3</v>
      </c>
      <c r="L410" s="298">
        <f>IF(ISBLANK(I410),IF(ISNUMBER(J410)=FALSE,K410,J410),I410)</f>
        <v>1E-3</v>
      </c>
      <c r="M410" s="17" t="s">
        <v>690</v>
      </c>
      <c r="N410" s="17"/>
    </row>
    <row r="411" spans="1:14" ht="12.75" customHeight="1" x14ac:dyDescent="0.3">
      <c r="A411" s="38"/>
      <c r="B411" s="38"/>
      <c r="C411" s="38" t="s">
        <v>1196</v>
      </c>
      <c r="D411" s="17"/>
      <c r="E411" s="17"/>
      <c r="F411" s="17"/>
      <c r="G411" s="38" t="s">
        <v>3040</v>
      </c>
      <c r="H411" s="146" t="s">
        <v>1195</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690</v>
      </c>
      <c r="N411" s="17"/>
    </row>
    <row r="412" spans="1:14" ht="12.75" customHeight="1" x14ac:dyDescent="0.3">
      <c r="A412" s="38"/>
      <c r="B412" s="38"/>
      <c r="C412" s="38" t="s">
        <v>2103</v>
      </c>
      <c r="D412" s="17"/>
      <c r="E412" s="17"/>
      <c r="F412" s="17"/>
      <c r="G412" s="38" t="s">
        <v>3041</v>
      </c>
      <c r="H412" s="146" t="s">
        <v>1195</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690</v>
      </c>
      <c r="N412" s="17"/>
    </row>
    <row r="413" spans="1:14" ht="12.75" customHeight="1" x14ac:dyDescent="0.3">
      <c r="A413" s="38"/>
      <c r="B413" s="38"/>
      <c r="C413" s="17"/>
      <c r="D413" s="146" t="s">
        <v>1200</v>
      </c>
      <c r="E413" s="146"/>
      <c r="F413" s="146"/>
      <c r="G413" s="146" t="s">
        <v>3042</v>
      </c>
      <c r="H413" s="31" t="s">
        <v>1195</v>
      </c>
      <c r="I413" s="281"/>
      <c r="J413" s="294" t="str">
        <f>IF(ISBLANK(HLOOKUP(CaseName,CaseData,MATCH($G413,cases!$G$4:$G$2494,0),FALSE)),"",HLOOKUP(CaseName,CaseData,MATCH($G413,cases!$G$4:$G$2494,0),FALSE))</f>
        <v/>
      </c>
      <c r="K413" s="616">
        <v>1E-3</v>
      </c>
      <c r="L413" s="298">
        <f>IF(ISBLANK(I413),IF(ISNUMBER(J413)=FALSE,K413,J413),I413)</f>
        <v>1E-3</v>
      </c>
      <c r="M413" s="17" t="s">
        <v>690</v>
      </c>
      <c r="N413" s="17"/>
    </row>
    <row r="414" spans="1:14" ht="12.75" customHeight="1" x14ac:dyDescent="0.3">
      <c r="A414" s="38"/>
      <c r="B414" s="38"/>
      <c r="C414" s="17"/>
      <c r="D414" s="38" t="s">
        <v>2666</v>
      </c>
      <c r="E414" s="146"/>
      <c r="F414" s="146"/>
      <c r="G414" s="146" t="s">
        <v>3043</v>
      </c>
      <c r="H414" s="146" t="s">
        <v>2668</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690</v>
      </c>
      <c r="N414" s="17"/>
    </row>
    <row r="415" spans="1:14" ht="12.75" customHeight="1" x14ac:dyDescent="0.3">
      <c r="A415" s="38"/>
      <c r="B415" s="38"/>
      <c r="C415" s="17"/>
      <c r="D415" s="38" t="s">
        <v>1202</v>
      </c>
      <c r="E415" s="17"/>
      <c r="F415" s="17"/>
      <c r="G415" s="146" t="s">
        <v>3044</v>
      </c>
      <c r="H415" s="38" t="s">
        <v>291</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292</v>
      </c>
      <c r="N415" s="17"/>
    </row>
    <row r="416" spans="1:14" ht="12.75" customHeight="1" x14ac:dyDescent="0.3">
      <c r="A416" s="38"/>
      <c r="B416" s="38" t="s">
        <v>1204</v>
      </c>
      <c r="C416" s="17"/>
      <c r="D416" s="38"/>
      <c r="E416" s="17"/>
      <c r="F416" s="17"/>
      <c r="G416" s="146" t="s">
        <v>3045</v>
      </c>
      <c r="H416" s="38" t="s">
        <v>866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3">
      <c r="A417" s="38"/>
      <c r="B417" s="38" t="s">
        <v>1206</v>
      </c>
      <c r="C417" s="17"/>
      <c r="D417" s="38"/>
      <c r="E417" s="17"/>
      <c r="F417" s="17"/>
      <c r="G417" s="146" t="s">
        <v>3046</v>
      </c>
      <c r="H417" s="38" t="s">
        <v>866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3">
      <c r="A418" s="38"/>
      <c r="B418" s="38" t="s">
        <v>2672</v>
      </c>
      <c r="C418" s="17"/>
      <c r="D418" s="38"/>
      <c r="E418" s="17"/>
      <c r="F418" s="17"/>
      <c r="G418" s="146" t="s">
        <v>3047</v>
      </c>
      <c r="H418" s="38" t="s">
        <v>866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3">
      <c r="A419" s="38"/>
      <c r="B419" s="38" t="s">
        <v>2674</v>
      </c>
      <c r="C419" s="17"/>
      <c r="D419" s="38"/>
      <c r="E419" s="17"/>
      <c r="F419" s="17"/>
      <c r="G419" s="146" t="s">
        <v>3048</v>
      </c>
      <c r="H419" s="38" t="s">
        <v>866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3">
      <c r="A420" s="17"/>
      <c r="B420" s="38"/>
      <c r="C420" s="17" t="s">
        <v>1215</v>
      </c>
      <c r="D420" s="17"/>
      <c r="E420" s="17"/>
      <c r="F420" s="17"/>
      <c r="G420" s="17" t="s">
        <v>3049</v>
      </c>
      <c r="H420" s="31" t="s">
        <v>1195</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690</v>
      </c>
      <c r="N420" s="17"/>
    </row>
    <row r="421" spans="1:14" ht="12.75" customHeight="1" x14ac:dyDescent="0.3">
      <c r="A421" s="17"/>
      <c r="B421" s="38"/>
      <c r="C421" s="17" t="s">
        <v>1217</v>
      </c>
      <c r="D421" s="17"/>
      <c r="E421" s="17"/>
      <c r="F421" s="17"/>
      <c r="G421" s="17" t="s">
        <v>3050</v>
      </c>
      <c r="H421" s="31" t="s">
        <v>1195</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690</v>
      </c>
      <c r="N421" s="17"/>
    </row>
    <row r="422" spans="1:14" ht="12.75" customHeight="1" x14ac:dyDescent="0.3">
      <c r="A422" s="38"/>
      <c r="B422" s="17"/>
      <c r="C422" s="146" t="s">
        <v>2678</v>
      </c>
      <c r="D422" s="17"/>
      <c r="E422" s="17"/>
      <c r="F422" s="17"/>
      <c r="G422" s="38" t="s">
        <v>3051</v>
      </c>
      <c r="H422" s="31" t="s">
        <v>1195</v>
      </c>
      <c r="I422" s="281"/>
      <c r="J422" s="294" t="str">
        <f>IF(ISBLANK(HLOOKUP(CaseName,CaseData,MATCH($G422,cases!$G$4:$G$2494,0),FALSE)),"",HLOOKUP(CaseName,CaseData,MATCH($G422,cases!$G$4:$G$2494,0),FALSE))</f>
        <v/>
      </c>
      <c r="K422" s="616">
        <v>3</v>
      </c>
      <c r="L422" s="298">
        <f t="shared" si="28"/>
        <v>3</v>
      </c>
      <c r="M422" s="17" t="s">
        <v>690</v>
      </c>
      <c r="N422" s="17"/>
    </row>
    <row r="423" spans="1:14" ht="12.75" customHeight="1" x14ac:dyDescent="0.3">
      <c r="A423" s="38"/>
      <c r="B423" s="38"/>
      <c r="C423" s="17" t="s">
        <v>1225</v>
      </c>
      <c r="D423" s="17"/>
      <c r="E423" s="146"/>
      <c r="F423" s="146"/>
      <c r="G423" s="17" t="s">
        <v>3052</v>
      </c>
      <c r="H423" s="31" t="s">
        <v>1195</v>
      </c>
      <c r="I423" s="281"/>
      <c r="J423" s="294" t="str">
        <f>IF(ISBLANK(HLOOKUP(CaseName,CaseData,MATCH($G423,cases!$G$4:$G$2494,0),FALSE)),"",HLOOKUP(CaseName,CaseData,MATCH($G423,cases!$G$4:$G$2494,0),FALSE))</f>
        <v/>
      </c>
      <c r="K423" s="616">
        <f>0.43/(24*3600)/0.00475</f>
        <v>1.0477582846003899E-3</v>
      </c>
      <c r="L423" s="298">
        <f t="shared" si="28"/>
        <v>1.0477582846003899E-3</v>
      </c>
      <c r="M423" s="17" t="s">
        <v>690</v>
      </c>
      <c r="N423" s="17"/>
    </row>
    <row r="424" spans="1:14" ht="12.75" customHeight="1" x14ac:dyDescent="0.3">
      <c r="A424" s="38"/>
      <c r="B424" s="38"/>
      <c r="C424" s="17" t="s">
        <v>1227</v>
      </c>
      <c r="D424" s="17"/>
      <c r="E424" s="17"/>
      <c r="F424" s="17"/>
      <c r="G424" s="17" t="s">
        <v>3053</v>
      </c>
      <c r="H424" s="146" t="s">
        <v>1195</v>
      </c>
      <c r="I424" s="281"/>
      <c r="J424" s="294" t="str">
        <f>IF(ISBLANK(HLOOKUP(CaseName,CaseData,MATCH($G424,cases!$G$4:$G$2494,0),FALSE)),"",HLOOKUP(CaseName,CaseData,MATCH($G424,cases!$G$4:$G$2494,0),FALSE))</f>
        <v/>
      </c>
      <c r="K424" s="616">
        <f>0.1*L462</f>
        <v>8.8388347648318441E-23</v>
      </c>
      <c r="L424" s="298">
        <f t="shared" si="28"/>
        <v>8.8388347648318441E-23</v>
      </c>
      <c r="M424" s="17" t="s">
        <v>690</v>
      </c>
      <c r="N424" s="17" t="s">
        <v>2123</v>
      </c>
    </row>
    <row r="425" spans="1:14" ht="12.75" customHeight="1" x14ac:dyDescent="0.3">
      <c r="A425" s="38"/>
      <c r="B425" s="38"/>
      <c r="C425" s="17" t="s">
        <v>1229</v>
      </c>
      <c r="D425" s="17"/>
      <c r="E425" s="146"/>
      <c r="F425" s="17"/>
      <c r="G425" s="38" t="s">
        <v>3054</v>
      </c>
      <c r="H425" s="17" t="s">
        <v>291</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292</v>
      </c>
      <c r="N425" s="17" t="s">
        <v>1231</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2683</v>
      </c>
      <c r="B427" s="17"/>
      <c r="C427" s="17"/>
      <c r="D427" s="17"/>
      <c r="E427" s="17"/>
      <c r="F427" s="17"/>
      <c r="G427" s="38" t="s">
        <v>3055</v>
      </c>
      <c r="H427" s="38" t="s">
        <v>617</v>
      </c>
      <c r="I427" s="276"/>
      <c r="J427" s="294" t="str">
        <f>IF(ISBLANK(HLOOKUP(CaseName,CaseData,MATCH($G427,cases!$G$4:$G$2494,0),FALSE)),"",HLOOKUP(CaseName,CaseData,MATCH($G427,cases!$G$4:$G$2494,0),FALSE))</f>
        <v/>
      </c>
      <c r="K427" s="616">
        <f>(L429+L435)/L345</f>
        <v>3.1132268755843781E-9</v>
      </c>
      <c r="L427" s="298">
        <f t="shared" ref="L427:L433" si="29">IF(ISBLANK(I427),IF(ISNUMBER(J427)=FALSE,K427,J427),I427)</f>
        <v>3.1132268755843781E-9</v>
      </c>
      <c r="M427" s="17" t="s">
        <v>1041</v>
      </c>
      <c r="N427" s="17"/>
    </row>
    <row r="428" spans="1:14" ht="12.75" customHeight="1" x14ac:dyDescent="0.3">
      <c r="A428" s="38" t="s">
        <v>2685</v>
      </c>
      <c r="B428" s="17"/>
      <c r="C428" s="17"/>
      <c r="D428" s="17"/>
      <c r="E428" s="17"/>
      <c r="F428" s="17"/>
      <c r="G428" s="38" t="s">
        <v>3056</v>
      </c>
      <c r="H428" s="38" t="s">
        <v>617</v>
      </c>
      <c r="I428" s="276"/>
      <c r="J428" s="294" t="str">
        <f>IF(ISBLANK(HLOOKUP(CaseName,CaseData,MATCH($G428,cases!$G$4:$G$2494,0),FALSE)),"",HLOOKUP(CaseName,CaseData,MATCH($G428,cases!$G$4:$G$2494,0),FALSE))</f>
        <v/>
      </c>
      <c r="K428" s="616">
        <f>(L430+L436)/L346</f>
        <v>9.6815498812715332E-9</v>
      </c>
      <c r="L428" s="298">
        <f t="shared" si="29"/>
        <v>9.6815498812715332E-9</v>
      </c>
      <c r="M428" s="17" t="s">
        <v>1041</v>
      </c>
      <c r="N428" s="17"/>
    </row>
    <row r="429" spans="1:14" ht="12.75" customHeight="1" x14ac:dyDescent="0.3">
      <c r="A429" s="38"/>
      <c r="B429" s="38" t="s">
        <v>2687</v>
      </c>
      <c r="C429" s="17"/>
      <c r="D429" s="17"/>
      <c r="E429" s="17"/>
      <c r="F429" s="17"/>
      <c r="G429" s="540" t="s">
        <v>3057</v>
      </c>
      <c r="H429" s="38" t="s">
        <v>1195</v>
      </c>
      <c r="I429" s="276"/>
      <c r="J429" s="294" t="str">
        <f>IF(ISBLANK(HLOOKUP(CaseName,CaseData,MATCH($G429,cases!$G$4:$G$2494,0),FALSE)),"",HLOOKUP(CaseName,CaseData,MATCH($G429,cases!$G$4:$G$2494,0),FALSE))</f>
        <v/>
      </c>
      <c r="K429" s="616">
        <f>L432*(1-L378)</f>
        <v>9.321035983584623E-6</v>
      </c>
      <c r="L429" s="298">
        <f t="shared" si="29"/>
        <v>9.321035983584623E-6</v>
      </c>
      <c r="M429" s="17"/>
      <c r="N429" s="17"/>
    </row>
    <row r="430" spans="1:14" ht="12.75" customHeight="1" x14ac:dyDescent="0.3">
      <c r="A430" s="38"/>
      <c r="B430" s="38" t="s">
        <v>2689</v>
      </c>
      <c r="C430" s="17"/>
      <c r="D430" s="17"/>
      <c r="E430" s="17"/>
      <c r="F430" s="17"/>
      <c r="G430" s="540" t="s">
        <v>3058</v>
      </c>
      <c r="H430" s="38" t="s">
        <v>1195</v>
      </c>
      <c r="I430" s="276"/>
      <c r="J430" s="294" t="str">
        <f>IF(ISBLANK(HLOOKUP(CaseName,CaseData,MATCH($G430,cases!$G$4:$G$2494,0),FALSE)),"",HLOOKUP(CaseName,CaseData,MATCH($G430,cases!$G$4:$G$2494,0),FALSE))</f>
        <v/>
      </c>
      <c r="K430" s="616">
        <f>L431-L433</f>
        <v>2.8928843226788437E-10</v>
      </c>
      <c r="L430" s="298">
        <f t="shared" si="29"/>
        <v>2.8928843226788437E-10</v>
      </c>
      <c r="M430" s="17"/>
      <c r="N430" s="17"/>
    </row>
    <row r="431" spans="1:14" ht="12.75" customHeight="1" x14ac:dyDescent="0.3">
      <c r="A431" s="38"/>
      <c r="B431" s="38"/>
      <c r="C431" s="38" t="s">
        <v>1261</v>
      </c>
      <c r="D431" s="38"/>
      <c r="E431" s="17"/>
      <c r="F431" s="17"/>
      <c r="G431" s="146" t="s">
        <v>3059</v>
      </c>
      <c r="H431" s="31" t="s">
        <v>1195</v>
      </c>
      <c r="I431" s="281"/>
      <c r="J431" s="294" t="str">
        <f>IF(ISBLANK(HLOOKUP(CaseName,CaseData,MATCH($G431,cases!$G$4:$G$2494,0),FALSE)),"",HLOOKUP(CaseName,CaseData,MATCH($G431,cases!$G$4:$G$2494,0),FALSE))</f>
        <v/>
      </c>
      <c r="K431" s="616">
        <f>IF(L432*L383/(L355*RHOsolid)&gt;L433,L432*L383/(L355*RHOsolid),L433)</f>
        <v>2.893518518518519E-10</v>
      </c>
      <c r="L431" s="431">
        <f t="shared" si="29"/>
        <v>2.893518518518519E-10</v>
      </c>
      <c r="M431" s="17" t="s">
        <v>690</v>
      </c>
      <c r="N431" s="17"/>
    </row>
    <row r="432" spans="1:14" ht="12.75" customHeight="1" x14ac:dyDescent="0.3">
      <c r="A432" s="38"/>
      <c r="B432" s="38"/>
      <c r="C432" s="17"/>
      <c r="D432" s="38" t="s">
        <v>1265</v>
      </c>
      <c r="E432" s="146"/>
      <c r="F432" s="146"/>
      <c r="G432" s="146" t="s">
        <v>3060</v>
      </c>
      <c r="H432" s="31" t="s">
        <v>1195</v>
      </c>
      <c r="I432" s="281"/>
      <c r="J432" s="294" t="str">
        <f>IF(ISBLANK(HLOOKUP(CaseName,CaseData,MATCH($G432,cases!$G$4:$G$2494,0),FALSE)),"",HLOOKUP(CaseName,CaseData,MATCH($G432,cases!$G$4:$G$2494,0),FALSE))</f>
        <v/>
      </c>
      <c r="K432" s="616">
        <f>2.5/(24*3600)</f>
        <v>2.8935185185185186E-5</v>
      </c>
      <c r="L432" s="431">
        <f t="shared" si="29"/>
        <v>2.8935185185185186E-5</v>
      </c>
      <c r="M432" s="17" t="s">
        <v>690</v>
      </c>
      <c r="N432" s="17"/>
    </row>
    <row r="433" spans="1:14" ht="12.75" customHeight="1" x14ac:dyDescent="0.3">
      <c r="A433" s="38"/>
      <c r="B433" s="38"/>
      <c r="C433" s="17"/>
      <c r="D433" s="38" t="s">
        <v>2693</v>
      </c>
      <c r="E433" s="146"/>
      <c r="F433" s="146"/>
      <c r="G433" s="146" t="s">
        <v>3061</v>
      </c>
      <c r="H433" s="31" t="s">
        <v>1195</v>
      </c>
      <c r="I433" s="281"/>
      <c r="J433" s="294" t="str">
        <f>IF(ISBLANK(HLOOKUP(CaseName,CaseData,MATCH($G433,cases!$G$4:$G$2494,0),FALSE)),"",HLOOKUP(CaseName,CaseData,MATCH($G433,cases!$G$4:$G$2494,0),FALSE))</f>
        <v/>
      </c>
      <c r="K433" s="616">
        <v>6.3419583967528499E-14</v>
      </c>
      <c r="L433" s="298">
        <f t="shared" si="29"/>
        <v>6.3419583967528499E-14</v>
      </c>
      <c r="M433" s="17" t="s">
        <v>690</v>
      </c>
      <c r="N433" s="17" t="s">
        <v>1272</v>
      </c>
    </row>
    <row r="434" spans="1:14" ht="12.75" customHeight="1" x14ac:dyDescent="0.3">
      <c r="A434" s="38"/>
      <c r="B434" s="38"/>
      <c r="C434" s="38"/>
      <c r="D434" s="17"/>
      <c r="E434" s="38" t="s">
        <v>2695</v>
      </c>
      <c r="F434" s="38"/>
      <c r="G434" s="146" t="s">
        <v>3062</v>
      </c>
      <c r="H434" s="38" t="s">
        <v>1277</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1278</v>
      </c>
      <c r="N434" s="17" t="s">
        <v>3063</v>
      </c>
    </row>
    <row r="435" spans="1:14" ht="12.75" customHeight="1" x14ac:dyDescent="0.3">
      <c r="A435" s="38"/>
      <c r="B435" s="17" t="s">
        <v>2698</v>
      </c>
      <c r="C435" s="146"/>
      <c r="D435" s="146"/>
      <c r="E435" s="17"/>
      <c r="F435" s="17"/>
      <c r="G435" s="540" t="s">
        <v>3064</v>
      </c>
      <c r="H435" s="38" t="s">
        <v>1195</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3">
      <c r="A436" s="38"/>
      <c r="B436" s="17" t="s">
        <v>2700</v>
      </c>
      <c r="C436" s="146"/>
      <c r="D436" s="146"/>
      <c r="E436" s="17"/>
      <c r="F436" s="17"/>
      <c r="G436" s="540" t="s">
        <v>3065</v>
      </c>
      <c r="H436" s="38" t="s">
        <v>1195</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3">
      <c r="A437" s="38"/>
      <c r="B437" s="38"/>
      <c r="C437" s="17" t="s">
        <v>1289</v>
      </c>
      <c r="D437" s="17"/>
      <c r="E437" s="17"/>
      <c r="F437" s="17"/>
      <c r="G437" s="17" t="s">
        <v>3066</v>
      </c>
      <c r="H437" s="31" t="s">
        <v>1195</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690</v>
      </c>
      <c r="N437" s="17"/>
    </row>
    <row r="438" spans="1:14" ht="12.75" customHeight="1" x14ac:dyDescent="0.3">
      <c r="A438" s="38"/>
      <c r="B438" s="38"/>
      <c r="C438" s="17" t="s">
        <v>1291</v>
      </c>
      <c r="D438" s="17"/>
      <c r="E438" s="17"/>
      <c r="F438" s="17"/>
      <c r="G438" s="17" t="s">
        <v>3067</v>
      </c>
      <c r="H438" s="31" t="s">
        <v>1195</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690</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3068</v>
      </c>
      <c r="B440" s="17"/>
      <c r="C440" s="17"/>
      <c r="D440" s="17"/>
      <c r="E440" s="17"/>
      <c r="F440" s="17"/>
      <c r="G440" s="38" t="s">
        <v>3069</v>
      </c>
      <c r="H440" s="38" t="s">
        <v>617</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1041</v>
      </c>
      <c r="N440" s="17"/>
    </row>
    <row r="441" spans="1:14" ht="12.75" customHeight="1" x14ac:dyDescent="0.3">
      <c r="A441" s="17"/>
      <c r="B441" s="17"/>
      <c r="C441" s="146" t="s">
        <v>2706</v>
      </c>
      <c r="D441" s="17"/>
      <c r="E441" s="17"/>
      <c r="F441" s="17"/>
      <c r="G441" s="146" t="s">
        <v>3070</v>
      </c>
      <c r="H441" s="146" t="s">
        <v>1195</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690</v>
      </c>
      <c r="N441" s="17"/>
    </row>
    <row r="442" spans="1:14" ht="12.75" customHeight="1" x14ac:dyDescent="0.3">
      <c r="A442" s="17"/>
      <c r="B442" s="17"/>
      <c r="C442" s="38" t="s">
        <v>2708</v>
      </c>
      <c r="D442" s="17"/>
      <c r="E442" s="17"/>
      <c r="F442" s="17"/>
      <c r="G442" s="146" t="s">
        <v>3071</v>
      </c>
      <c r="H442" s="38" t="s">
        <v>291</v>
      </c>
      <c r="I442" s="281"/>
      <c r="J442" s="294" t="str">
        <f>IF(ISBLANK(HLOOKUP(CaseName,CaseData,MATCH($G442,cases!$G$4:$G$2494,0),FALSE)),"",HLOOKUP(CaseName,CaseData,MATCH($G442,cases!$G$4:$G$2494,0),FALSE))</f>
        <v/>
      </c>
      <c r="K442" s="428">
        <f>FRACrun.C</f>
        <v>0.25</v>
      </c>
      <c r="L442" s="298">
        <f>IF(ISBLANK(I442),IF(ISNUMBER(J442)=FALSE,K442,J442),I442)</f>
        <v>0.25</v>
      </c>
      <c r="M442" s="17" t="s">
        <v>292</v>
      </c>
      <c r="N442" s="17"/>
    </row>
    <row r="443" spans="1:14" ht="12.75" customHeight="1" x14ac:dyDescent="0.3">
      <c r="A443" s="38"/>
      <c r="B443" s="38"/>
      <c r="C443" s="17" t="s">
        <v>1229</v>
      </c>
      <c r="D443" s="17"/>
      <c r="E443" s="146"/>
      <c r="F443" s="146"/>
      <c r="G443" s="38" t="s">
        <v>3072</v>
      </c>
      <c r="H443" s="17" t="s">
        <v>291</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292</v>
      </c>
      <c r="N443" s="17" t="s">
        <v>1231</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1314</v>
      </c>
      <c r="B445" s="147"/>
      <c r="C445" s="147"/>
      <c r="D445" s="147"/>
      <c r="E445" s="147"/>
      <c r="F445" s="147"/>
      <c r="G445" s="148" t="s">
        <v>258</v>
      </c>
      <c r="H445" s="148" t="s">
        <v>274</v>
      </c>
      <c r="I445" s="147" t="s">
        <v>259</v>
      </c>
      <c r="J445" s="271" t="s">
        <v>2953</v>
      </c>
      <c r="K445" s="331" t="s">
        <v>260</v>
      </c>
      <c r="L445" s="331" t="s">
        <v>261</v>
      </c>
      <c r="M445" s="147"/>
      <c r="N445" s="148" t="s">
        <v>262</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1315</v>
      </c>
      <c r="B447" s="17"/>
      <c r="C447" s="17"/>
      <c r="D447" s="17"/>
      <c r="E447" s="17"/>
      <c r="F447" s="17"/>
      <c r="G447" s="38" t="s">
        <v>3073</v>
      </c>
      <c r="H447" s="38" t="s">
        <v>617</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1041</v>
      </c>
      <c r="N447" s="17"/>
    </row>
    <row r="448" spans="1:14" ht="12.75" customHeight="1" x14ac:dyDescent="0.3">
      <c r="A448" s="38" t="s">
        <v>2712</v>
      </c>
      <c r="B448" s="17"/>
      <c r="C448" s="17"/>
      <c r="D448" s="17"/>
      <c r="E448" s="17"/>
      <c r="F448" s="17"/>
      <c r="G448" s="38" t="s">
        <v>3074</v>
      </c>
      <c r="H448" s="38" t="s">
        <v>617</v>
      </c>
      <c r="I448" s="276"/>
      <c r="J448" s="294" t="str">
        <f>IF(ISBLANK(HLOOKUP(CaseName,CaseData,MATCH($G448,cases!$G$4:$G$2494,0),FALSE)),"",HLOOKUP(CaseName,CaseData,MATCH($G448,cases!$G$4:$G$2494,0),FALSE))</f>
        <v/>
      </c>
      <c r="K448" s="616">
        <f>L456</f>
        <v>5.9915366961075931E-22</v>
      </c>
      <c r="L448" s="298">
        <f t="shared" si="30"/>
        <v>5.9915366961075931E-22</v>
      </c>
      <c r="M448" s="17" t="s">
        <v>1041</v>
      </c>
      <c r="N448" s="17"/>
    </row>
    <row r="449" spans="1:14" ht="12.75" customHeight="1" x14ac:dyDescent="0.3">
      <c r="A449" s="38" t="s">
        <v>2714</v>
      </c>
      <c r="B449" s="17"/>
      <c r="C449" s="17"/>
      <c r="D449" s="17"/>
      <c r="E449" s="17"/>
      <c r="F449" s="17"/>
      <c r="G449" s="38" t="s">
        <v>3075</v>
      </c>
      <c r="H449" s="38" t="s">
        <v>617</v>
      </c>
      <c r="I449" s="276"/>
      <c r="J449" s="294" t="str">
        <f>IF(ISBLANK(HLOOKUP(CaseName,CaseData,MATCH($G449,cases!$G$4:$G$2494,0),FALSE)),"",HLOOKUP(CaseName,CaseData,MATCH($G449,cases!$G$4:$G$2494,0),FALSE))</f>
        <v/>
      </c>
      <c r="K449" s="616">
        <f>L457</f>
        <v>5.9915366961075931E-22</v>
      </c>
      <c r="L449" s="298">
        <f t="shared" si="30"/>
        <v>5.9915366961075931E-22</v>
      </c>
      <c r="M449" s="17" t="s">
        <v>1041</v>
      </c>
      <c r="N449" s="17"/>
    </row>
    <row r="450" spans="1:14" ht="12.75" customHeight="1" x14ac:dyDescent="0.3">
      <c r="A450" s="38" t="s">
        <v>2716</v>
      </c>
      <c r="B450" s="17"/>
      <c r="C450" s="17"/>
      <c r="D450" s="17"/>
      <c r="E450" s="17"/>
      <c r="F450" s="17"/>
      <c r="G450" s="38" t="s">
        <v>3076</v>
      </c>
      <c r="H450" s="38" t="s">
        <v>617</v>
      </c>
      <c r="I450" s="276"/>
      <c r="J450" s="294" t="str">
        <f>IF(ISBLANK(HLOOKUP(CaseName,CaseData,MATCH($G450,cases!$G$4:$G$2494,0),FALSE)),"",HLOOKUP(CaseName,CaseData,MATCH($G450,cases!$G$4:$G$2494,0),FALSE))</f>
        <v/>
      </c>
      <c r="K450" s="616">
        <f>L461+L433/L346</f>
        <v>2.1139861331348332E-12</v>
      </c>
      <c r="L450" s="298">
        <f t="shared" si="30"/>
        <v>2.1139861331348332E-12</v>
      </c>
      <c r="M450" s="17" t="s">
        <v>1041</v>
      </c>
      <c r="N450" s="17"/>
    </row>
    <row r="451" spans="1:14" ht="12.75" customHeight="1" x14ac:dyDescent="0.3">
      <c r="A451" s="38" t="s">
        <v>2718</v>
      </c>
      <c r="B451" s="17"/>
      <c r="C451" s="17"/>
      <c r="D451" s="17"/>
      <c r="E451" s="17"/>
      <c r="F451" s="17"/>
      <c r="G451" s="38" t="s">
        <v>3077</v>
      </c>
      <c r="H451" s="38" t="s">
        <v>617</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1041</v>
      </c>
      <c r="N451" s="17"/>
    </row>
    <row r="452" spans="1:14" ht="12.75" customHeight="1" x14ac:dyDescent="0.3">
      <c r="A452" s="38"/>
      <c r="B452" s="38" t="s">
        <v>1335</v>
      </c>
      <c r="C452" s="146"/>
      <c r="D452" s="17"/>
      <c r="E452" s="17"/>
      <c r="F452" s="17"/>
      <c r="G452" s="146" t="s">
        <v>3078</v>
      </c>
      <c r="H452" s="38" t="s">
        <v>617</v>
      </c>
      <c r="I452" s="281"/>
      <c r="J452" s="294" t="str">
        <f>IF(ISBLANK(HLOOKUP(CaseName,CaseData,MATCH($G452,cases!$G$4:$G$2494,0),FALSE)),"",HLOOKUP(CaseName,CaseData,MATCH($G452,cases!$G$4:$G$2494,0),FALSE))</f>
        <v/>
      </c>
      <c r="K452" s="616">
        <f>LN(2)/(60*365*24*3600)</f>
        <v>3.663258818281463E-10</v>
      </c>
      <c r="L452" s="298">
        <f t="shared" si="30"/>
        <v>3.663258818281463E-10</v>
      </c>
      <c r="M452" s="38" t="s">
        <v>1041</v>
      </c>
      <c r="N452" s="17"/>
    </row>
    <row r="453" spans="1:14" ht="12.75" customHeight="1" x14ac:dyDescent="0.3">
      <c r="A453" s="38"/>
      <c r="B453" s="38" t="s">
        <v>1337</v>
      </c>
      <c r="C453" s="17"/>
      <c r="D453" s="17"/>
      <c r="E453" s="17"/>
      <c r="F453" s="17"/>
      <c r="G453" s="38" t="s">
        <v>3079</v>
      </c>
      <c r="H453" s="38" t="s">
        <v>617</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1041</v>
      </c>
      <c r="N453" s="17"/>
    </row>
    <row r="454" spans="1:14" ht="12.75" customHeight="1" x14ac:dyDescent="0.3">
      <c r="A454" s="146"/>
      <c r="B454" s="146"/>
      <c r="C454" s="38" t="s">
        <v>3080</v>
      </c>
      <c r="D454" s="17"/>
      <c r="E454" s="17"/>
      <c r="F454" s="17"/>
      <c r="G454" s="38" t="s">
        <v>3081</v>
      </c>
      <c r="H454" s="38" t="s">
        <v>620</v>
      </c>
      <c r="I454" s="281"/>
      <c r="J454" s="294" t="str">
        <f>IF(ISBLANK(HLOOKUP(CaseName,CaseData,MATCH($G454,cases!$G$4:$G$2494,0),FALSE)),"",HLOOKUP(CaseName,CaseData,MATCH($G454,cases!$G$4:$G$2494,0),FALSE))</f>
        <v/>
      </c>
      <c r="K454" s="616">
        <v>500000</v>
      </c>
      <c r="L454" s="298">
        <f t="shared" si="30"/>
        <v>500000</v>
      </c>
      <c r="M454" s="38" t="s">
        <v>1341</v>
      </c>
      <c r="N454" s="17"/>
    </row>
    <row r="455" spans="1:14" ht="12.75" customHeight="1" x14ac:dyDescent="0.3">
      <c r="A455" s="146"/>
      <c r="B455" s="146"/>
      <c r="C455" s="38" t="s">
        <v>2183</v>
      </c>
      <c r="D455" s="17"/>
      <c r="E455" s="17"/>
      <c r="F455" s="17"/>
      <c r="G455" s="38" t="s">
        <v>3082</v>
      </c>
      <c r="H455" s="38" t="s">
        <v>291</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292</v>
      </c>
      <c r="N455" s="17"/>
    </row>
    <row r="456" spans="1:14" ht="12.75" customHeight="1" x14ac:dyDescent="0.3">
      <c r="A456" s="38"/>
      <c r="B456" s="38" t="s">
        <v>2725</v>
      </c>
      <c r="C456" s="17"/>
      <c r="D456" s="17"/>
      <c r="E456" s="17"/>
      <c r="F456" s="17"/>
      <c r="G456" s="38" t="s">
        <v>3083</v>
      </c>
      <c r="H456" s="38" t="s">
        <v>617</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1041</v>
      </c>
      <c r="N456" s="17"/>
    </row>
    <row r="457" spans="1:14" ht="12.75" customHeight="1" x14ac:dyDescent="0.3">
      <c r="A457" s="38"/>
      <c r="B457" s="38" t="s">
        <v>2727</v>
      </c>
      <c r="C457" s="17"/>
      <c r="D457" s="17"/>
      <c r="E457" s="17"/>
      <c r="F457" s="17"/>
      <c r="G457" s="38" t="s">
        <v>3084</v>
      </c>
      <c r="H457" s="38" t="s">
        <v>617</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1041</v>
      </c>
      <c r="N457" s="17"/>
    </row>
    <row r="458" spans="1:14" ht="12.75" customHeight="1" x14ac:dyDescent="0.3">
      <c r="A458" s="38"/>
      <c r="B458" s="38"/>
      <c r="C458" s="38" t="s">
        <v>2729</v>
      </c>
      <c r="D458" s="17"/>
      <c r="E458" s="17"/>
      <c r="F458" s="17"/>
      <c r="G458" s="146" t="s">
        <v>3085</v>
      </c>
      <c r="H458" s="38" t="s">
        <v>1352</v>
      </c>
      <c r="I458" s="281"/>
      <c r="J458" s="294" t="str">
        <f>IF(ISBLANK(HLOOKUP(CaseName,CaseData,MATCH($G458,cases!$G$4:$G$2494,0),FALSE)),"",HLOOKUP(CaseName,CaseData,MATCH($G458,cases!$G$4:$G$2494,0),FALSE))</f>
        <v/>
      </c>
      <c r="K458" s="616">
        <v>40000</v>
      </c>
      <c r="L458" s="298">
        <f t="shared" si="30"/>
        <v>40000</v>
      </c>
      <c r="M458" s="38" t="s">
        <v>638</v>
      </c>
      <c r="N458" s="17"/>
    </row>
    <row r="459" spans="1:14" ht="12.75" customHeight="1" x14ac:dyDescent="0.3">
      <c r="A459" s="38"/>
      <c r="B459" s="38"/>
      <c r="C459" s="38" t="s">
        <v>3086</v>
      </c>
      <c r="D459" s="17"/>
      <c r="E459" s="17"/>
      <c r="F459" s="17"/>
      <c r="G459" s="146" t="s">
        <v>3087</v>
      </c>
      <c r="H459" s="38" t="s">
        <v>1352</v>
      </c>
      <c r="I459" s="281"/>
      <c r="J459" s="294" t="str">
        <f>IF(ISBLANK(HLOOKUP(CaseName,CaseData,MATCH($G459,cases!$G$4:$G$2494,0),FALSE)),"",HLOOKUP(CaseName,CaseData,MATCH($G459,cases!$G$4:$G$2494,0),FALSE))</f>
        <v/>
      </c>
      <c r="K459" s="616">
        <v>40000</v>
      </c>
      <c r="L459" s="298">
        <f t="shared" si="30"/>
        <v>40000</v>
      </c>
      <c r="M459" s="38" t="s">
        <v>638</v>
      </c>
      <c r="N459" s="17"/>
    </row>
    <row r="460" spans="1:14" ht="12.75" customHeight="1" x14ac:dyDescent="0.3">
      <c r="A460" s="146"/>
      <c r="B460" s="146"/>
      <c r="C460" s="38" t="s">
        <v>1358</v>
      </c>
      <c r="D460" s="17"/>
      <c r="E460" s="17"/>
      <c r="F460" s="17"/>
      <c r="G460" s="38" t="s">
        <v>3088</v>
      </c>
      <c r="H460" s="38" t="s">
        <v>291</v>
      </c>
      <c r="I460" s="281"/>
      <c r="J460" s="294" t="str">
        <f>IF(ISBLANK(HLOOKUP(CaseName,CaseData,MATCH($G460,cases!$G$4:$G$2494,0),FALSE)),"",HLOOKUP(CaseName,CaseData,MATCH($G460,cases!$G$4:$G$2494,0),FALSE))</f>
        <v/>
      </c>
      <c r="K460" s="623">
        <f>Q.10^((L374-298)/10)</f>
        <v>8.8388347648318447E-2</v>
      </c>
      <c r="L460" s="298">
        <f t="shared" si="30"/>
        <v>8.8388347648318447E-2</v>
      </c>
      <c r="M460" s="38" t="s">
        <v>292</v>
      </c>
      <c r="N460" s="17"/>
    </row>
    <row r="461" spans="1:14" ht="12.75" customHeight="1" x14ac:dyDescent="0.3">
      <c r="A461" s="38"/>
      <c r="B461" s="38" t="s">
        <v>2734</v>
      </c>
      <c r="C461" s="17"/>
      <c r="D461" s="17"/>
      <c r="E461" s="17"/>
      <c r="F461" s="17"/>
      <c r="G461" s="38" t="s">
        <v>3089</v>
      </c>
      <c r="H461" s="38" t="s">
        <v>617</v>
      </c>
      <c r="I461" s="281"/>
      <c r="J461" s="294" t="str">
        <f>IF(ISBLANK(HLOOKUP(CaseName,CaseData,MATCH($G461,cases!$G$4:$G$2494,0),FALSE)),"",HLOOKUP(CaseName,CaseData,MATCH($G461,cases!$G$4:$G$2494,0),FALSE))</f>
        <v/>
      </c>
      <c r="K461" s="623">
        <f>L460*kdeg.sed</f>
        <v>8.8388347648318438E-22</v>
      </c>
      <c r="L461" s="298">
        <f t="shared" si="30"/>
        <v>8.8388347648318438E-22</v>
      </c>
      <c r="M461" s="38" t="s">
        <v>1041</v>
      </c>
      <c r="N461" s="17"/>
    </row>
    <row r="462" spans="1:14" ht="12.75" customHeight="1" x14ac:dyDescent="0.3">
      <c r="A462" s="38"/>
      <c r="B462" s="38" t="s">
        <v>2736</v>
      </c>
      <c r="C462" s="17"/>
      <c r="D462" s="17"/>
      <c r="E462" s="17"/>
      <c r="F462" s="17"/>
      <c r="G462" s="38" t="s">
        <v>3090</v>
      </c>
      <c r="H462" s="38" t="s">
        <v>617</v>
      </c>
      <c r="I462" s="281"/>
      <c r="J462" s="294" t="str">
        <f>IF(ISBLANK(HLOOKUP(CaseName,CaseData,MATCH($G462,cases!$G$4:$G$2494,0),FALSE)),"",HLOOKUP(CaseName,CaseData,MATCH($G462,cases!$G$4:$G$2494,0),FALSE))</f>
        <v/>
      </c>
      <c r="K462" s="623">
        <f>L460*kdeg.soil</f>
        <v>8.8388347648318438E-22</v>
      </c>
      <c r="L462" s="298">
        <f t="shared" si="30"/>
        <v>8.8388347648318438E-22</v>
      </c>
      <c r="M462" s="38" t="s">
        <v>1041</v>
      </c>
      <c r="N462" s="17"/>
    </row>
    <row r="463" spans="1:14" ht="12.75" customHeight="1" x14ac:dyDescent="0.3">
      <c r="A463" s="17"/>
      <c r="B463" s="17"/>
      <c r="C463" s="38" t="s">
        <v>2738</v>
      </c>
      <c r="D463" s="17"/>
      <c r="E463" s="17"/>
      <c r="F463" s="17"/>
      <c r="G463" s="146" t="s">
        <v>3091</v>
      </c>
      <c r="H463" s="38" t="s">
        <v>291</v>
      </c>
      <c r="I463" s="281"/>
      <c r="J463" s="294" t="str">
        <f>IF(ISBLANK(HLOOKUP(CaseName,CaseData,MATCH($G463,cases!$G$4:$G$2494,0),FALSE)),"",HLOOKUP(CaseName,CaseData,MATCH($G463,cases!$G$4:$G$2494,0),FALSE))</f>
        <v/>
      </c>
      <c r="K463" s="616">
        <f>FRACinf.C</f>
        <v>0.25</v>
      </c>
      <c r="L463" s="298">
        <f t="shared" si="30"/>
        <v>0.25</v>
      </c>
      <c r="M463" s="17" t="s">
        <v>292</v>
      </c>
      <c r="N463" s="17"/>
    </row>
    <row r="464" spans="1:14" ht="12.75" customHeight="1" x14ac:dyDescent="0.3">
      <c r="A464" s="38"/>
      <c r="B464" s="38"/>
      <c r="C464" s="17" t="s">
        <v>1229</v>
      </c>
      <c r="D464" s="17"/>
      <c r="E464" s="146"/>
      <c r="F464" s="146"/>
      <c r="G464" s="38" t="s">
        <v>3092</v>
      </c>
      <c r="H464" s="17" t="s">
        <v>291</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292</v>
      </c>
      <c r="N464" s="17" t="s">
        <v>1231</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1382</v>
      </c>
      <c r="G466" s="630" t="s">
        <v>258</v>
      </c>
      <c r="H466" s="630" t="s">
        <v>274</v>
      </c>
      <c r="I466" s="413" t="s">
        <v>259</v>
      </c>
      <c r="J466" s="498" t="s">
        <v>2953</v>
      </c>
      <c r="K466" s="647" t="s">
        <v>260</v>
      </c>
      <c r="L466" s="648" t="s">
        <v>261</v>
      </c>
      <c r="N466" s="630" t="s">
        <v>262</v>
      </c>
      <c r="O466" s="209" t="s">
        <v>1383</v>
      </c>
      <c r="P466" s="413" t="s">
        <v>1384</v>
      </c>
    </row>
    <row r="467" spans="1:16" s="410" customFormat="1" ht="12.75" customHeight="1" x14ac:dyDescent="0.3">
      <c r="A467" s="410" t="s">
        <v>3093</v>
      </c>
      <c r="G467" s="654"/>
      <c r="H467" s="654"/>
      <c r="J467" s="656" t="str">
        <f t="shared" ref="J467" si="31">IF(HLOOKUP(CaseName,CaseData,ROW()+1421,FALSE)="","",HLOOKUP(CaseName,CaseData,ROW()+1421,FALSE))</f>
        <v/>
      </c>
      <c r="K467" s="657"/>
      <c r="L467" s="658"/>
      <c r="O467" s="417"/>
    </row>
    <row r="468" spans="1:16" customFormat="1" ht="12.75" customHeight="1" x14ac:dyDescent="0.3">
      <c r="A468" s="566" t="s">
        <v>1386</v>
      </c>
      <c r="B468" s="566"/>
      <c r="C468" s="566"/>
      <c r="D468" s="566"/>
      <c r="E468" s="566"/>
      <c r="F468" s="566"/>
      <c r="G468" s="566" t="s">
        <v>3094</v>
      </c>
      <c r="H468" s="567" t="s">
        <v>335</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335</v>
      </c>
      <c r="N468" s="566"/>
      <c r="O468" s="604">
        <v>2</v>
      </c>
      <c r="P468" s="566" t="s">
        <v>1388</v>
      </c>
    </row>
    <row r="469" spans="1:16" customFormat="1" ht="12.75" customHeight="1" x14ac:dyDescent="0.3">
      <c r="A469" s="566"/>
      <c r="B469" s="566" t="s">
        <v>1389</v>
      </c>
      <c r="C469" s="566"/>
      <c r="D469" s="566"/>
      <c r="E469" s="566"/>
      <c r="F469" s="566"/>
      <c r="G469" s="566" t="s">
        <v>3095</v>
      </c>
      <c r="H469" s="566" t="s">
        <v>335</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335</v>
      </c>
      <c r="N469" s="566"/>
      <c r="O469" s="604">
        <v>10</v>
      </c>
      <c r="P469" s="566" t="s">
        <v>908</v>
      </c>
    </row>
    <row r="470" spans="1:16" customFormat="1" ht="12.75" customHeight="1" x14ac:dyDescent="0.3">
      <c r="A470" s="566"/>
      <c r="B470" s="566"/>
      <c r="C470" s="566" t="s">
        <v>706</v>
      </c>
      <c r="D470" s="566"/>
      <c r="E470" s="566"/>
      <c r="F470" s="566"/>
      <c r="G470" s="566" t="s">
        <v>3096</v>
      </c>
      <c r="H470" s="567" t="s">
        <v>708</v>
      </c>
      <c r="I470" s="677"/>
      <c r="J470" s="294" t="str">
        <f>IF(ISBLANK(HLOOKUP(CaseName,CaseData,MATCH($G470,cases!$G$4:$G$2494,0),FALSE)),"",HLOOKUP(CaseName,CaseData,MATCH($G470,cases!$G$4:$G$2494,0),FALSE))</f>
        <v/>
      </c>
      <c r="K470" s="576">
        <f>3.2*10^9</f>
        <v>3200000000</v>
      </c>
      <c r="L470" s="298">
        <f t="shared" si="32"/>
        <v>3200000000</v>
      </c>
      <c r="M470" s="567" t="s">
        <v>708</v>
      </c>
      <c r="N470" s="566"/>
      <c r="O470" s="674"/>
      <c r="P470" s="566" t="s">
        <v>709</v>
      </c>
    </row>
    <row r="471" spans="1:16" customFormat="1" ht="12.75" customHeight="1" x14ac:dyDescent="0.3">
      <c r="A471" s="566"/>
      <c r="B471" s="566"/>
      <c r="C471" s="566" t="s">
        <v>1396</v>
      </c>
      <c r="D471" s="566"/>
      <c r="E471" s="566"/>
      <c r="F471" s="566"/>
      <c r="G471" s="567" t="s">
        <v>3097</v>
      </c>
      <c r="H471" s="567" t="s">
        <v>866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866</v>
      </c>
      <c r="N471" s="566"/>
      <c r="O471" s="604"/>
      <c r="P471" s="566"/>
    </row>
    <row r="472" spans="1:16" customFormat="1" ht="12.75" customHeight="1" x14ac:dyDescent="0.3">
      <c r="A472" s="566"/>
      <c r="B472" s="566"/>
      <c r="C472" s="566" t="s">
        <v>1394</v>
      </c>
      <c r="D472" s="566"/>
      <c r="E472" s="566"/>
      <c r="F472" s="566"/>
      <c r="G472" s="566" t="s">
        <v>3098</v>
      </c>
      <c r="H472" s="566" t="s">
        <v>900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900</v>
      </c>
      <c r="N472" s="566"/>
      <c r="O472" s="604"/>
      <c r="P472" s="566"/>
    </row>
    <row r="473" spans="1:16" customFormat="1" ht="12.75" customHeight="1" x14ac:dyDescent="0.3">
      <c r="A473" s="566"/>
      <c r="B473" s="566"/>
      <c r="C473" s="566" t="s">
        <v>1391</v>
      </c>
      <c r="D473" s="566"/>
      <c r="E473" s="566"/>
      <c r="F473" s="566"/>
      <c r="G473" s="567" t="s">
        <v>3099</v>
      </c>
      <c r="H473" s="567" t="s">
        <v>291</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291</v>
      </c>
      <c r="N473" s="566"/>
      <c r="O473" s="675" t="s">
        <v>1393</v>
      </c>
      <c r="P473" s="566"/>
    </row>
    <row r="474" spans="1:16" customFormat="1" ht="12.75" customHeight="1" x14ac:dyDescent="0.3">
      <c r="A474" s="566" t="s">
        <v>1398</v>
      </c>
      <c r="B474" s="566"/>
      <c r="C474" s="566"/>
      <c r="D474" s="566"/>
      <c r="E474" s="566"/>
      <c r="F474" s="566"/>
      <c r="G474" s="566" t="s">
        <v>3100</v>
      </c>
      <c r="H474" s="566" t="s">
        <v>335</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335</v>
      </c>
      <c r="N474" s="566"/>
      <c r="O474" s="604"/>
      <c r="P474" s="566"/>
    </row>
    <row r="475" spans="1:16" customFormat="1" ht="12.75" customHeight="1" x14ac:dyDescent="0.3">
      <c r="A475" s="566"/>
      <c r="B475" s="566"/>
      <c r="C475" s="566" t="s">
        <v>710</v>
      </c>
      <c r="D475" s="566"/>
      <c r="E475" s="566"/>
      <c r="F475" s="566"/>
      <c r="G475" s="566" t="s">
        <v>3101</v>
      </c>
      <c r="H475" s="567" t="s">
        <v>708</v>
      </c>
      <c r="I475" s="677"/>
      <c r="J475" s="294" t="str">
        <f>IF(ISBLANK(HLOOKUP(CaseName,CaseData,MATCH($G475,cases!$G$4:$G$2494,0),FALSE)),"",HLOOKUP(CaseName,CaseData,MATCH($G475,cases!$G$4:$G$2494,0),FALSE))</f>
        <v/>
      </c>
      <c r="K475" s="576">
        <f>2.9*10^9</f>
        <v>2900000000</v>
      </c>
      <c r="L475" s="298">
        <f t="shared" si="32"/>
        <v>2900000000</v>
      </c>
      <c r="M475" s="567" t="s">
        <v>708</v>
      </c>
      <c r="N475" s="566"/>
      <c r="O475" s="674"/>
      <c r="P475" s="566" t="s">
        <v>709</v>
      </c>
    </row>
    <row r="476" spans="1:16" customFormat="1" ht="12.75" customHeight="1" x14ac:dyDescent="0.3">
      <c r="A476" s="566"/>
      <c r="B476" s="566"/>
      <c r="C476" s="566" t="s">
        <v>1400</v>
      </c>
      <c r="D476" s="566"/>
      <c r="E476" s="566"/>
      <c r="F476" s="566"/>
      <c r="G476" s="567" t="s">
        <v>3102</v>
      </c>
      <c r="H476" s="567" t="s">
        <v>866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866</v>
      </c>
      <c r="N476" s="566"/>
      <c r="O476" s="604"/>
      <c r="P476" s="566"/>
    </row>
    <row r="477" spans="1:16" customFormat="1" ht="12.75" customHeight="1" x14ac:dyDescent="0.3">
      <c r="A477" s="566"/>
      <c r="B477" s="566"/>
      <c r="C477" s="566" t="s">
        <v>1402</v>
      </c>
      <c r="D477" s="566"/>
      <c r="E477" s="566"/>
      <c r="F477" s="566"/>
      <c r="G477" s="566" t="s">
        <v>3103</v>
      </c>
      <c r="H477" s="566" t="s">
        <v>900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900</v>
      </c>
      <c r="N477" s="566"/>
      <c r="O477" s="604"/>
      <c r="P477" s="566"/>
    </row>
    <row r="478" spans="1:16" customFormat="1" ht="12.75" customHeight="1" x14ac:dyDescent="0.3">
      <c r="A478" s="566"/>
      <c r="B478" s="566"/>
      <c r="C478" s="566" t="s">
        <v>1404</v>
      </c>
      <c r="D478" s="566"/>
      <c r="E478" s="566"/>
      <c r="F478" s="566"/>
      <c r="G478" s="567" t="s">
        <v>3104</v>
      </c>
      <c r="H478" s="567" t="s">
        <v>291</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291</v>
      </c>
      <c r="N478" s="566"/>
      <c r="O478" s="604"/>
      <c r="P478" s="566"/>
    </row>
    <row r="479" spans="1:16" customFormat="1" ht="12.75" customHeight="1" x14ac:dyDescent="0.3">
      <c r="A479" s="566" t="s">
        <v>1406</v>
      </c>
      <c r="B479" s="566"/>
      <c r="C479" s="566"/>
      <c r="D479" s="566"/>
      <c r="E479" s="566"/>
      <c r="F479" s="566"/>
      <c r="G479" s="567" t="s">
        <v>3105</v>
      </c>
      <c r="H479" s="567" t="s">
        <v>335</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335</v>
      </c>
      <c r="N479" s="566"/>
      <c r="O479" s="604"/>
      <c r="P479" s="566"/>
    </row>
    <row r="480" spans="1:16" customFormat="1" ht="12.75" customHeight="1" x14ac:dyDescent="0.3">
      <c r="A480" s="566"/>
      <c r="B480" s="566" t="s">
        <v>712</v>
      </c>
      <c r="C480" s="566"/>
      <c r="D480" s="566"/>
      <c r="E480" s="566"/>
      <c r="F480" s="566"/>
      <c r="G480" s="566" t="s">
        <v>3106</v>
      </c>
      <c r="H480" s="567" t="s">
        <v>708</v>
      </c>
      <c r="I480" s="677"/>
      <c r="J480" s="294" t="str">
        <f>IF(ISBLANK(HLOOKUP(CaseName,CaseData,MATCH($G480,cases!$G$4:$G$2494,0),FALSE)),"",HLOOKUP(CaseName,CaseData,MATCH($G480,cases!$G$4:$G$2494,0),FALSE))</f>
        <v/>
      </c>
      <c r="K480" s="576">
        <f>3*10^5</f>
        <v>300000</v>
      </c>
      <c r="L480" s="298">
        <f t="shared" si="32"/>
        <v>300000</v>
      </c>
      <c r="M480" s="567" t="s">
        <v>708</v>
      </c>
      <c r="N480" s="566"/>
      <c r="O480" s="674"/>
      <c r="P480" s="566" t="s">
        <v>709</v>
      </c>
    </row>
    <row r="481" spans="1:16" customFormat="1" ht="12.75" customHeight="1" x14ac:dyDescent="0.3">
      <c r="A481" s="566"/>
      <c r="B481" s="566" t="s">
        <v>1408</v>
      </c>
      <c r="C481" s="566"/>
      <c r="D481" s="566"/>
      <c r="E481" s="566"/>
      <c r="F481" s="566"/>
      <c r="G481" s="567" t="s">
        <v>3107</v>
      </c>
      <c r="H481" s="567" t="s">
        <v>866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866</v>
      </c>
      <c r="N481" s="566"/>
      <c r="O481" s="604"/>
      <c r="P481" s="566"/>
    </row>
    <row r="482" spans="1:16" customFormat="1" ht="12.75" customHeight="1" x14ac:dyDescent="0.3">
      <c r="A482" s="566"/>
      <c r="B482" s="566" t="s">
        <v>1410</v>
      </c>
      <c r="C482" s="566"/>
      <c r="D482" s="566"/>
      <c r="E482" s="566"/>
      <c r="F482" s="566"/>
      <c r="G482" s="566" t="s">
        <v>3108</v>
      </c>
      <c r="H482" s="566" t="s">
        <v>900</v>
      </c>
      <c r="I482" s="677"/>
      <c r="J482" s="294"/>
      <c r="K482" s="989">
        <f>(kboltz*L374*(1+(66*10^-9/RadCP.a)*(1.142+0.558*EXP(-0.999/(66*10^-9/RadCP.a)))))/(6*PI()*DYNVISC.a*RadCP.a)</f>
        <v>1.281576559649524E-11</v>
      </c>
      <c r="L482" s="298">
        <f>IF(ISBLANK(I482),IF(ISNUMBER(J482)=FALSE,K482,J482),I482)</f>
        <v>1.281576559649524E-11</v>
      </c>
      <c r="M482" s="566" t="s">
        <v>900</v>
      </c>
      <c r="N482" s="566"/>
      <c r="O482" s="604"/>
      <c r="P482" s="566"/>
    </row>
    <row r="483" spans="1:16" customFormat="1" ht="12.75" customHeight="1" x14ac:dyDescent="0.3">
      <c r="A483" s="566"/>
      <c r="B483" s="566" t="s">
        <v>1412</v>
      </c>
      <c r="C483" s="566"/>
      <c r="D483" s="566"/>
      <c r="E483" s="566"/>
      <c r="F483" s="566"/>
      <c r="G483" s="567" t="s">
        <v>3109</v>
      </c>
      <c r="H483" s="567" t="s">
        <v>291</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291</v>
      </c>
      <c r="N483" s="566"/>
      <c r="O483" s="604"/>
      <c r="P483" s="566"/>
    </row>
    <row r="484" spans="1:16" s="410" customFormat="1" ht="12.75" customHeight="1" x14ac:dyDescent="0.3">
      <c r="A484" s="410" t="s">
        <v>3110</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1437</v>
      </c>
      <c r="B485" s="566"/>
      <c r="C485" s="566"/>
      <c r="D485" s="566"/>
      <c r="E485" s="566"/>
      <c r="F485" s="566"/>
      <c r="G485" s="567" t="s">
        <v>3111</v>
      </c>
      <c r="H485" s="567" t="s">
        <v>335</v>
      </c>
      <c r="I485" s="677"/>
      <c r="J485" s="294" t="str">
        <f>IF(ISBLANK(HLOOKUP(CaseName,CaseData,MATCH($G485,cases!$G$4:$G$2494,0),FALSE)),"",HLOOKUP(CaseName,CaseData,MATCH($G485,cases!$G$4:$G$2494,0),FALSE))</f>
        <v/>
      </c>
      <c r="K485" s="625">
        <f>L487*L486*AtefSA.w2</f>
        <v>5.4779595759837669E-3</v>
      </c>
      <c r="L485" s="298">
        <f t="shared" ref="L485:L506" si="33">IF(ISBLANK(I485),IF(ISNUMBER(J485)=FALSE,K485,J485),I485)</f>
        <v>5.4779595759837669E-3</v>
      </c>
      <c r="M485" s="566" t="s">
        <v>335</v>
      </c>
      <c r="N485" s="566"/>
      <c r="O485" s="604"/>
      <c r="P485" s="566"/>
    </row>
    <row r="486" spans="1:16" customFormat="1" ht="12.75" customHeight="1" x14ac:dyDescent="0.3">
      <c r="A486" s="566"/>
      <c r="B486" s="566" t="s">
        <v>1439</v>
      </c>
      <c r="C486" s="566"/>
      <c r="D486" s="566"/>
      <c r="E486" s="566"/>
      <c r="F486" s="566"/>
      <c r="G486" s="567" t="s">
        <v>3112</v>
      </c>
      <c r="H486" s="567" t="s">
        <v>708</v>
      </c>
      <c r="I486" s="677"/>
      <c r="J486" s="294" t="str">
        <f>IF(ISBLANK(HLOOKUP(CaseName,CaseData,MATCH($G486,cases!$G$4:$G$2494,0),FALSE)),"",HLOOKUP(CaseName,CaseData,MATCH($G486,cases!$G$4:$G$2494,0),FALSE))</f>
        <v/>
      </c>
      <c r="K486" s="576">
        <f>2*L387/(SingleVolNC.w*RhoNC.w)</f>
        <v>70735530263064.578</v>
      </c>
      <c r="L486" s="298">
        <f t="shared" si="33"/>
        <v>70735530263064.578</v>
      </c>
      <c r="M486" s="567" t="s">
        <v>708</v>
      </c>
      <c r="N486" s="566"/>
      <c r="O486" s="604"/>
      <c r="P486" s="586" t="s">
        <v>1441</v>
      </c>
    </row>
    <row r="487" spans="1:16" customFormat="1" ht="12.75" customHeight="1" x14ac:dyDescent="0.3">
      <c r="A487" s="566"/>
      <c r="B487" s="566" t="s">
        <v>1442</v>
      </c>
      <c r="C487" s="566"/>
      <c r="D487" s="566"/>
      <c r="E487" s="566"/>
      <c r="F487" s="566"/>
      <c r="G487" s="567" t="s">
        <v>3113</v>
      </c>
      <c r="H487" s="567" t="s">
        <v>335</v>
      </c>
      <c r="I487" s="677"/>
      <c r="J487" s="294" t="str">
        <f>IF(ISBLANK(HLOOKUP(CaseName,CaseData,MATCH($G487,cases!$G$4:$G$2494,0),FALSE)),"",HLOOKUP(CaseName,CaseData,MATCH($G487,cases!$G$4:$G$2494,0),FALSE))</f>
        <v/>
      </c>
      <c r="K487" s="576">
        <f>L488+L495+L496</f>
        <v>7.7442829022576085E-17</v>
      </c>
      <c r="L487" s="298">
        <f t="shared" si="33"/>
        <v>7.7442829022576085E-17</v>
      </c>
      <c r="M487" s="566" t="s">
        <v>335</v>
      </c>
      <c r="N487" s="566"/>
      <c r="O487" s="604"/>
      <c r="P487" s="566"/>
    </row>
    <row r="488" spans="1:16" customFormat="1" ht="12.75" customHeight="1" x14ac:dyDescent="0.3">
      <c r="A488" s="566"/>
      <c r="B488" s="566"/>
      <c r="C488" s="566" t="s">
        <v>1421</v>
      </c>
      <c r="D488" s="566"/>
      <c r="E488" s="566"/>
      <c r="F488" s="566"/>
      <c r="G488" s="567" t="s">
        <v>3114</v>
      </c>
      <c r="H488" s="567" t="s">
        <v>335</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335</v>
      </c>
      <c r="N488" s="566"/>
      <c r="O488" s="604"/>
      <c r="P488" s="566"/>
    </row>
    <row r="489" spans="1:16" customFormat="1" ht="12.75" customHeight="1" x14ac:dyDescent="0.3">
      <c r="A489" s="566"/>
      <c r="B489" s="566"/>
      <c r="C489" s="566"/>
      <c r="D489" s="566" t="s">
        <v>1445</v>
      </c>
      <c r="E489" s="566"/>
      <c r="F489" s="566"/>
      <c r="G489" s="567" t="s">
        <v>3115</v>
      </c>
      <c r="H489" s="567" t="s">
        <v>335</v>
      </c>
      <c r="I489" s="677"/>
      <c r="J489" s="294" t="str">
        <f>IF(ISBLANK(HLOOKUP(CaseName,CaseData,MATCH($G489,cases!$G$4:$G$2494,0),FALSE)),"",HLOOKUP(CaseName,CaseData,MATCH($G489,cases!$G$4:$G$2494,0),FALSE))</f>
        <v/>
      </c>
      <c r="K489" s="576">
        <v>10</v>
      </c>
      <c r="L489" s="298">
        <f t="shared" si="33"/>
        <v>10</v>
      </c>
      <c r="M489" s="567" t="s">
        <v>335</v>
      </c>
      <c r="N489" s="566"/>
      <c r="O489" s="604"/>
      <c r="P489" s="586" t="s">
        <v>1425</v>
      </c>
    </row>
    <row r="490" spans="1:16" customFormat="1" ht="12.75" customHeight="1" x14ac:dyDescent="0.3">
      <c r="A490" s="566" t="s">
        <v>1437</v>
      </c>
      <c r="B490" s="566"/>
      <c r="C490" s="566"/>
      <c r="D490" s="566"/>
      <c r="E490" s="566"/>
      <c r="F490" s="566"/>
      <c r="G490" s="567" t="s">
        <v>3116</v>
      </c>
      <c r="H490" s="567" t="s">
        <v>335</v>
      </c>
      <c r="I490" s="677"/>
      <c r="J490" s="294" t="str">
        <f>IF(ISBLANK(HLOOKUP(CaseName,CaseData,MATCH($G490,cases!$G$4:$G$2494,0),FALSE)),"",HLOOKUP(CaseName,CaseData,MATCH($G490,cases!$G$4:$G$2494,0),FALSE))</f>
        <v/>
      </c>
      <c r="K490" s="576">
        <f>L492*L491*AtefSA.w3</f>
        <v>5.4779595759837669E-3</v>
      </c>
      <c r="L490" s="298">
        <f t="shared" si="33"/>
        <v>5.4779595759837669E-3</v>
      </c>
      <c r="M490" s="566" t="s">
        <v>335</v>
      </c>
      <c r="N490" s="566"/>
      <c r="O490" s="604"/>
      <c r="P490" s="566"/>
    </row>
    <row r="491" spans="1:16" customFormat="1" ht="12.75" customHeight="1" x14ac:dyDescent="0.3">
      <c r="A491" s="566"/>
      <c r="B491" s="566" t="s">
        <v>1439</v>
      </c>
      <c r="C491" s="566"/>
      <c r="D491" s="566"/>
      <c r="E491" s="566"/>
      <c r="F491" s="566"/>
      <c r="G491" s="567" t="s">
        <v>3117</v>
      </c>
      <c r="H491" s="567" t="s">
        <v>708</v>
      </c>
      <c r="I491" s="677"/>
      <c r="J491" s="294" t="str">
        <f>IF(ISBLANK(HLOOKUP(CaseName,CaseData,MATCH($G491,cases!$G$4:$G$2494,0),FALSE)),"",HLOOKUP(CaseName,CaseData,MATCH($G491,cases!$G$4:$G$2494,0),FALSE))</f>
        <v/>
      </c>
      <c r="K491" s="576">
        <f>2*L388/(SingleVolNC.w*RhoNC.w)</f>
        <v>70735530263064.578</v>
      </c>
      <c r="L491" s="298">
        <f t="shared" si="33"/>
        <v>70735530263064.578</v>
      </c>
      <c r="M491" s="567" t="s">
        <v>708</v>
      </c>
      <c r="N491" s="566"/>
      <c r="O491" s="604"/>
      <c r="P491" s="586" t="s">
        <v>1441</v>
      </c>
    </row>
    <row r="492" spans="1:16" customFormat="1" ht="12.75" customHeight="1" x14ac:dyDescent="0.3">
      <c r="A492" s="566"/>
      <c r="B492" s="566" t="s">
        <v>1442</v>
      </c>
      <c r="C492" s="566"/>
      <c r="D492" s="566"/>
      <c r="E492" s="566"/>
      <c r="F492" s="566"/>
      <c r="G492" s="567" t="s">
        <v>3118</v>
      </c>
      <c r="H492" s="567" t="s">
        <v>335</v>
      </c>
      <c r="I492" s="677"/>
      <c r="J492" s="294" t="str">
        <f>IF(ISBLANK(HLOOKUP(CaseName,CaseData,MATCH($G492,cases!$G$4:$G$2494,0),FALSE)),"",HLOOKUP(CaseName,CaseData,MATCH($G492,cases!$G$4:$G$2494,0),FALSE))</f>
        <v/>
      </c>
      <c r="K492" s="576">
        <f>L493+L495+L496</f>
        <v>7.7442829022576085E-17</v>
      </c>
      <c r="L492" s="298">
        <f t="shared" si="33"/>
        <v>7.7442829022576085E-17</v>
      </c>
      <c r="M492" s="566" t="s">
        <v>335</v>
      </c>
      <c r="N492" s="566"/>
      <c r="O492" s="604"/>
      <c r="P492" s="566"/>
    </row>
    <row r="493" spans="1:16" customFormat="1" ht="12.75" customHeight="1" x14ac:dyDescent="0.3">
      <c r="A493" s="566"/>
      <c r="B493" s="566"/>
      <c r="C493" s="566" t="s">
        <v>1421</v>
      </c>
      <c r="D493" s="566"/>
      <c r="E493" s="566"/>
      <c r="F493" s="566"/>
      <c r="G493" s="567" t="s">
        <v>3119</v>
      </c>
      <c r="H493" s="567" t="s">
        <v>335</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335</v>
      </c>
      <c r="N493" s="566"/>
      <c r="O493" s="604"/>
      <c r="P493" s="566"/>
    </row>
    <row r="494" spans="1:16" customFormat="1" ht="12.75" customHeight="1" x14ac:dyDescent="0.3">
      <c r="A494" s="566"/>
      <c r="B494" s="566"/>
      <c r="C494" s="566"/>
      <c r="D494" s="566" t="s">
        <v>1445</v>
      </c>
      <c r="E494" s="566"/>
      <c r="F494" s="566"/>
      <c r="G494" s="567" t="s">
        <v>3120</v>
      </c>
      <c r="H494" s="567" t="s">
        <v>335</v>
      </c>
      <c r="I494" s="677"/>
      <c r="J494" s="294" t="str">
        <f>IF(ISBLANK(HLOOKUP(CaseName,CaseData,MATCH($G494,cases!$G$4:$G$2494,0),FALSE)),"",HLOOKUP(CaseName,CaseData,MATCH($G494,cases!$G$4:$G$2494,0),FALSE))</f>
        <v/>
      </c>
      <c r="K494" s="576">
        <v>10</v>
      </c>
      <c r="L494" s="298">
        <f t="shared" si="33"/>
        <v>10</v>
      </c>
      <c r="M494" s="567" t="s">
        <v>335</v>
      </c>
      <c r="N494" s="566"/>
      <c r="O494" s="604"/>
      <c r="P494" s="586" t="s">
        <v>1425</v>
      </c>
    </row>
    <row r="495" spans="1:16" customFormat="1" ht="12.75" customHeight="1" x14ac:dyDescent="0.3">
      <c r="A495" s="566"/>
      <c r="B495" s="566"/>
      <c r="C495" s="566" t="s">
        <v>1447</v>
      </c>
      <c r="D495" s="566"/>
      <c r="E495" s="566"/>
      <c r="F495" s="566"/>
      <c r="G495" s="566" t="s">
        <v>3121</v>
      </c>
      <c r="H495" s="566" t="s">
        <v>335</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335</v>
      </c>
      <c r="N495" s="566"/>
      <c r="O495" s="604"/>
      <c r="P495" s="566"/>
    </row>
    <row r="496" spans="1:16" customFormat="1" ht="12.75" customHeight="1" x14ac:dyDescent="0.3">
      <c r="A496" s="566"/>
      <c r="B496" s="566"/>
      <c r="C496" s="566" t="s">
        <v>1449</v>
      </c>
      <c r="D496" s="566"/>
      <c r="E496" s="566"/>
      <c r="F496" s="566"/>
      <c r="G496" s="567" t="s">
        <v>3122</v>
      </c>
      <c r="H496" s="567" t="s">
        <v>335</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335</v>
      </c>
      <c r="N496" s="566"/>
      <c r="O496" s="604"/>
      <c r="P496" s="566"/>
    </row>
    <row r="497" spans="1:16" customFormat="1" ht="12.75" customHeight="1" x14ac:dyDescent="0.3">
      <c r="A497" s="566" t="s">
        <v>1469</v>
      </c>
      <c r="B497" s="566"/>
      <c r="C497" s="566"/>
      <c r="D497" s="566"/>
      <c r="E497" s="566"/>
      <c r="F497" s="566"/>
      <c r="G497" s="567" t="s">
        <v>3123</v>
      </c>
      <c r="H497" s="567" t="s">
        <v>335</v>
      </c>
      <c r="I497" s="677"/>
      <c r="J497" s="294" t="str">
        <f>IF(ISBLANK(HLOOKUP(CaseName,CaseData,MATCH($G497,cases!$G$4:$G$2494,0),FALSE)),"",HLOOKUP(CaseName,CaseData,MATCH($G497,cases!$G$4:$G$2494,0),FALSE))</f>
        <v/>
      </c>
      <c r="K497" s="576">
        <f>L498*L499*AtefSP.w2</f>
        <v>4.6871162860198437E-5</v>
      </c>
      <c r="L497" s="298">
        <f t="shared" si="33"/>
        <v>4.6871162860198437E-5</v>
      </c>
      <c r="M497" s="566" t="s">
        <v>335</v>
      </c>
      <c r="N497" s="566"/>
      <c r="O497" s="604"/>
      <c r="P497" s="566"/>
    </row>
    <row r="498" spans="1:16" customFormat="1" ht="12.75" customHeight="1" x14ac:dyDescent="0.3">
      <c r="A498" s="566"/>
      <c r="B498" s="566" t="s">
        <v>1463</v>
      </c>
      <c r="C498" s="566"/>
      <c r="D498" s="566"/>
      <c r="E498" s="566"/>
      <c r="F498" s="566"/>
      <c r="G498" s="567" t="s">
        <v>3124</v>
      </c>
      <c r="H498" s="567" t="s">
        <v>708</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708</v>
      </c>
      <c r="N498" s="566"/>
      <c r="O498" s="604"/>
      <c r="P498" s="566"/>
    </row>
    <row r="499" spans="1:16" customFormat="1" ht="12.75" customHeight="1" x14ac:dyDescent="0.3">
      <c r="A499" s="566"/>
      <c r="B499" s="566" t="s">
        <v>1474</v>
      </c>
      <c r="C499" s="566"/>
      <c r="D499" s="566"/>
      <c r="E499" s="566"/>
      <c r="F499" s="566"/>
      <c r="G499" s="567" t="s">
        <v>3125</v>
      </c>
      <c r="H499" s="566" t="s">
        <v>335</v>
      </c>
      <c r="I499" s="677"/>
      <c r="J499" s="294" t="str">
        <f>IF(ISBLANK(HLOOKUP(CaseName,CaseData,MATCH($G499,cases!$G$4:$G$2494,0),FALSE)),"",HLOOKUP(CaseName,CaseData,MATCH($G499,cases!$G$4:$G$2494,0),FALSE))</f>
        <v/>
      </c>
      <c r="K499" s="576">
        <f>L505+L506+L500</f>
        <v>2.6505018163225833E-15</v>
      </c>
      <c r="L499" s="298">
        <f t="shared" si="33"/>
        <v>2.6505018163225833E-15</v>
      </c>
      <c r="M499" s="566" t="s">
        <v>335</v>
      </c>
      <c r="N499" s="566"/>
      <c r="O499" s="604"/>
      <c r="P499" s="566"/>
    </row>
    <row r="500" spans="1:16" customFormat="1" ht="12.75" customHeight="1" x14ac:dyDescent="0.3">
      <c r="A500" s="566"/>
      <c r="B500" s="566"/>
      <c r="C500" s="566" t="s">
        <v>1459</v>
      </c>
      <c r="D500" s="566"/>
      <c r="E500" s="566"/>
      <c r="F500" s="566"/>
      <c r="G500" s="567" t="s">
        <v>3126</v>
      </c>
      <c r="H500" s="567" t="s">
        <v>335</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335</v>
      </c>
      <c r="N500" s="566"/>
      <c r="O500" s="604"/>
      <c r="P500" s="566"/>
    </row>
    <row r="501" spans="1:16" customFormat="1" ht="12.75" customHeight="1" x14ac:dyDescent="0.3">
      <c r="A501" s="566" t="s">
        <v>1469</v>
      </c>
      <c r="B501" s="566"/>
      <c r="C501" s="566"/>
      <c r="D501" s="566"/>
      <c r="E501" s="566"/>
      <c r="F501" s="566"/>
      <c r="G501" s="567" t="s">
        <v>3127</v>
      </c>
      <c r="H501" s="567" t="s">
        <v>335</v>
      </c>
      <c r="I501" s="677"/>
      <c r="J501" s="294" t="str">
        <f>IF(ISBLANK(HLOOKUP(CaseName,CaseData,MATCH($G501,cases!$G$4:$G$2494,0),FALSE)),"",HLOOKUP(CaseName,CaseData,MATCH($G501,cases!$G$4:$G$2494,0),FALSE))</f>
        <v/>
      </c>
      <c r="K501" s="576">
        <f>L502*L503*AtefSP.w3</f>
        <v>4.6871162860198437E-5</v>
      </c>
      <c r="L501" s="298">
        <f t="shared" si="33"/>
        <v>4.6871162860198437E-5</v>
      </c>
      <c r="M501" s="566" t="s">
        <v>335</v>
      </c>
      <c r="N501" s="566"/>
      <c r="O501" s="604"/>
      <c r="P501" s="566"/>
    </row>
    <row r="502" spans="1:16" customFormat="1" ht="12.75" customHeight="1" x14ac:dyDescent="0.3">
      <c r="A502" s="566"/>
      <c r="B502" s="566" t="s">
        <v>1463</v>
      </c>
      <c r="C502" s="566"/>
      <c r="D502" s="566"/>
      <c r="E502" s="566"/>
      <c r="F502" s="566"/>
      <c r="G502" s="567" t="s">
        <v>3128</v>
      </c>
      <c r="H502" s="567" t="s">
        <v>708</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708</v>
      </c>
      <c r="N502" s="566"/>
      <c r="O502" s="604"/>
      <c r="P502" s="566"/>
    </row>
    <row r="503" spans="1:16" customFormat="1" ht="12.75" customHeight="1" x14ac:dyDescent="0.3">
      <c r="A503" s="566"/>
      <c r="B503" s="566" t="s">
        <v>1474</v>
      </c>
      <c r="C503" s="566"/>
      <c r="D503" s="566"/>
      <c r="E503" s="566"/>
      <c r="F503" s="566"/>
      <c r="G503" s="567" t="s">
        <v>3129</v>
      </c>
      <c r="H503" s="566" t="s">
        <v>335</v>
      </c>
      <c r="I503" s="677"/>
      <c r="J503" s="294" t="str">
        <f>IF(ISBLANK(HLOOKUP(CaseName,CaseData,MATCH($G503,cases!$G$4:$G$2494,0),FALSE)),"",HLOOKUP(CaseName,CaseData,MATCH($G503,cases!$G$4:$G$2494,0),FALSE))</f>
        <v/>
      </c>
      <c r="K503" s="576">
        <f>L505+L506+L504</f>
        <v>2.6505018163225833E-15</v>
      </c>
      <c r="L503" s="298">
        <f t="shared" si="33"/>
        <v>2.6505018163225833E-15</v>
      </c>
      <c r="M503" s="566" t="s">
        <v>335</v>
      </c>
      <c r="N503" s="566"/>
      <c r="O503" s="604"/>
      <c r="P503" s="566"/>
    </row>
    <row r="504" spans="1:16" customFormat="1" ht="12.75" customHeight="1" x14ac:dyDescent="0.3">
      <c r="A504" s="566"/>
      <c r="B504" s="566"/>
      <c r="C504" s="566" t="s">
        <v>1459</v>
      </c>
      <c r="D504" s="566"/>
      <c r="E504" s="566"/>
      <c r="F504" s="566"/>
      <c r="G504" s="567" t="s">
        <v>3130</v>
      </c>
      <c r="H504" s="567" t="s">
        <v>335</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335</v>
      </c>
      <c r="N504" s="566"/>
      <c r="O504" s="604"/>
      <c r="P504" s="566"/>
    </row>
    <row r="505" spans="1:16" customFormat="1" ht="12.75" customHeight="1" x14ac:dyDescent="0.3">
      <c r="A505" s="566"/>
      <c r="B505" s="566"/>
      <c r="C505" s="566" t="s">
        <v>1477</v>
      </c>
      <c r="D505" s="566"/>
      <c r="E505" s="566"/>
      <c r="F505" s="566"/>
      <c r="G505" s="567" t="s">
        <v>3131</v>
      </c>
      <c r="H505" s="567" t="s">
        <v>335</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335</v>
      </c>
      <c r="N505" s="566"/>
      <c r="O505" s="604"/>
      <c r="P505" s="566"/>
    </row>
    <row r="506" spans="1:16" customFormat="1" ht="12.75" customHeight="1" x14ac:dyDescent="0.3">
      <c r="A506" s="566"/>
      <c r="B506" s="566"/>
      <c r="C506" s="566" t="s">
        <v>2248</v>
      </c>
      <c r="D506" s="566"/>
      <c r="E506" s="566"/>
      <c r="F506" s="566"/>
      <c r="G506" s="567" t="s">
        <v>3132</v>
      </c>
      <c r="H506" s="567" t="s">
        <v>335</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335</v>
      </c>
      <c r="N506" s="566"/>
      <c r="O506" s="604"/>
      <c r="P506" s="566"/>
    </row>
    <row r="507" spans="1:16" customFormat="1" ht="12.75" customHeight="1" x14ac:dyDescent="0.3">
      <c r="A507" s="410" t="s">
        <v>3133</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2782</v>
      </c>
      <c r="B508" s="566"/>
      <c r="C508" s="566"/>
      <c r="D508" s="566"/>
      <c r="E508" s="566"/>
      <c r="F508" s="566"/>
      <c r="G508" s="567" t="s">
        <v>3134</v>
      </c>
      <c r="H508" s="567" t="s">
        <v>335</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335</v>
      </c>
      <c r="N508" s="566" t="s">
        <v>2784</v>
      </c>
      <c r="O508" s="604"/>
      <c r="P508" s="566"/>
    </row>
    <row r="509" spans="1:16" customFormat="1" ht="12.75" customHeight="1" x14ac:dyDescent="0.3">
      <c r="A509" s="566"/>
      <c r="B509" s="566" t="s">
        <v>1493</v>
      </c>
      <c r="C509" s="566"/>
      <c r="D509" s="566"/>
      <c r="E509" s="566"/>
      <c r="F509" s="566"/>
      <c r="G509" s="567" t="s">
        <v>3135</v>
      </c>
      <c r="H509" s="567" t="s">
        <v>708</v>
      </c>
      <c r="I509" s="677"/>
      <c r="J509" s="294" t="str">
        <f>IF(ISBLANK(HLOOKUP(CaseName,CaseData,MATCH($G509,cases!$G$4:$G$2494,0),FALSE)),"",HLOOKUP(CaseName,CaseData,MATCH($G509,cases!$G$4:$G$2494,0),FALSE))</f>
        <v/>
      </c>
      <c r="K509" s="576">
        <f>L486</f>
        <v>70735530263064.578</v>
      </c>
      <c r="L509" s="298">
        <f t="shared" si="34"/>
        <v>70735530263064.578</v>
      </c>
      <c r="M509" s="567" t="s">
        <v>708</v>
      </c>
      <c r="N509" s="566" t="s">
        <v>2253</v>
      </c>
      <c r="O509" s="604"/>
      <c r="P509" s="586" t="s">
        <v>3136</v>
      </c>
    </row>
    <row r="510" spans="1:16" customFormat="1" ht="12.75" customHeight="1" x14ac:dyDescent="0.3">
      <c r="A510" s="566"/>
      <c r="B510" s="566"/>
      <c r="C510" s="566" t="s">
        <v>1447</v>
      </c>
      <c r="D510" s="566"/>
      <c r="E510" s="566"/>
      <c r="F510" s="566"/>
      <c r="G510" s="566" t="s">
        <v>3137</v>
      </c>
      <c r="H510" s="566" t="s">
        <v>335</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335</v>
      </c>
      <c r="N510" s="566"/>
      <c r="O510" s="604"/>
      <c r="P510" s="566"/>
    </row>
    <row r="511" spans="1:16" customFormat="1" ht="12.75" customHeight="1" x14ac:dyDescent="0.3">
      <c r="A511" s="566"/>
      <c r="B511" s="566"/>
      <c r="C511" s="566" t="s">
        <v>1449</v>
      </c>
      <c r="D511" s="566"/>
      <c r="E511" s="566"/>
      <c r="F511" s="566"/>
      <c r="G511" s="567" t="s">
        <v>3138</v>
      </c>
      <c r="H511" s="567" t="s">
        <v>335</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335</v>
      </c>
      <c r="N511" s="566"/>
      <c r="O511" s="604"/>
      <c r="P511" s="566"/>
    </row>
    <row r="512" spans="1:16" customFormat="1" ht="12.75" customHeight="1" x14ac:dyDescent="0.3">
      <c r="A512" s="566" t="s">
        <v>2788</v>
      </c>
      <c r="B512" s="566"/>
      <c r="C512" s="566"/>
      <c r="D512" s="566"/>
      <c r="E512" s="566"/>
      <c r="F512" s="566"/>
      <c r="G512" s="567" t="s">
        <v>3139</v>
      </c>
      <c r="H512" s="567" t="s">
        <v>335</v>
      </c>
      <c r="I512" s="677"/>
      <c r="J512" s="294" t="str">
        <f>IF(ISBLANK(HLOOKUP(CaseName,CaseData,MATCH($G512,cases!$G$4:$G$2494,0),FALSE)),"",HLOOKUP(CaseName,CaseData,MATCH($G512,cases!$G$4:$G$2494,0),FALSE))</f>
        <v/>
      </c>
      <c r="K512" s="576">
        <f>L513*L515*L514*AtefSP.sd2</f>
        <v>1.7049211036945431E-2</v>
      </c>
      <c r="L512" s="298">
        <f t="shared" si="34"/>
        <v>1.7049211036945431E-2</v>
      </c>
      <c r="M512" s="567" t="s">
        <v>335</v>
      </c>
      <c r="N512" s="566" t="s">
        <v>2784</v>
      </c>
      <c r="O512" s="604"/>
      <c r="P512" s="566"/>
    </row>
    <row r="513" spans="1:16" customFormat="1" ht="12.75" customHeight="1" x14ac:dyDescent="0.3">
      <c r="A513" s="566"/>
      <c r="B513" s="566" t="s">
        <v>1504</v>
      </c>
      <c r="C513" s="566"/>
      <c r="D513" s="566"/>
      <c r="E513" s="566"/>
      <c r="F513" s="566"/>
      <c r="G513" s="567" t="s">
        <v>3140</v>
      </c>
      <c r="H513" s="567" t="s">
        <v>1506</v>
      </c>
      <c r="I513" s="677"/>
      <c r="J513" s="294" t="str">
        <f>IF(ISBLANK(HLOOKUP(CaseName,CaseData,MATCH($G513,cases!$G$4:$G$2494,0),FALSE)),"",HLOOKUP(CaseName,CaseData,MATCH($G513,cases!$G$4:$G$2494,0),FALSE))</f>
        <v/>
      </c>
      <c r="K513" s="576">
        <f>(3/2)*((1-L519)/(2*RadFP.sd*L519))</f>
        <v>1464.8437499999995</v>
      </c>
      <c r="L513" s="298">
        <f t="shared" si="34"/>
        <v>1464.8437499999995</v>
      </c>
      <c r="M513" s="567" t="s">
        <v>1506</v>
      </c>
      <c r="N513" s="566"/>
      <c r="O513" s="604"/>
      <c r="P513" s="566"/>
    </row>
    <row r="514" spans="1:16" customFormat="1" ht="12.75" customHeight="1" x14ac:dyDescent="0.3">
      <c r="A514" s="566"/>
      <c r="B514" s="566" t="s">
        <v>1507</v>
      </c>
      <c r="C514" s="566"/>
      <c r="D514" s="566"/>
      <c r="E514" s="566"/>
      <c r="F514" s="566"/>
      <c r="G514" s="566" t="s">
        <v>3141</v>
      </c>
      <c r="H514" s="567" t="s">
        <v>866</v>
      </c>
      <c r="I514" s="677"/>
      <c r="J514" s="294" t="str">
        <f>IF(ISBLANK(HLOOKUP(CaseName,CaseData,MATCH($G514,cases!$G$4:$G$2494,0),FALSE)),"",HLOOKUP(CaseName,CaseData,MATCH($G514,cases!$G$4:$G$2494,0),FALSE))</f>
        <v/>
      </c>
      <c r="K514" s="627">
        <f>9*10^-6</f>
        <v>9.0000000000000002E-6</v>
      </c>
      <c r="L514" s="298">
        <f t="shared" si="34"/>
        <v>9.0000000000000002E-6</v>
      </c>
      <c r="M514" s="567" t="s">
        <v>866</v>
      </c>
      <c r="N514" s="566"/>
      <c r="O514" s="604"/>
      <c r="P514" s="566" t="s">
        <v>1509</v>
      </c>
    </row>
    <row r="515" spans="1:16" customFormat="1" ht="12.75" customHeight="1" x14ac:dyDescent="0.3">
      <c r="A515" s="566"/>
      <c r="B515" s="566" t="s">
        <v>1510</v>
      </c>
      <c r="C515" s="566"/>
      <c r="D515" s="566"/>
      <c r="E515" s="566"/>
      <c r="F515" s="566"/>
      <c r="G515" s="567" t="s">
        <v>3142</v>
      </c>
      <c r="H515" s="567" t="s">
        <v>291</v>
      </c>
      <c r="I515" s="677"/>
      <c r="J515" s="294" t="str">
        <f>IF(ISBLANK(HLOOKUP(CaseName,CaseData,MATCH($G515,cases!$G$4:$G$2494,0),FALSE)),"",HLOOKUP(CaseName,CaseData,MATCH($G515,cases!$G$4:$G$2494,0),FALSE))</f>
        <v/>
      </c>
      <c r="K515" s="576">
        <f>L516+L520+L521</f>
        <v>1.2932142297653428</v>
      </c>
      <c r="L515" s="298">
        <f t="shared" si="34"/>
        <v>1.2932142297653428</v>
      </c>
      <c r="M515" s="567" t="s">
        <v>291</v>
      </c>
      <c r="N515" s="566"/>
      <c r="O515" s="604"/>
      <c r="P515" s="566" t="s">
        <v>1509</v>
      </c>
    </row>
    <row r="516" spans="1:16" customFormat="1" ht="12.75" customHeight="1" x14ac:dyDescent="0.3">
      <c r="A516" s="566"/>
      <c r="B516" s="566"/>
      <c r="C516" s="566" t="s">
        <v>1512</v>
      </c>
      <c r="D516" s="566"/>
      <c r="E516" s="566"/>
      <c r="F516" s="566"/>
      <c r="G516" s="567" t="s">
        <v>3143</v>
      </c>
      <c r="H516" s="567" t="s">
        <v>291</v>
      </c>
      <c r="I516" s="677"/>
      <c r="J516" s="294" t="str">
        <f>IF(ISBLANK(HLOOKUP(CaseName,CaseData,MATCH($G516,cases!$G$4:$G$2494,0),FALSE)),"",HLOOKUP(CaseName,CaseData,MATCH($G516,cases!$G$4:$G$2494,0),FALSE))</f>
        <v/>
      </c>
      <c r="K516" s="576">
        <f>2.4*L524^(1/3)*L523^(-0.081)*L524^(-0.715)*L522^(0.053)</f>
        <v>1.2931601553606233</v>
      </c>
      <c r="L516" s="298">
        <f t="shared" si="34"/>
        <v>1.2931601553606233</v>
      </c>
      <c r="M516" s="567" t="s">
        <v>291</v>
      </c>
      <c r="N516" s="566"/>
      <c r="O516" s="604"/>
      <c r="P516" s="566" t="s">
        <v>1509</v>
      </c>
    </row>
    <row r="517" spans="1:16" customFormat="1" ht="12.75" customHeight="1" x14ac:dyDescent="0.3">
      <c r="A517" s="566"/>
      <c r="B517" s="566"/>
      <c r="C517" s="566"/>
      <c r="D517" s="566" t="s">
        <v>1514</v>
      </c>
      <c r="E517" s="566"/>
      <c r="F517" s="566"/>
      <c r="G517" s="566" t="s">
        <v>3144</v>
      </c>
      <c r="H517" s="567" t="s">
        <v>291</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291</v>
      </c>
      <c r="N517" s="566"/>
      <c r="O517" s="604"/>
      <c r="P517" s="566" t="s">
        <v>1509</v>
      </c>
    </row>
    <row r="518" spans="1:16" customFormat="1" ht="12.75" customHeight="1" x14ac:dyDescent="0.3">
      <c r="A518" s="566"/>
      <c r="B518" s="566"/>
      <c r="C518" s="566"/>
      <c r="D518" s="566"/>
      <c r="E518" s="566" t="s">
        <v>1516</v>
      </c>
      <c r="F518" s="566"/>
      <c r="G518" s="566" t="s">
        <v>3145</v>
      </c>
      <c r="H518" s="567" t="s">
        <v>291</v>
      </c>
      <c r="I518" s="677"/>
      <c r="J518" s="294" t="str">
        <f>IF(ISBLANK(HLOOKUP(CaseName,CaseData,MATCH($G518,cases!$G$4:$G$2494,0),FALSE)),"",HLOOKUP(CaseName,CaseData,MATCH($G518,cases!$G$4:$G$2494,0),FALSE))</f>
        <v/>
      </c>
      <c r="K518" s="627">
        <f>(1-L519)^(1/3)</f>
        <v>0.58480354764257325</v>
      </c>
      <c r="L518" s="298">
        <f t="shared" si="34"/>
        <v>0.58480354764257325</v>
      </c>
      <c r="M518" s="567" t="s">
        <v>291</v>
      </c>
      <c r="N518" s="566"/>
      <c r="O518" s="604"/>
      <c r="P518" s="566" t="s">
        <v>1509</v>
      </c>
    </row>
    <row r="519" spans="1:16" customFormat="1" ht="12.75" customHeight="1" x14ac:dyDescent="0.3">
      <c r="A519" s="566"/>
      <c r="B519" s="566"/>
      <c r="C519" s="566"/>
      <c r="D519" s="566"/>
      <c r="E519" s="566"/>
      <c r="F519" s="566" t="s">
        <v>1518</v>
      </c>
      <c r="G519" s="566" t="s">
        <v>3146</v>
      </c>
      <c r="H519" s="567" t="s">
        <v>1520</v>
      </c>
      <c r="I519" s="677"/>
      <c r="J519" s="294" t="str">
        <f>IF(ISBLANK(HLOOKUP(CaseName,CaseData,MATCH($G519,cases!$G$4:$G$2494,0),FALSE)),"",HLOOKUP(CaseName,CaseData,MATCH($G519,cases!$G$4:$G$2494,0),FALSE))</f>
        <v/>
      </c>
      <c r="K519" s="576">
        <f>L354</f>
        <v>0.8</v>
      </c>
      <c r="L519" s="298">
        <f t="shared" si="34"/>
        <v>0.8</v>
      </c>
      <c r="M519" s="567" t="s">
        <v>1520</v>
      </c>
      <c r="N519" s="566" t="s">
        <v>1521</v>
      </c>
      <c r="O519" s="604"/>
      <c r="P519" s="566"/>
    </row>
    <row r="520" spans="1:16" customFormat="1" ht="12.75" customHeight="1" x14ac:dyDescent="0.3">
      <c r="A520" s="566"/>
      <c r="B520" s="566"/>
      <c r="C520" s="566" t="s">
        <v>1522</v>
      </c>
      <c r="D520" s="566"/>
      <c r="E520" s="566"/>
      <c r="F520" s="566"/>
      <c r="G520" s="567" t="s">
        <v>3147</v>
      </c>
      <c r="H520" s="567" t="s">
        <v>291</v>
      </c>
      <c r="I520" s="677"/>
      <c r="J520" s="294" t="str">
        <f>IF(ISBLANK(HLOOKUP(CaseName,CaseData,MATCH($G520,cases!$G$4:$G$2494,0),FALSE)),"",HLOOKUP(CaseName,CaseData,MATCH($G520,cases!$G$4:$G$2494,0),FALSE))</f>
        <v/>
      </c>
      <c r="K520" s="576">
        <f>0.55*L523^1.55*L524^-0.125*L522^0.125</f>
        <v>6.0662197396238562E-8</v>
      </c>
      <c r="L520" s="298">
        <f t="shared" si="34"/>
        <v>6.0662197396238562E-8</v>
      </c>
      <c r="M520" s="567" t="s">
        <v>291</v>
      </c>
      <c r="N520" s="566"/>
      <c r="O520" s="604"/>
      <c r="P520" s="566" t="s">
        <v>1509</v>
      </c>
    </row>
    <row r="521" spans="1:16" customFormat="1" ht="12.75" customHeight="1" x14ac:dyDescent="0.3">
      <c r="A521" s="566"/>
      <c r="B521" s="566"/>
      <c r="C521" s="566" t="s">
        <v>1524</v>
      </c>
      <c r="D521" s="566"/>
      <c r="E521" s="566"/>
      <c r="F521" s="566"/>
      <c r="G521" s="567" t="s">
        <v>3148</v>
      </c>
      <c r="H521" s="567" t="s">
        <v>291</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291</v>
      </c>
      <c r="N521" s="566"/>
      <c r="O521" s="604"/>
      <c r="P521" s="566" t="s">
        <v>1509</v>
      </c>
    </row>
    <row r="522" spans="1:16" customFormat="1" ht="12.75" customHeight="1" x14ac:dyDescent="0.3">
      <c r="A522" s="566"/>
      <c r="B522" s="566"/>
      <c r="C522" s="566"/>
      <c r="D522" s="566" t="s">
        <v>1526</v>
      </c>
      <c r="E522" s="566"/>
      <c r="F522" s="566"/>
      <c r="G522" s="566" t="s">
        <v>3149</v>
      </c>
      <c r="H522" s="567" t="s">
        <v>291</v>
      </c>
      <c r="I522" s="677"/>
      <c r="J522" s="294" t="str">
        <f>IF(ISBLANK(HLOOKUP(CaseName,CaseData,MATCH($G522,cases!$G$4:$G$2494,0),FALSE)),"",HLOOKUP(CaseName,CaseData,MATCH($G522,cases!$G$4:$G$2494,0),FALSE))</f>
        <v/>
      </c>
      <c r="K522" s="627">
        <f>AHamakerSP.w/(kboltz*L374)</f>
        <v>5.5630427991673272</v>
      </c>
      <c r="L522" s="298">
        <f t="shared" si="34"/>
        <v>5.5630427991673272</v>
      </c>
      <c r="M522" s="567" t="s">
        <v>291</v>
      </c>
      <c r="N522" s="566"/>
      <c r="O522" s="604"/>
      <c r="P522" s="566" t="s">
        <v>1509</v>
      </c>
    </row>
    <row r="523" spans="1:16" customFormat="1" ht="12.75" customHeight="1" x14ac:dyDescent="0.3">
      <c r="A523" s="566"/>
      <c r="B523" s="566"/>
      <c r="C523" s="566"/>
      <c r="D523" s="566" t="s">
        <v>1528</v>
      </c>
      <c r="E523" s="566"/>
      <c r="F523" s="566"/>
      <c r="G523" s="566" t="s">
        <v>3150</v>
      </c>
      <c r="H523" s="567" t="s">
        <v>1530</v>
      </c>
      <c r="I523" s="677"/>
      <c r="J523" s="294" t="str">
        <f>IF(ISBLANK(HLOOKUP(CaseName,CaseData,MATCH($G523,cases!$G$4:$G$2494,0),FALSE)),"",HLOOKUP(CaseName,CaseData,MATCH($G523,cases!$G$4:$G$2494,0),FALSE))</f>
        <v/>
      </c>
      <c r="K523" s="627">
        <f>RadS/RadFP.sd</f>
        <v>3.9062500000000001E-5</v>
      </c>
      <c r="L523" s="298">
        <f t="shared" si="34"/>
        <v>3.9062500000000001E-5</v>
      </c>
      <c r="M523" s="567" t="s">
        <v>1530</v>
      </c>
      <c r="N523" s="566"/>
      <c r="O523" s="604"/>
      <c r="P523" s="566" t="s">
        <v>1509</v>
      </c>
    </row>
    <row r="524" spans="1:16" customFormat="1" ht="12.75" customHeight="1" x14ac:dyDescent="0.3">
      <c r="A524" s="566"/>
      <c r="B524" s="566"/>
      <c r="C524" s="566"/>
      <c r="D524" s="566" t="s">
        <v>1531</v>
      </c>
      <c r="E524" s="566"/>
      <c r="F524" s="566"/>
      <c r="G524" s="566" t="s">
        <v>3151</v>
      </c>
      <c r="H524" s="567" t="s">
        <v>291</v>
      </c>
      <c r="I524" s="677"/>
      <c r="J524" s="294" t="str">
        <f>IF(ISBLANK(HLOOKUP(CaseName,CaseData,MATCH($G524,cases!$G$4:$G$2494,0),FALSE)),"",HLOOKUP(CaseName,CaseData,MATCH($G524,cases!$G$4:$G$2494,0),FALSE))</f>
        <v/>
      </c>
      <c r="K524" s="627">
        <f>(L514*2*RadFP.sd)/DiffS.wC</f>
        <v>55.295939834256309</v>
      </c>
      <c r="L524" s="298">
        <f t="shared" si="34"/>
        <v>55.295939834256309</v>
      </c>
      <c r="M524" s="567" t="s">
        <v>291</v>
      </c>
      <c r="N524" s="566"/>
      <c r="O524" s="604"/>
      <c r="P524" s="566" t="s">
        <v>1509</v>
      </c>
    </row>
    <row r="525" spans="1:16" customFormat="1" ht="12.75" customHeight="1" x14ac:dyDescent="0.3">
      <c r="A525" s="566"/>
      <c r="B525" s="566"/>
      <c r="C525" s="566"/>
      <c r="D525" s="566" t="s">
        <v>1533</v>
      </c>
      <c r="E525" s="566"/>
      <c r="F525" s="566"/>
      <c r="G525" s="567" t="s">
        <v>3152</v>
      </c>
      <c r="H525" s="567" t="s">
        <v>291</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291</v>
      </c>
      <c r="N525" s="566"/>
      <c r="O525" s="604"/>
      <c r="P525" s="566" t="s">
        <v>1509</v>
      </c>
    </row>
    <row r="526" spans="1:16" customFormat="1" ht="12.75" customHeight="1" x14ac:dyDescent="0.3">
      <c r="A526" s="410" t="s">
        <v>3153</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2804</v>
      </c>
      <c r="B527" s="566"/>
      <c r="C527" s="566"/>
      <c r="D527" s="566"/>
      <c r="E527" s="566"/>
      <c r="F527" s="566"/>
      <c r="G527" s="567" t="s">
        <v>3154</v>
      </c>
      <c r="H527" s="567" t="s">
        <v>335</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335</v>
      </c>
      <c r="N527" s="566"/>
      <c r="O527" s="604"/>
      <c r="P527" s="566"/>
    </row>
    <row r="528" spans="1:16" customFormat="1" ht="12.75" customHeight="1" x14ac:dyDescent="0.3">
      <c r="A528" s="566"/>
      <c r="B528" s="566" t="s">
        <v>1542</v>
      </c>
      <c r="C528" s="566"/>
      <c r="D528" s="566"/>
      <c r="E528" s="566"/>
      <c r="F528" s="566"/>
      <c r="G528" s="567" t="s">
        <v>3155</v>
      </c>
      <c r="H528" s="567" t="s">
        <v>708</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708</v>
      </c>
      <c r="N528" s="566"/>
      <c r="O528" s="604"/>
      <c r="P528" s="566"/>
    </row>
    <row r="529" spans="1:16" customFormat="1" ht="12.75" customHeight="1" x14ac:dyDescent="0.3">
      <c r="A529" s="566"/>
      <c r="B529" s="566" t="s">
        <v>727</v>
      </c>
      <c r="C529" s="566"/>
      <c r="D529" s="566"/>
      <c r="E529" s="566"/>
      <c r="F529" s="566"/>
      <c r="G529" s="567" t="s">
        <v>3156</v>
      </c>
      <c r="H529" s="567" t="s">
        <v>729</v>
      </c>
      <c r="I529" s="677"/>
      <c r="J529" s="294" t="str">
        <f>IF(ISBLANK(HLOOKUP(CaseName,CaseData,MATCH($G529,cases!$G$4:$G$2494,0),FALSE)),"",HLOOKUP(CaseName,CaseData,MATCH($G529,cases!$G$4:$G$2494,0),FALSE))</f>
        <v/>
      </c>
      <c r="K529" s="576">
        <v>100</v>
      </c>
      <c r="L529" s="298">
        <f>IF(ISBLANK(I529),IF(ISNUMBER(J529)=FALSE,K529/1000,J529/1000),I529/1000)</f>
        <v>0.1</v>
      </c>
      <c r="M529" s="567" t="s">
        <v>730</v>
      </c>
      <c r="N529" s="566" t="s">
        <v>731</v>
      </c>
      <c r="O529" s="604"/>
      <c r="P529" s="566"/>
    </row>
    <row r="530" spans="1:16" customFormat="1" ht="12.75" customHeight="1" x14ac:dyDescent="0.3">
      <c r="A530" s="566"/>
      <c r="B530" s="566" t="s">
        <v>1447</v>
      </c>
      <c r="C530" s="566"/>
      <c r="D530" s="566"/>
      <c r="E530" s="566"/>
      <c r="F530" s="566"/>
      <c r="G530" s="567" t="s">
        <v>3157</v>
      </c>
      <c r="H530" s="567" t="s">
        <v>335</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335</v>
      </c>
      <c r="N530" s="566"/>
      <c r="O530" s="604"/>
      <c r="P530" s="566"/>
    </row>
    <row r="531" spans="1:16" customFormat="1" ht="12.75" customHeight="1" x14ac:dyDescent="0.3">
      <c r="A531" s="566"/>
      <c r="B531" s="566" t="s">
        <v>1449</v>
      </c>
      <c r="C531" s="566"/>
      <c r="D531" s="566"/>
      <c r="E531" s="566"/>
      <c r="F531" s="566"/>
      <c r="G531" s="567" t="s">
        <v>3158</v>
      </c>
      <c r="H531" s="567" t="s">
        <v>335</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335</v>
      </c>
      <c r="N531" s="566"/>
      <c r="O531" s="604"/>
      <c r="P531" s="566"/>
    </row>
    <row r="532" spans="1:16" customFormat="1" ht="12.75" customHeight="1" x14ac:dyDescent="0.3">
      <c r="A532" s="566" t="s">
        <v>2811</v>
      </c>
      <c r="B532" s="566"/>
      <c r="C532" s="566"/>
      <c r="D532" s="566"/>
      <c r="E532" s="566"/>
      <c r="F532" s="566"/>
      <c r="G532" s="567" t="s">
        <v>3159</v>
      </c>
      <c r="H532" s="567" t="s">
        <v>335</v>
      </c>
      <c r="I532" s="677"/>
      <c r="J532" s="294" t="str">
        <f>IF(ISBLANK(HLOOKUP(CaseName,CaseData,MATCH($G532,cases!$G$4:$G$2494,0),FALSE)),"",HLOOKUP(CaseName,CaseData,MATCH($G532,cases!$G$4:$G$2494,0),FALSE))</f>
        <v/>
      </c>
      <c r="K532" s="576">
        <f>L533*L534*L535*AtefSP.s1</f>
        <v>7.2204634391916569E-3</v>
      </c>
      <c r="L532" s="298">
        <f t="shared" si="35"/>
        <v>7.2204634391916569E-3</v>
      </c>
      <c r="M532" s="567" t="s">
        <v>335</v>
      </c>
      <c r="N532" s="566"/>
      <c r="O532" s="604"/>
      <c r="P532" s="566"/>
    </row>
    <row r="533" spans="1:16" customFormat="1" ht="12.75" customHeight="1" x14ac:dyDescent="0.3">
      <c r="A533" s="566"/>
      <c r="B533" s="566" t="s">
        <v>1549</v>
      </c>
      <c r="C533" s="566"/>
      <c r="D533" s="566"/>
      <c r="E533" s="566"/>
      <c r="F533" s="566"/>
      <c r="G533" s="567" t="s">
        <v>3160</v>
      </c>
      <c r="H533" s="567" t="s">
        <v>1506</v>
      </c>
      <c r="I533" s="677"/>
      <c r="J533" s="294" t="str">
        <f>IF(ISBLANK(HLOOKUP(CaseName,CaseData,MATCH($G533,cases!$G$4:$G$2494,0),FALSE)),"",HLOOKUP(CaseName,CaseData,MATCH($G533,cases!$G$4:$G$2494,0),FALSE))</f>
        <v/>
      </c>
      <c r="K533" s="576">
        <f>(3/2)*(1-L539)/(2*RadFP.s*L539)</f>
        <v>8789.0625000000036</v>
      </c>
      <c r="L533" s="298">
        <f t="shared" si="35"/>
        <v>8789.0625000000036</v>
      </c>
      <c r="M533" s="567" t="s">
        <v>1506</v>
      </c>
      <c r="N533" s="566"/>
      <c r="O533" s="604"/>
      <c r="P533" s="566"/>
    </row>
    <row r="534" spans="1:16" customFormat="1" ht="12.75" customHeight="1" x14ac:dyDescent="0.3">
      <c r="A534" s="566"/>
      <c r="B534" s="566" t="s">
        <v>1551</v>
      </c>
      <c r="C534" s="566"/>
      <c r="D534" s="566"/>
      <c r="E534" s="566"/>
      <c r="F534" s="566"/>
      <c r="G534" s="566" t="s">
        <v>3161</v>
      </c>
      <c r="H534" s="567" t="s">
        <v>866</v>
      </c>
      <c r="I534" s="677"/>
      <c r="J534" s="294" t="str">
        <f>IF(ISBLANK(HLOOKUP(CaseName,CaseData,MATCH($G534,cases!$G$4:$G$2494,0),FALSE)),"",HLOOKUP(CaseName,CaseData,MATCH($G534,cases!$G$4:$G$2494,0),FALSE))</f>
        <v/>
      </c>
      <c r="K534" s="627">
        <f>9*10^-6</f>
        <v>9.0000000000000002E-6</v>
      </c>
      <c r="L534" s="298">
        <f t="shared" si="35"/>
        <v>9.0000000000000002E-6</v>
      </c>
      <c r="M534" s="567" t="s">
        <v>866</v>
      </c>
      <c r="N534" s="566"/>
      <c r="O534" s="604"/>
      <c r="P534" s="566" t="s">
        <v>1509</v>
      </c>
    </row>
    <row r="535" spans="1:16" customFormat="1" ht="12.75" customHeight="1" x14ac:dyDescent="0.3">
      <c r="A535" s="566"/>
      <c r="B535" s="566" t="s">
        <v>1510</v>
      </c>
      <c r="C535" s="566"/>
      <c r="D535" s="566"/>
      <c r="E535" s="566"/>
      <c r="F535" s="566"/>
      <c r="G535" s="567" t="s">
        <v>3162</v>
      </c>
      <c r="H535" s="567" t="s">
        <v>291</v>
      </c>
      <c r="I535" s="677"/>
      <c r="J535" s="294" t="str">
        <f>IF(ISBLANK(HLOOKUP(CaseName,CaseData,MATCH($G535,cases!$G$4:$G$2494,0),FALSE)),"",HLOOKUP(CaseName,CaseData,MATCH($G535,cases!$G$4:$G$2494,0),FALSE))</f>
        <v/>
      </c>
      <c r="K535" s="576">
        <f>L536+L540+L541</f>
        <v>1.1410115064401625</v>
      </c>
      <c r="L535" s="298">
        <f t="shared" si="35"/>
        <v>1.1410115064401625</v>
      </c>
      <c r="M535" s="567" t="s">
        <v>291</v>
      </c>
      <c r="N535" s="566"/>
      <c r="O535" s="604"/>
      <c r="P535" s="566" t="s">
        <v>1509</v>
      </c>
    </row>
    <row r="536" spans="1:16" customFormat="1" ht="12.75" customHeight="1" x14ac:dyDescent="0.3">
      <c r="A536" s="566"/>
      <c r="B536" s="566"/>
      <c r="C536" s="566" t="s">
        <v>1512</v>
      </c>
      <c r="D536" s="566"/>
      <c r="E536" s="566"/>
      <c r="F536" s="566"/>
      <c r="G536" s="567" t="s">
        <v>3163</v>
      </c>
      <c r="H536" s="567" t="s">
        <v>291</v>
      </c>
      <c r="I536" s="677"/>
      <c r="J536" s="294" t="str">
        <f>IF(ISBLANK(HLOOKUP(CaseName,CaseData,MATCH($G536,cases!$G$4:$G$2494,0),FALSE)),"",HLOOKUP(CaseName,CaseData,MATCH($G536,cases!$G$4:$G$2494,0),FALSE))</f>
        <v/>
      </c>
      <c r="K536" s="576">
        <f>2.4*L537^(1/3)*L542^(-0.081)*L543^-0.715*L544^0.053</f>
        <v>1.140957432035443</v>
      </c>
      <c r="L536" s="298">
        <f t="shared" si="35"/>
        <v>1.140957432035443</v>
      </c>
      <c r="M536" s="567" t="s">
        <v>291</v>
      </c>
      <c r="N536" s="566"/>
      <c r="O536" s="604"/>
      <c r="P536" s="566" t="s">
        <v>1509</v>
      </c>
    </row>
    <row r="537" spans="1:16" customFormat="1" ht="12.75" customHeight="1" x14ac:dyDescent="0.3">
      <c r="A537" s="566"/>
      <c r="B537" s="566"/>
      <c r="C537" s="566"/>
      <c r="D537" s="566" t="s">
        <v>1514</v>
      </c>
      <c r="E537" s="566"/>
      <c r="F537" s="566"/>
      <c r="G537" s="566" t="s">
        <v>3164</v>
      </c>
      <c r="H537" s="567" t="s">
        <v>291</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291</v>
      </c>
      <c r="N537" s="566"/>
      <c r="O537" s="604"/>
      <c r="P537" s="566" t="s">
        <v>1509</v>
      </c>
    </row>
    <row r="538" spans="1:16" customFormat="1" ht="12.75" customHeight="1" x14ac:dyDescent="0.3">
      <c r="A538" s="566"/>
      <c r="B538" s="566"/>
      <c r="C538" s="566"/>
      <c r="D538" s="566"/>
      <c r="E538" s="566" t="s">
        <v>1556</v>
      </c>
      <c r="F538" s="566"/>
      <c r="G538" s="566" t="s">
        <v>3165</v>
      </c>
      <c r="H538" s="567" t="s">
        <v>291</v>
      </c>
      <c r="I538" s="677"/>
      <c r="J538" s="294" t="str">
        <f>IF(ISBLANK(HLOOKUP(CaseName,CaseData,MATCH($G538,cases!$G$4:$G$2494,0),FALSE)),"",HLOOKUP(CaseName,CaseData,MATCH($G538,cases!$G$4:$G$2494,0),FALSE))</f>
        <v/>
      </c>
      <c r="K538" s="627">
        <f>(1-L539)^(1/3)</f>
        <v>0.84343266530174932</v>
      </c>
      <c r="L538" s="298">
        <f t="shared" si="35"/>
        <v>0.84343266530174932</v>
      </c>
      <c r="M538" s="567" t="s">
        <v>291</v>
      </c>
      <c r="N538" s="566"/>
      <c r="O538" s="604"/>
      <c r="P538" s="566" t="s">
        <v>1509</v>
      </c>
    </row>
    <row r="539" spans="1:16" customFormat="1" ht="12.75" customHeight="1" x14ac:dyDescent="0.3">
      <c r="A539" s="566"/>
      <c r="B539" s="566"/>
      <c r="C539" s="566"/>
      <c r="D539" s="566"/>
      <c r="E539" s="566"/>
      <c r="F539" s="566" t="s">
        <v>1558</v>
      </c>
      <c r="G539" s="566" t="s">
        <v>3166</v>
      </c>
      <c r="H539" s="567" t="s">
        <v>1520</v>
      </c>
      <c r="I539" s="677"/>
      <c r="J539" s="294" t="str">
        <f>IF(ISBLANK(HLOOKUP(CaseName,CaseData,MATCH($G539,cases!$G$4:$G$2494,0),FALSE)),"",HLOOKUP(CaseName,CaseData,MATCH($G539,cases!$G$4:$G$2494,0),FALSE))</f>
        <v/>
      </c>
      <c r="K539" s="576">
        <f>1-L353</f>
        <v>0.39999999999999991</v>
      </c>
      <c r="L539" s="298">
        <f t="shared" si="35"/>
        <v>0.39999999999999991</v>
      </c>
      <c r="M539" s="567" t="s">
        <v>1520</v>
      </c>
      <c r="N539" s="566" t="s">
        <v>1576</v>
      </c>
      <c r="O539" s="604"/>
      <c r="P539" s="566"/>
    </row>
    <row r="540" spans="1:16" customFormat="1" ht="12.75" customHeight="1" x14ac:dyDescent="0.3">
      <c r="A540" s="566"/>
      <c r="B540" s="566"/>
      <c r="C540" s="566" t="s">
        <v>1522</v>
      </c>
      <c r="D540" s="566"/>
      <c r="E540" s="566"/>
      <c r="F540" s="566"/>
      <c r="G540" s="567" t="s">
        <v>3167</v>
      </c>
      <c r="H540" s="567" t="s">
        <v>291</v>
      </c>
      <c r="I540" s="677"/>
      <c r="J540" s="294" t="str">
        <f>IF(ISBLANK(HLOOKUP(CaseName,CaseData,MATCH($G540,cases!$G$4:$G$2494,0),FALSE)),"",HLOOKUP(CaseName,CaseData,MATCH($G540,cases!$G$4:$G$2494,0),FALSE))</f>
        <v/>
      </c>
      <c r="K540" s="576">
        <f>0.55*L542^1.55*L543^-0.125*L544^0.125</f>
        <v>6.0662197396238562E-8</v>
      </c>
      <c r="L540" s="298">
        <f t="shared" si="35"/>
        <v>6.0662197396238562E-8</v>
      </c>
      <c r="M540" s="567" t="s">
        <v>291</v>
      </c>
      <c r="N540" s="566"/>
      <c r="O540" s="604"/>
      <c r="P540" s="566" t="s">
        <v>1509</v>
      </c>
    </row>
    <row r="541" spans="1:16" customFormat="1" ht="12.75" customHeight="1" x14ac:dyDescent="0.3">
      <c r="A541" s="566"/>
      <c r="B541" s="566"/>
      <c r="C541" s="566" t="s">
        <v>1524</v>
      </c>
      <c r="D541" s="566"/>
      <c r="E541" s="566"/>
      <c r="F541" s="566"/>
      <c r="G541" s="567" t="s">
        <v>3168</v>
      </c>
      <c r="H541" s="567" t="s">
        <v>291</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291</v>
      </c>
      <c r="N541" s="566"/>
      <c r="O541" s="604"/>
      <c r="P541" s="566" t="s">
        <v>1509</v>
      </c>
    </row>
    <row r="542" spans="1:16" customFormat="1" ht="12.75" customHeight="1" x14ac:dyDescent="0.3">
      <c r="A542" s="566"/>
      <c r="B542" s="566"/>
      <c r="C542" s="566"/>
      <c r="D542" s="566" t="s">
        <v>1528</v>
      </c>
      <c r="E542" s="566"/>
      <c r="F542" s="566"/>
      <c r="G542" s="566" t="s">
        <v>3169</v>
      </c>
      <c r="H542" s="567" t="s">
        <v>1530</v>
      </c>
      <c r="I542" s="677"/>
      <c r="J542" s="294" t="str">
        <f>IF(ISBLANK(HLOOKUP(CaseName,CaseData,MATCH($G542,cases!$G$4:$G$2494,0),FALSE)),"",HLOOKUP(CaseName,CaseData,MATCH($G542,cases!$G$4:$G$2494,0),FALSE))</f>
        <v/>
      </c>
      <c r="K542" s="627">
        <f>RadS/RadFP.s</f>
        <v>3.9062500000000001E-5</v>
      </c>
      <c r="L542" s="298">
        <f t="shared" si="35"/>
        <v>3.9062500000000001E-5</v>
      </c>
      <c r="M542" s="567" t="s">
        <v>1530</v>
      </c>
      <c r="N542" s="566"/>
      <c r="O542" s="604"/>
      <c r="P542" s="566" t="s">
        <v>1509</v>
      </c>
    </row>
    <row r="543" spans="1:16" customFormat="1" ht="12.75" customHeight="1" x14ac:dyDescent="0.3">
      <c r="A543" s="566"/>
      <c r="B543" s="566"/>
      <c r="C543" s="566"/>
      <c r="D543" s="566" t="s">
        <v>1531</v>
      </c>
      <c r="E543" s="566"/>
      <c r="F543" s="566"/>
      <c r="G543" s="566" t="s">
        <v>3170</v>
      </c>
      <c r="H543" s="567" t="s">
        <v>291</v>
      </c>
      <c r="I543" s="677"/>
      <c r="J543" s="294" t="str">
        <f>IF(ISBLANK(HLOOKUP(CaseName,CaseData,MATCH($G543,cases!$G$4:$G$2494,0),FALSE)),"",HLOOKUP(CaseName,CaseData,MATCH($G543,cases!$G$4:$G$2494,0),FALSE))</f>
        <v/>
      </c>
      <c r="K543" s="627">
        <f>(L534*2*RadFP.s)/(DiffS.wC)</f>
        <v>55.295939834256309</v>
      </c>
      <c r="L543" s="298">
        <f t="shared" si="35"/>
        <v>55.295939834256309</v>
      </c>
      <c r="M543" s="567" t="s">
        <v>291</v>
      </c>
      <c r="N543" s="566"/>
      <c r="O543" s="604"/>
      <c r="P543" s="566" t="s">
        <v>1509</v>
      </c>
    </row>
    <row r="544" spans="1:16" customFormat="1" ht="12.75" customHeight="1" x14ac:dyDescent="0.3">
      <c r="A544" s="566"/>
      <c r="B544" s="566"/>
      <c r="C544" s="566"/>
      <c r="D544" s="566" t="s">
        <v>1526</v>
      </c>
      <c r="E544" s="566"/>
      <c r="F544" s="566"/>
      <c r="G544" s="566" t="s">
        <v>3171</v>
      </c>
      <c r="H544" s="567" t="s">
        <v>291</v>
      </c>
      <c r="I544" s="677"/>
      <c r="J544" s="294" t="str">
        <f>IF(ISBLANK(HLOOKUP(CaseName,CaseData,MATCH($G544,cases!$G$4:$G$2494,0),FALSE)),"",HLOOKUP(CaseName,CaseData,MATCH($G544,cases!$G$4:$G$2494,0),FALSE))</f>
        <v/>
      </c>
      <c r="K544" s="627">
        <f>AHamakerSP.w/(kboltz*L374)</f>
        <v>5.5630427991673272</v>
      </c>
      <c r="L544" s="298">
        <f t="shared" si="35"/>
        <v>5.5630427991673272</v>
      </c>
      <c r="M544" s="567" t="s">
        <v>291</v>
      </c>
      <c r="N544" s="566"/>
      <c r="O544" s="604"/>
      <c r="P544" s="566" t="s">
        <v>1509</v>
      </c>
    </row>
    <row r="545" spans="1:16" customFormat="1" ht="12.75" customHeight="1" x14ac:dyDescent="0.3">
      <c r="A545" s="566"/>
      <c r="B545" s="566"/>
      <c r="C545" s="566"/>
      <c r="D545" s="566" t="s">
        <v>1533</v>
      </c>
      <c r="E545" s="566"/>
      <c r="F545" s="566"/>
      <c r="G545" s="567" t="s">
        <v>3172</v>
      </c>
      <c r="H545" s="567" t="s">
        <v>291</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291</v>
      </c>
      <c r="N545" s="566"/>
      <c r="O545" s="604"/>
      <c r="P545" s="566" t="s">
        <v>1509</v>
      </c>
    </row>
    <row r="546" spans="1:16" customFormat="1" ht="12.75" customHeight="1" x14ac:dyDescent="0.3">
      <c r="G546" s="172"/>
      <c r="H546" s="172"/>
      <c r="J546" s="273"/>
      <c r="K546" s="335"/>
      <c r="L546" s="332"/>
      <c r="O546" s="176"/>
    </row>
    <row r="547" spans="1:16" s="633" customFormat="1" ht="12.75" customHeight="1" x14ac:dyDescent="0.3">
      <c r="A547" s="632" t="s">
        <v>1598</v>
      </c>
      <c r="G547" s="632" t="s">
        <v>258</v>
      </c>
      <c r="H547" s="632" t="s">
        <v>274</v>
      </c>
      <c r="I547" s="633" t="s">
        <v>259</v>
      </c>
      <c r="J547" s="672" t="s">
        <v>2953</v>
      </c>
      <c r="K547" s="660" t="s">
        <v>260</v>
      </c>
      <c r="L547" s="180" t="s">
        <v>261</v>
      </c>
      <c r="N547" s="632" t="s">
        <v>262</v>
      </c>
      <c r="O547" s="395" t="s">
        <v>1383</v>
      </c>
      <c r="P547" s="633" t="s">
        <v>1384</v>
      </c>
    </row>
    <row r="548" spans="1:16" customFormat="1" ht="12.75" customHeight="1" x14ac:dyDescent="0.3">
      <c r="A548" t="s">
        <v>3173</v>
      </c>
      <c r="G548" s="172"/>
      <c r="H548" s="172"/>
      <c r="J548" s="273"/>
      <c r="K548" s="335"/>
      <c r="L548" s="332"/>
      <c r="O548" s="176"/>
    </row>
    <row r="549" spans="1:16" customFormat="1" ht="12.75" customHeight="1" x14ac:dyDescent="0.3">
      <c r="A549" s="566"/>
      <c r="B549" s="566" t="s">
        <v>1600</v>
      </c>
      <c r="C549" s="566"/>
      <c r="D549" s="566"/>
      <c r="E549" s="566"/>
      <c r="F549" s="566"/>
      <c r="G549" s="567" t="s">
        <v>3174</v>
      </c>
      <c r="H549" s="567" t="s">
        <v>813</v>
      </c>
      <c r="I549" s="677"/>
      <c r="J549" s="294" t="str">
        <f>IF(ISBLANK(HLOOKUP(CaseName,CaseData,MATCH($G549,cases!$G$4:$G$2494,0),FALSE)),"",HLOOKUP(CaseName,CaseData,MATCH($G549,cases!$G$4:$G$2494,0),FALSE))</f>
        <v/>
      </c>
      <c r="K549" s="625">
        <f>((7*10^-4)*(60*6*10^4*L551)^0.25)/2</f>
        <v>2.9066263570473773E-4</v>
      </c>
      <c r="L549" s="298">
        <f t="shared" ref="L549:L555" si="36">IF(ISBLANK(I549),IF(ISNUMBER(J549)=FALSE,K549,J549),I549)</f>
        <v>2.9066263570473773E-4</v>
      </c>
      <c r="M549" s="567" t="s">
        <v>813</v>
      </c>
      <c r="N549" s="566"/>
      <c r="O549" s="604"/>
      <c r="P549" s="566" t="s">
        <v>1602</v>
      </c>
    </row>
    <row r="550" spans="1:16" customFormat="1" ht="12.75" customHeight="1" x14ac:dyDescent="0.3">
      <c r="A550" s="566"/>
      <c r="B550" s="566" t="s">
        <v>1603</v>
      </c>
      <c r="C550" s="566"/>
      <c r="D550" s="566"/>
      <c r="E550" s="566"/>
      <c r="F550" s="566"/>
      <c r="G550" s="567" t="s">
        <v>3175</v>
      </c>
      <c r="H550" s="567" t="s">
        <v>291</v>
      </c>
      <c r="I550" s="677"/>
      <c r="J550" s="294" t="str">
        <f>IF(ISBLANK(HLOOKUP(CaseName,CaseData,MATCH($G550,cases!$G$4:$G$2494,0),FALSE)),"",HLOOKUP(CaseName,CaseData,MATCH($G550,cases!$G$4:$G$2494,0),FALSE))</f>
        <v/>
      </c>
      <c r="K550" s="576">
        <f>L409/(L409+L408)</f>
        <v>0.06</v>
      </c>
      <c r="L550" s="298">
        <f t="shared" si="36"/>
        <v>0.06</v>
      </c>
      <c r="M550" s="567" t="s">
        <v>291</v>
      </c>
      <c r="N550" s="566"/>
      <c r="O550" s="604"/>
      <c r="P550" s="566"/>
    </row>
    <row r="551" spans="1:16" customFormat="1" ht="12.75" customHeight="1" x14ac:dyDescent="0.3">
      <c r="A551" s="566"/>
      <c r="B551" s="566" t="s">
        <v>1606</v>
      </c>
      <c r="C551" s="566"/>
      <c r="D551" s="566"/>
      <c r="E551" s="566"/>
      <c r="F551" s="566"/>
      <c r="G551" s="567" t="s">
        <v>3176</v>
      </c>
      <c r="H551" s="567" t="s">
        <v>866</v>
      </c>
      <c r="I551" s="677"/>
      <c r="J551" s="294" t="str">
        <f>IF(ISBLANK(HLOOKUP(CaseName,CaseData,MATCH($G551,cases!$G$4:$G$2494,0),FALSE)),"",HLOOKUP(CaseName,CaseData,MATCH($G551,cases!$G$4:$G$2494,0),FALSE))</f>
        <v/>
      </c>
      <c r="K551" s="576">
        <f>L414/L550</f>
        <v>1.3212413326568579E-7</v>
      </c>
      <c r="L551" s="298">
        <f t="shared" si="36"/>
        <v>1.3212413326568579E-7</v>
      </c>
      <c r="M551" s="567" t="s">
        <v>866</v>
      </c>
      <c r="N551" s="566"/>
      <c r="O551" s="604"/>
      <c r="P551" s="566"/>
    </row>
    <row r="552" spans="1:16" customFormat="1" ht="12.75" customHeight="1" x14ac:dyDescent="0.3">
      <c r="A552" s="566"/>
      <c r="B552" s="566" t="s">
        <v>1610</v>
      </c>
      <c r="C552" s="566"/>
      <c r="D552" s="566"/>
      <c r="E552" s="566"/>
      <c r="F552" s="566"/>
      <c r="G552" s="567" t="s">
        <v>3177</v>
      </c>
      <c r="H552" s="567" t="s">
        <v>866</v>
      </c>
      <c r="I552" s="677"/>
      <c r="J552" s="294" t="str">
        <f>IF(ISBLANK(HLOOKUP(CaseName,CaseData,MATCH($G552,cases!$G$4:$G$2494,0),FALSE)),"",HLOOKUP(CaseName,CaseData,MATCH($G552,cases!$G$4:$G$2494,0),FALSE))</f>
        <v/>
      </c>
      <c r="K552" s="576">
        <f>((2*L549)^2*(Rho.w-Rho.a)*g*L553)/(18*DYNVISC.a)</f>
        <v>10.142697438272769</v>
      </c>
      <c r="L552" s="298">
        <f t="shared" si="36"/>
        <v>10.142697438272769</v>
      </c>
      <c r="M552" s="567" t="s">
        <v>866</v>
      </c>
      <c r="N552" s="566"/>
      <c r="O552" s="604"/>
      <c r="P552" s="566"/>
    </row>
    <row r="553" spans="1:16" customFormat="1" ht="12.75" customHeight="1" x14ac:dyDescent="0.3">
      <c r="A553" s="566"/>
      <c r="B553" s="566" t="s">
        <v>1612</v>
      </c>
      <c r="C553" s="566"/>
      <c r="D553" s="566"/>
      <c r="E553" s="566"/>
      <c r="F553" s="566"/>
      <c r="G553" s="567" t="s">
        <v>3178</v>
      </c>
      <c r="H553" s="567" t="s">
        <v>291</v>
      </c>
      <c r="I553" s="677"/>
      <c r="J553" s="294" t="str">
        <f>IF(ISBLANK(HLOOKUP(CaseName,CaseData,MATCH($G553,cases!$G$4:$G$2494,0),FALSE)),"",HLOOKUP(CaseName,CaseData,MATCH($G553,cases!$G$4:$G$2494,0),FALSE))</f>
        <v/>
      </c>
      <c r="K553" s="576">
        <v>1</v>
      </c>
      <c r="L553" s="298">
        <f t="shared" si="36"/>
        <v>1</v>
      </c>
      <c r="M553" s="567" t="s">
        <v>291</v>
      </c>
      <c r="N553" s="566"/>
      <c r="O553" s="604"/>
      <c r="P553" s="566"/>
    </row>
    <row r="554" spans="1:16" customFormat="1" ht="12.75" customHeight="1" x14ac:dyDescent="0.3">
      <c r="A554" s="566"/>
      <c r="B554" s="566" t="s">
        <v>1614</v>
      </c>
      <c r="C554" s="566"/>
      <c r="D554" s="566"/>
      <c r="E554" s="566"/>
      <c r="F554" s="566"/>
      <c r="G554" s="567" t="s">
        <v>3179</v>
      </c>
      <c r="H554" s="567" t="s">
        <v>291</v>
      </c>
      <c r="I554" s="677"/>
      <c r="J554" s="294" t="str">
        <f>IF(ISBLANK(HLOOKUP(CaseName,CaseData,MATCH($G554,cases!$G$4:$G$2494,0),FALSE)),"",HLOOKUP(CaseName,CaseData,MATCH($G554,cases!$G$4:$G$2494,0),FALSE))</f>
        <v/>
      </c>
      <c r="K554" s="576">
        <f>((1.2+(1/12)*LN(1+L555))/(1+LN(L555)))</f>
        <v>0.26076230934983047</v>
      </c>
      <c r="L554" s="298">
        <f t="shared" si="36"/>
        <v>0.26076230934983047</v>
      </c>
      <c r="M554" s="567" t="s">
        <v>291</v>
      </c>
      <c r="N554" s="566"/>
      <c r="O554" s="604"/>
      <c r="P554" s="566"/>
    </row>
    <row r="555" spans="1:16" customFormat="1" ht="12.75" customHeight="1" x14ac:dyDescent="0.3">
      <c r="A555" s="566"/>
      <c r="B555" s="566" t="s">
        <v>1616</v>
      </c>
      <c r="C555" s="566"/>
      <c r="D555" s="566"/>
      <c r="E555" s="566"/>
      <c r="F555" s="566"/>
      <c r="G555" s="567" t="s">
        <v>3180</v>
      </c>
      <c r="H555" s="567" t="s">
        <v>291</v>
      </c>
      <c r="I555" s="677"/>
      <c r="J555" s="294" t="str">
        <f>IF(ISBLANK(HLOOKUP(CaseName,CaseData,MATCH($G555,cases!$G$4:$G$2494,0),FALSE)),"",HLOOKUP(CaseName,CaseData,MATCH($G555,cases!$G$4:$G$2494,0),FALSE))</f>
        <v/>
      </c>
      <c r="K555" s="626">
        <f>((2*L549)*L552*Rho.a)/(2*DYNVISC.a)</f>
        <v>199.52631955474951</v>
      </c>
      <c r="L555" s="298">
        <f t="shared" si="36"/>
        <v>199.52631955474951</v>
      </c>
      <c r="M555" s="567" t="s">
        <v>2334</v>
      </c>
      <c r="N555" s="566"/>
      <c r="O555" s="604"/>
      <c r="P555" s="566"/>
    </row>
    <row r="556" spans="1:16" customFormat="1" ht="12.75" customHeight="1" x14ac:dyDescent="0.3">
      <c r="A556" t="s">
        <v>3181</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1619</v>
      </c>
      <c r="C557" s="566"/>
      <c r="D557" s="566"/>
      <c r="E557" s="566"/>
      <c r="F557" s="566"/>
      <c r="G557" s="566" t="s">
        <v>3182</v>
      </c>
      <c r="H557" s="566" t="s">
        <v>813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813</v>
      </c>
      <c r="N557" s="566"/>
      <c r="O557" s="604"/>
      <c r="P557" s="566"/>
    </row>
    <row r="558" spans="1:16" customFormat="1" ht="12.75" customHeight="1" x14ac:dyDescent="0.3">
      <c r="A558" s="566"/>
      <c r="B558" s="566" t="s">
        <v>1621</v>
      </c>
      <c r="C558" s="566"/>
      <c r="D558" s="566"/>
      <c r="E558" s="566"/>
      <c r="F558" s="566"/>
      <c r="G558" s="566" t="s">
        <v>3183</v>
      </c>
      <c r="H558" s="566" t="s">
        <v>282</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282</v>
      </c>
      <c r="N558" s="566"/>
      <c r="O558" s="604"/>
      <c r="P558" s="566"/>
    </row>
    <row r="559" spans="1:16" customFormat="1" ht="12.75" customHeight="1" x14ac:dyDescent="0.3">
      <c r="A559" s="566"/>
      <c r="B559" s="566"/>
      <c r="C559" s="566" t="s">
        <v>1623</v>
      </c>
      <c r="D559" s="566"/>
      <c r="E559" s="566"/>
      <c r="F559" s="566"/>
      <c r="G559" s="566" t="s">
        <v>3184</v>
      </c>
      <c r="H559" s="566" t="s">
        <v>857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857</v>
      </c>
      <c r="N559" s="566"/>
      <c r="O559" s="604"/>
      <c r="P559" s="566"/>
    </row>
    <row r="560" spans="1:16" customFormat="1" ht="12.75" customHeight="1" x14ac:dyDescent="0.3">
      <c r="A560" s="566"/>
      <c r="B560" s="566"/>
      <c r="C560" s="566" t="s">
        <v>1625</v>
      </c>
      <c r="D560" s="566"/>
      <c r="E560" s="566"/>
      <c r="F560" s="566"/>
      <c r="G560" s="566" t="s">
        <v>3185</v>
      </c>
      <c r="H560" s="566" t="s">
        <v>888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888</v>
      </c>
      <c r="N560" s="566"/>
      <c r="O560" s="604"/>
      <c r="P560" s="566"/>
    </row>
    <row r="561" spans="1:17" customFormat="1" ht="12.75" customHeight="1" x14ac:dyDescent="0.3">
      <c r="A561" t="s">
        <v>3186</v>
      </c>
      <c r="J561" s="294" t="str">
        <f>IF(ISBLANK(HLOOKUP(CaseName,CaseData,MATCH($G561,cases!$G$4:$G$2494,0),FALSE)),"",HLOOKUP(CaseName,CaseData,MATCH($G561,cases!$G$4:$G$2494,0),FALSE))</f>
        <v/>
      </c>
      <c r="K561" s="437"/>
      <c r="L561" s="332"/>
      <c r="O561" s="176"/>
    </row>
    <row r="562" spans="1:17" customFormat="1" ht="12.75" customHeight="1" x14ac:dyDescent="0.3">
      <c r="A562" s="566" t="s">
        <v>1628</v>
      </c>
      <c r="B562" s="566"/>
      <c r="C562" s="566"/>
      <c r="D562" s="566"/>
      <c r="E562" s="566"/>
      <c r="F562" s="566"/>
      <c r="G562" s="567" t="s">
        <v>3187</v>
      </c>
      <c r="H562" s="567" t="s">
        <v>335</v>
      </c>
      <c r="I562" s="677"/>
      <c r="J562" s="294" t="str">
        <f>IF(ISBLANK(HLOOKUP(CaseName,CaseData,MATCH($G562,cases!$G$4:$G$2494,0),FALSE)),"",HLOOKUP(CaseName,CaseData,MATCH($G562,cases!$G$4:$G$2494,0),FALSE))</f>
        <v/>
      </c>
      <c r="K562" s="576">
        <f>(3/2)*(L570*L551)/(2*L549)</f>
        <v>1.7895702304868169E-6</v>
      </c>
      <c r="L562" s="298">
        <f t="shared" ref="L562:L593" si="37">IF(ISBLANK(I562),IF(ISNUMBER(J562)=FALSE,K562,J562),I562)</f>
        <v>1.7895702304868169E-6</v>
      </c>
      <c r="M562" s="567" t="s">
        <v>335</v>
      </c>
      <c r="N562" s="566"/>
      <c r="O562" s="604" t="s">
        <v>2341</v>
      </c>
      <c r="P562" s="566" t="s">
        <v>1630</v>
      </c>
    </row>
    <row r="563" spans="1:17" customFormat="1" ht="12.75" customHeight="1" x14ac:dyDescent="0.3">
      <c r="A563" s="566"/>
      <c r="B563" s="566" t="s">
        <v>1631</v>
      </c>
      <c r="C563" s="566"/>
      <c r="D563" s="566"/>
      <c r="E563" s="566"/>
      <c r="F563" s="566"/>
      <c r="G563" s="567" t="s">
        <v>3188</v>
      </c>
      <c r="H563" s="567" t="s">
        <v>1633</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1633</v>
      </c>
      <c r="N563" s="566"/>
      <c r="O563" s="604"/>
      <c r="P563" s="566"/>
    </row>
    <row r="564" spans="1:17" customFormat="1" ht="12.75" customHeight="1" x14ac:dyDescent="0.3">
      <c r="A564" s="566"/>
      <c r="B564" s="566" t="s">
        <v>1634</v>
      </c>
      <c r="C564" s="566"/>
      <c r="D564" s="566"/>
      <c r="E564" s="566"/>
      <c r="F564" s="566"/>
      <c r="G564" s="567" t="s">
        <v>3189</v>
      </c>
      <c r="H564" s="567" t="s">
        <v>291</v>
      </c>
      <c r="I564" s="677"/>
      <c r="J564" s="294" t="str">
        <f>IF(ISBLANK(HLOOKUP(CaseName,CaseData,MATCH($G564,cases!$G$4:$G$2494,0),FALSE)),"",HLOOKUP(CaseName,CaseData,MATCH($G564,cases!$G$4:$G$2494,0),FALSE))</f>
        <v/>
      </c>
      <c r="K564" s="576">
        <f>(2*L563*(L552-L565))/(2*L549)</f>
        <v>2.5754114162363164E-3</v>
      </c>
      <c r="L564" s="298">
        <f t="shared" si="37"/>
        <v>2.5754114162363164E-3</v>
      </c>
      <c r="M564" s="567" t="s">
        <v>291</v>
      </c>
      <c r="N564" s="566"/>
      <c r="O564" s="604" t="s">
        <v>1636</v>
      </c>
      <c r="P564" s="566"/>
      <c r="Q564">
        <f>(L552-L565)</f>
        <v>10.142696714251388</v>
      </c>
    </row>
    <row r="565" spans="1:17" customFormat="1" ht="12.75" customHeight="1" x14ac:dyDescent="0.3">
      <c r="A565" s="566"/>
      <c r="B565" s="566" t="s">
        <v>1637</v>
      </c>
      <c r="C565" s="566"/>
      <c r="D565" s="566"/>
      <c r="E565" s="566"/>
      <c r="F565" s="566"/>
      <c r="G565" s="567" t="s">
        <v>3190</v>
      </c>
      <c r="H565" s="567" t="s">
        <v>866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866</v>
      </c>
      <c r="N565" s="566"/>
      <c r="O565" s="604"/>
      <c r="P565" s="566"/>
    </row>
    <row r="566" spans="1:17" customFormat="1" ht="12.75" customHeight="1" x14ac:dyDescent="0.3">
      <c r="A566" s="566"/>
      <c r="B566" s="566" t="s">
        <v>1639</v>
      </c>
      <c r="C566" s="566"/>
      <c r="D566" s="566"/>
      <c r="E566" s="566"/>
      <c r="F566" s="566"/>
      <c r="G566" s="567" t="s">
        <v>3191</v>
      </c>
      <c r="H566" s="567" t="s">
        <v>291</v>
      </c>
      <c r="I566" s="677"/>
      <c r="J566" s="294" t="str">
        <f>IF(ISBLANK(HLOOKUP(CaseName,CaseData,MATCH($G566,cases!$G$4:$G$2494,0),FALSE)),"",HLOOKUP(CaseName,CaseData,MATCH($G566,cases!$G$4:$G$2494,0),FALSE))</f>
        <v/>
      </c>
      <c r="K566" s="576">
        <f>DYNVISC.a/(Rho.a*DiffS.aA)</f>
        <v>303.08077159842435</v>
      </c>
      <c r="L566" s="298">
        <f t="shared" si="37"/>
        <v>303.08077159842435</v>
      </c>
      <c r="M566" s="567" t="s">
        <v>291</v>
      </c>
      <c r="N566" s="566"/>
      <c r="O566" s="604"/>
      <c r="P566" s="566"/>
    </row>
    <row r="567" spans="1:17" customFormat="1" ht="12.75" customHeight="1" x14ac:dyDescent="0.3">
      <c r="A567" s="566"/>
      <c r="B567" s="566"/>
      <c r="C567" s="566" t="s">
        <v>1641</v>
      </c>
      <c r="D567" s="566"/>
      <c r="E567" s="566"/>
      <c r="F567" s="566"/>
      <c r="G567" s="567" t="s">
        <v>3192</v>
      </c>
      <c r="H567" s="567" t="s">
        <v>291</v>
      </c>
      <c r="I567" s="677"/>
      <c r="J567" s="294" t="str">
        <f>IF(ISBLANK(HLOOKUP(CaseName,CaseData,MATCH($G567,cases!$G$4:$G$2494,0),FALSE)),"",HLOOKUP(CaseName,CaseData,MATCH($G567,cases!$G$4:$G$2494,0),FALSE))</f>
        <v/>
      </c>
      <c r="K567" s="576">
        <f>(4/(L555*L566))*(1+0.4*(L555^0.5*L566^(1/3))+0.16*(L555^0.5*L566^0.5))</f>
        <v>5.179132475955972E-3</v>
      </c>
      <c r="L567" s="298">
        <f t="shared" si="37"/>
        <v>5.179132475955972E-3</v>
      </c>
      <c r="M567" s="567" t="s">
        <v>291</v>
      </c>
      <c r="N567" s="566"/>
      <c r="O567" s="604"/>
      <c r="P567" s="566"/>
    </row>
    <row r="568" spans="1:17" customFormat="1" ht="12.75" customHeight="1" x14ac:dyDescent="0.3">
      <c r="A568" s="566"/>
      <c r="B568" s="566"/>
      <c r="C568" s="566" t="s">
        <v>1643</v>
      </c>
      <c r="D568" s="566"/>
      <c r="E568" s="566"/>
      <c r="F568" s="566"/>
      <c r="G568" s="567" t="s">
        <v>3193</v>
      </c>
      <c r="H568" s="567" t="s">
        <v>291</v>
      </c>
      <c r="I568" s="677"/>
      <c r="J568" s="294" t="str">
        <f>IF(ISBLANK(HLOOKUP(CaseName,CaseData,MATCH($G568,cases!$G$4:$G$2494,0),FALSE)),"",HLOOKUP(CaseName,CaseData,MATCH($G568,cases!$G$4:$G$2494,0),FALSE))</f>
        <v/>
      </c>
      <c r="K568" s="576">
        <f>4*(RadS/L549)*((DYNVISC.a/DYNVISC.w)+(1+2*L555^0.5*(RadS/L549)))</f>
        <v>7.0084676785800052E-5</v>
      </c>
      <c r="L568" s="298">
        <f t="shared" si="37"/>
        <v>7.0084676785800052E-5</v>
      </c>
      <c r="M568" s="567" t="s">
        <v>291</v>
      </c>
      <c r="N568" s="566"/>
      <c r="O568" s="604"/>
      <c r="P568" s="566"/>
    </row>
    <row r="569" spans="1:17" customFormat="1" ht="12.75" customHeight="1" x14ac:dyDescent="0.3">
      <c r="A569" s="566"/>
      <c r="B569" s="566"/>
      <c r="C569" s="566" t="s">
        <v>1645</v>
      </c>
      <c r="D569" s="566"/>
      <c r="E569" s="566"/>
      <c r="F569" s="566"/>
      <c r="G569" s="567" t="s">
        <v>3194</v>
      </c>
      <c r="H569" s="567" t="s">
        <v>291</v>
      </c>
      <c r="I569" s="677"/>
      <c r="J569" s="294" t="str">
        <f>IF(ISBLANK(HLOOKUP(CaseName,CaseData,MATCH($G569,cases!$G$4:$G$2494,0),FALSE)),"",HLOOKUP(CaseName,CaseData,MATCH($G569,cases!$G$4:$G$2494,0),FALSE))</f>
        <v/>
      </c>
      <c r="K569" s="576">
        <f>IF(L564&gt;L554,((L564-L554)/(L564-L554+2/3))^(3/2),0)</f>
        <v>0</v>
      </c>
      <c r="L569" s="298">
        <f t="shared" si="37"/>
        <v>0</v>
      </c>
      <c r="M569" s="567" t="s">
        <v>291</v>
      </c>
      <c r="N569" s="566"/>
      <c r="O569" s="604"/>
      <c r="P569" s="566"/>
    </row>
    <row r="570" spans="1:17" customFormat="1" ht="12.75" customHeight="1" x14ac:dyDescent="0.3">
      <c r="A570" s="566"/>
      <c r="B570" s="566"/>
      <c r="C570" s="566" t="s">
        <v>1647</v>
      </c>
      <c r="D570" s="566"/>
      <c r="E570" s="566"/>
      <c r="F570" s="566"/>
      <c r="G570" s="567" t="s">
        <v>3195</v>
      </c>
      <c r="H570" s="567" t="s">
        <v>291</v>
      </c>
      <c r="I570" s="677"/>
      <c r="J570" s="294" t="str">
        <f>IF(ISBLANK(HLOOKUP(CaseName,CaseData,MATCH($G570,cases!$G$4:$G$2494,0),FALSE)),"",HLOOKUP(CaseName,CaseData,MATCH($G570,cases!$G$4:$G$2494,0),FALSE))</f>
        <v/>
      </c>
      <c r="K570" s="576">
        <f>L567+L568+L569</f>
        <v>5.249217152741772E-3</v>
      </c>
      <c r="L570" s="298">
        <f t="shared" si="37"/>
        <v>5.249217152741772E-3</v>
      </c>
      <c r="M570" s="567" t="s">
        <v>291</v>
      </c>
      <c r="N570" s="566"/>
      <c r="O570" s="604"/>
      <c r="P570" s="566"/>
    </row>
    <row r="571" spans="1:17" customFormat="1" ht="12.75" customHeight="1" x14ac:dyDescent="0.3">
      <c r="A571" s="566" t="s">
        <v>1649</v>
      </c>
      <c r="B571" s="566"/>
      <c r="C571" s="566"/>
      <c r="D571" s="566"/>
      <c r="E571" s="566"/>
      <c r="F571" s="566"/>
      <c r="G571" s="567" t="s">
        <v>3196</v>
      </c>
      <c r="H571" s="567" t="s">
        <v>335</v>
      </c>
      <c r="I571" s="677"/>
      <c r="J571" s="294" t="str">
        <f>IF(ISBLANK(HLOOKUP(CaseName,CaseData,MATCH($G571,cases!$G$4:$G$2494,0),FALSE)),"",HLOOKUP(CaseName,CaseData,MATCH($G571,cases!$G$4:$G$2494,0),FALSE))</f>
        <v/>
      </c>
      <c r="K571" s="576">
        <f>((3/2)*(L581*L551)/(2*L549))</f>
        <v>3.7733902939638414E-7</v>
      </c>
      <c r="L571" s="298">
        <f t="shared" si="37"/>
        <v>3.7733902939638414E-7</v>
      </c>
      <c r="M571" s="567" t="s">
        <v>335</v>
      </c>
      <c r="N571" s="566"/>
      <c r="O571" s="604"/>
      <c r="P571" s="566"/>
    </row>
    <row r="572" spans="1:17" customFormat="1" ht="12.75" customHeight="1" x14ac:dyDescent="0.3">
      <c r="A572" s="566"/>
      <c r="B572" s="566" t="s">
        <v>1651</v>
      </c>
      <c r="C572" s="566"/>
      <c r="D572" s="566"/>
      <c r="E572" s="566"/>
      <c r="F572" s="566"/>
      <c r="G572" s="567" t="s">
        <v>3197</v>
      </c>
      <c r="H572" s="567" t="s">
        <v>291</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291</v>
      </c>
      <c r="N572" s="566"/>
      <c r="O572" s="604"/>
      <c r="P572" s="566"/>
    </row>
    <row r="573" spans="1:17" customFormat="1" ht="12.75" customHeight="1" x14ac:dyDescent="0.3">
      <c r="A573" s="566"/>
      <c r="B573" s="566" t="s">
        <v>1653</v>
      </c>
      <c r="C573" s="566"/>
      <c r="D573" s="566"/>
      <c r="E573" s="566"/>
      <c r="F573" s="566"/>
      <c r="G573" s="567" t="s">
        <v>3198</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1631</v>
      </c>
      <c r="C574" s="566"/>
      <c r="D574" s="566"/>
      <c r="E574" s="566"/>
      <c r="F574" s="566"/>
      <c r="G574" s="567" t="s">
        <v>3199</v>
      </c>
      <c r="H574" s="567" t="s">
        <v>1633</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1633</v>
      </c>
      <c r="N574" s="566"/>
      <c r="O574" s="604">
        <f>L572</f>
        <v>3.0696088001070425</v>
      </c>
      <c r="P574" s="566"/>
    </row>
    <row r="575" spans="1:17" customFormat="1" ht="12.75" customHeight="1" x14ac:dyDescent="0.3">
      <c r="A575" s="566"/>
      <c r="B575" s="566" t="s">
        <v>1656</v>
      </c>
      <c r="C575" s="566"/>
      <c r="D575" s="566"/>
      <c r="E575" s="566"/>
      <c r="F575" s="566"/>
      <c r="G575" s="567" t="s">
        <v>3200</v>
      </c>
      <c r="H575" s="567" t="s">
        <v>291</v>
      </c>
      <c r="I575" s="677"/>
      <c r="J575" s="294" t="str">
        <f>IF(ISBLANK(HLOOKUP(CaseName,CaseData,MATCH($G575,cases!$G$4:$G$2494,0),FALSE)),"",HLOOKUP(CaseName,CaseData,MATCH($G575,cases!$G$4:$G$2494,0),FALSE))</f>
        <v/>
      </c>
      <c r="K575" s="576">
        <f>(2*L574*(L552-L576))/(2*L549)</f>
        <v>5.4315402938131165E-3</v>
      </c>
      <c r="L575" s="298">
        <f t="shared" si="37"/>
        <v>5.4315402938131165E-3</v>
      </c>
      <c r="M575" s="567" t="s">
        <v>291</v>
      </c>
      <c r="N575" s="566"/>
      <c r="O575" s="604">
        <f>L557</f>
        <v>4.5372667230498981E-8</v>
      </c>
      <c r="P575" s="566"/>
    </row>
    <row r="576" spans="1:17" customFormat="1" ht="12.75" customHeight="1" x14ac:dyDescent="0.3">
      <c r="A576" s="566"/>
      <c r="B576" s="566" t="s">
        <v>1637</v>
      </c>
      <c r="C576" s="566"/>
      <c r="D576" s="566"/>
      <c r="E576" s="566"/>
      <c r="F576" s="566"/>
      <c r="G576" s="567" t="s">
        <v>3201</v>
      </c>
      <c r="H576" s="567" t="s">
        <v>866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866</v>
      </c>
      <c r="N576" s="566"/>
      <c r="O576" s="604"/>
      <c r="P576" s="566"/>
    </row>
    <row r="577" spans="1:16" customFormat="1" ht="12.75" customHeight="1" x14ac:dyDescent="0.3">
      <c r="A577" s="566"/>
      <c r="B577" s="566" t="s">
        <v>1639</v>
      </c>
      <c r="C577" s="566"/>
      <c r="D577" s="566"/>
      <c r="E577" s="566"/>
      <c r="F577" s="566"/>
      <c r="G577" s="567" t="s">
        <v>3202</v>
      </c>
      <c r="H577" s="567" t="s">
        <v>291</v>
      </c>
      <c r="I577" s="677"/>
      <c r="J577" s="294" t="str">
        <f>IF(ISBLANK(HLOOKUP(CaseName,CaseData,MATCH($G577,cases!$G$4:$G$2494,0),FALSE)),"",HLOOKUP(CaseName,CaseData,MATCH($G577,cases!$G$4:$G$2494,0),FALSE))</f>
        <v/>
      </c>
      <c r="K577" s="576">
        <f>DYNVISC.a/(Rho.a*L573)</f>
        <v>20520.809778222971</v>
      </c>
      <c r="L577" s="298">
        <f t="shared" si="37"/>
        <v>20520.809778222971</v>
      </c>
      <c r="M577" s="567" t="s">
        <v>291</v>
      </c>
      <c r="N577" s="566"/>
      <c r="O577" s="604"/>
      <c r="P577" s="566"/>
    </row>
    <row r="578" spans="1:16" customFormat="1" ht="12.75" customHeight="1" x14ac:dyDescent="0.3">
      <c r="A578" s="566"/>
      <c r="B578" s="566"/>
      <c r="C578" s="566" t="s">
        <v>1641</v>
      </c>
      <c r="D578" s="566"/>
      <c r="E578" s="566"/>
      <c r="F578" s="566"/>
      <c r="G578" s="567" t="s">
        <v>3203</v>
      </c>
      <c r="H578" s="567" t="s">
        <v>291</v>
      </c>
      <c r="I578" s="677"/>
      <c r="J578" s="294" t="str">
        <f>IF(ISBLANK(HLOOKUP(CaseName,CaseData,MATCH($G578,cases!$G$4:$G$2494,0),FALSE)),"",HLOOKUP(CaseName,CaseData,MATCH($G578,cases!$G$4:$G$2494,0),FALSE))</f>
        <v/>
      </c>
      <c r="K578" s="576">
        <f>(4/(L555*L577))*(1+0.4*(L555^0.5*L577^(1/3))+0.16*(L555^0.5*L577^0.5))</f>
        <v>4.6838543383682262E-4</v>
      </c>
      <c r="L578" s="298">
        <f t="shared" si="37"/>
        <v>4.6838543383682262E-4</v>
      </c>
      <c r="M578" s="567" t="s">
        <v>291</v>
      </c>
      <c r="N578" s="566"/>
      <c r="O578" s="604"/>
      <c r="P578" s="566"/>
    </row>
    <row r="579" spans="1:16" customFormat="1" ht="12.75" customHeight="1" x14ac:dyDescent="0.3">
      <c r="A579" s="566"/>
      <c r="B579" s="566"/>
      <c r="C579" s="566" t="s">
        <v>1643</v>
      </c>
      <c r="D579" s="566"/>
      <c r="E579" s="566"/>
      <c r="F579" s="566"/>
      <c r="G579" s="567" t="s">
        <v>3204</v>
      </c>
      <c r="H579" s="567" t="s">
        <v>291</v>
      </c>
      <c r="I579" s="677"/>
      <c r="J579" s="294" t="str">
        <f>IF(ISBLANK(HLOOKUP(CaseName,CaseData,MATCH($G579,cases!$G$4:$G$2494,0),FALSE)),"",HLOOKUP(CaseName,CaseData,MATCH($G579,cases!$G$4:$G$2494,0),FALSE))</f>
        <v/>
      </c>
      <c r="K579" s="576">
        <f>4*(L557/L549)*((DYNVISC.a/DYNVISC.w)+(1+2*L555^0.5*(L557/L549)))</f>
        <v>6.3843589776725314E-4</v>
      </c>
      <c r="L579" s="298">
        <f t="shared" si="37"/>
        <v>6.3843589776725314E-4</v>
      </c>
      <c r="M579" s="567" t="s">
        <v>291</v>
      </c>
      <c r="N579" s="566"/>
      <c r="O579" s="604"/>
      <c r="P579" s="566"/>
    </row>
    <row r="580" spans="1:16" customFormat="1" ht="12.75" customHeight="1" x14ac:dyDescent="0.3">
      <c r="A580" s="566"/>
      <c r="B580" s="566"/>
      <c r="C580" s="566" t="s">
        <v>1645</v>
      </c>
      <c r="D580" s="566"/>
      <c r="E580" s="566"/>
      <c r="F580" s="566"/>
      <c r="G580" s="567" t="s">
        <v>3205</v>
      </c>
      <c r="H580" s="567" t="s">
        <v>291</v>
      </c>
      <c r="I580" s="677"/>
      <c r="J580" s="294" t="str">
        <f>IF(ISBLANK(HLOOKUP(CaseName,CaseData,MATCH($G580,cases!$G$4:$G$2494,0),FALSE)),"",HLOOKUP(CaseName,CaseData,MATCH($G580,cases!$G$4:$G$2494,0),FALSE))</f>
        <v/>
      </c>
      <c r="K580" s="576">
        <f>IF(L575&gt;L554,((L575-L554)/(L575-L554+2/3))^(3/2),0)</f>
        <v>0</v>
      </c>
      <c r="L580" s="298">
        <f t="shared" si="37"/>
        <v>0</v>
      </c>
      <c r="M580" s="567" t="s">
        <v>291</v>
      </c>
      <c r="N580" s="566"/>
      <c r="O580" s="604"/>
      <c r="P580" s="566"/>
    </row>
    <row r="581" spans="1:16" customFormat="1" ht="12.75" customHeight="1" x14ac:dyDescent="0.3">
      <c r="A581" s="566"/>
      <c r="B581" s="566"/>
      <c r="C581" s="566" t="s">
        <v>1647</v>
      </c>
      <c r="D581" s="566"/>
      <c r="E581" s="566"/>
      <c r="F581" s="566"/>
      <c r="G581" s="567" t="s">
        <v>3206</v>
      </c>
      <c r="H581" s="567" t="s">
        <v>291</v>
      </c>
      <c r="I581" s="677"/>
      <c r="J581" s="294" t="str">
        <f>IF(ISBLANK(HLOOKUP(CaseName,CaseData,MATCH($G581,cases!$G$4:$G$2494,0),FALSE)),"",HLOOKUP(CaseName,CaseData,MATCH($G581,cases!$G$4:$G$2494,0),FALSE))</f>
        <v/>
      </c>
      <c r="K581" s="576">
        <f>L578+L579+L580</f>
        <v>1.1068213316040758E-3</v>
      </c>
      <c r="L581" s="298">
        <f t="shared" si="37"/>
        <v>1.1068213316040758E-3</v>
      </c>
      <c r="M581" s="567" t="s">
        <v>291</v>
      </c>
      <c r="N581" s="566"/>
      <c r="O581" s="604"/>
      <c r="P581" s="566"/>
    </row>
    <row r="582" spans="1:16" customFormat="1" ht="12.75" customHeight="1" x14ac:dyDescent="0.3">
      <c r="A582" s="566" t="s">
        <v>1664</v>
      </c>
      <c r="B582" s="566"/>
      <c r="C582" s="566"/>
      <c r="D582" s="566"/>
      <c r="E582" s="566"/>
      <c r="F582" s="566"/>
      <c r="G582" s="567" t="s">
        <v>3207</v>
      </c>
      <c r="H582" s="567" t="s">
        <v>335</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335</v>
      </c>
      <c r="N582" s="566" t="s">
        <v>1666</v>
      </c>
      <c r="O582" s="604"/>
      <c r="P582" s="566"/>
    </row>
    <row r="583" spans="1:16" customFormat="1" ht="12.75" customHeight="1" x14ac:dyDescent="0.3">
      <c r="A583" s="566" t="s">
        <v>2862</v>
      </c>
      <c r="B583" s="566"/>
      <c r="C583" s="566"/>
      <c r="D583" s="566"/>
      <c r="E583" s="566"/>
      <c r="F583" s="566"/>
      <c r="G583" s="567" t="s">
        <v>3208</v>
      </c>
      <c r="H583" s="567" t="s">
        <v>335</v>
      </c>
      <c r="I583" s="677"/>
      <c r="J583" s="294" t="str">
        <f>IF(ISBLANK(HLOOKUP(CaseName,CaseData,MATCH($G583,cases!$G$4:$G$2494,0),FALSE)),"",HLOOKUP(CaseName,CaseData,MATCH($G583,cases!$G$4:$G$2494,0),FALSE))</f>
        <v/>
      </c>
      <c r="K583" s="576">
        <f>(L584*L342*L340)/(L334)</f>
        <v>1.2851527454845041E-6</v>
      </c>
      <c r="L583" s="298">
        <f t="shared" si="37"/>
        <v>1.2851527454845041E-6</v>
      </c>
      <c r="M583" s="567" t="s">
        <v>335</v>
      </c>
      <c r="N583" s="566"/>
      <c r="O583" s="604"/>
      <c r="P583" s="566"/>
    </row>
    <row r="584" spans="1:16" customFormat="1" ht="12.75" customHeight="1" x14ac:dyDescent="0.3">
      <c r="A584" s="566"/>
      <c r="B584" s="566" t="s">
        <v>1669</v>
      </c>
      <c r="C584" s="566"/>
      <c r="D584" s="566"/>
      <c r="E584" s="566"/>
      <c r="F584" s="566"/>
      <c r="G584" s="567" t="s">
        <v>3209</v>
      </c>
      <c r="H584" s="567" t="s">
        <v>866</v>
      </c>
      <c r="I584" s="677"/>
      <c r="J584" s="294" t="str">
        <f>IF(ISBLANK(HLOOKUP(CaseName,CaseData,MATCH($G584,cases!$G$4:$G$2494,0),FALSE)),"",HLOOKUP(CaseName,CaseData,MATCH($G584,cases!$G$4:$G$2494,0),FALSE))</f>
        <v/>
      </c>
      <c r="K584" s="576">
        <f>1/(L585+L586)+L565</f>
        <v>3.212880899846701E-3</v>
      </c>
      <c r="L584" s="298">
        <f t="shared" si="37"/>
        <v>3.212880899846701E-3</v>
      </c>
      <c r="M584" s="567" t="s">
        <v>866</v>
      </c>
      <c r="N584" s="566"/>
      <c r="O584" s="604"/>
      <c r="P584" s="566"/>
    </row>
    <row r="585" spans="1:16" customFormat="1" ht="12.75" customHeight="1" x14ac:dyDescent="0.3">
      <c r="A585" s="566"/>
      <c r="B585" s="566" t="s">
        <v>1671</v>
      </c>
      <c r="C585" s="566"/>
      <c r="D585" s="566"/>
      <c r="E585" s="566"/>
      <c r="F585" s="566"/>
      <c r="G585" s="567" t="s">
        <v>3210</v>
      </c>
      <c r="H585" s="567" t="s">
        <v>1673</v>
      </c>
      <c r="I585" s="677"/>
      <c r="J585" s="294" t="str">
        <f>IF(ISBLANK(HLOOKUP(CaseName,CaseData,MATCH($G585,cases!$G$4:$G$2494,0),FALSE)),"",HLOOKUP(CaseName,CaseData,MATCH($G585,cases!$G$4:$G$2494,0),FALSE))</f>
        <v/>
      </c>
      <c r="K585" s="576">
        <v>74</v>
      </c>
      <c r="L585" s="298">
        <f t="shared" si="37"/>
        <v>74</v>
      </c>
      <c r="M585" s="567" t="s">
        <v>1673</v>
      </c>
      <c r="N585" s="566"/>
      <c r="O585" s="604" t="s">
        <v>1674</v>
      </c>
      <c r="P585" s="566" t="s">
        <v>1675</v>
      </c>
    </row>
    <row r="586" spans="1:16" customFormat="1" ht="12.75" customHeight="1" x14ac:dyDescent="0.3">
      <c r="A586" s="566"/>
      <c r="B586" s="566" t="s">
        <v>1676</v>
      </c>
      <c r="C586" s="566"/>
      <c r="D586" s="566"/>
      <c r="E586" s="566"/>
      <c r="F586" s="566"/>
      <c r="G586" s="567" t="s">
        <v>3211</v>
      </c>
      <c r="H586" s="567" t="s">
        <v>1673</v>
      </c>
      <c r="I586" s="677"/>
      <c r="J586" s="294" t="str">
        <f>IF(ISBLANK(HLOOKUP(CaseName,CaseData,MATCH($G586,cases!$G$4:$G$2494,0),FALSE)),"",HLOOKUP(CaseName,CaseData,MATCH($G586,cases!$G$4:$G$2494,0),FALSE))</f>
        <v/>
      </c>
      <c r="K586" s="576">
        <f>1/(L587*(L588+L589+L593))</f>
        <v>237.31729795146666</v>
      </c>
      <c r="L586" s="298">
        <f t="shared" si="37"/>
        <v>237.31729795146666</v>
      </c>
      <c r="M586" s="567" t="s">
        <v>1673</v>
      </c>
      <c r="N586" s="566"/>
      <c r="O586" s="604" t="s">
        <v>1678</v>
      </c>
      <c r="P586" s="566"/>
    </row>
    <row r="587" spans="1:16" customFormat="1" ht="12.75" customHeight="1" x14ac:dyDescent="0.3">
      <c r="A587" s="566"/>
      <c r="B587" s="566"/>
      <c r="C587" s="566" t="s">
        <v>1679</v>
      </c>
      <c r="D587" s="566"/>
      <c r="E587" s="566"/>
      <c r="F587" s="566"/>
      <c r="G587" s="567" t="s">
        <v>3212</v>
      </c>
      <c r="H587" s="567" t="s">
        <v>866</v>
      </c>
      <c r="I587" s="677"/>
      <c r="J587" s="294" t="str">
        <f>IF(ISBLANK(HLOOKUP(CaseName,CaseData,MATCH($G587,cases!$G$4:$G$2494,0),FALSE)),"",HLOOKUP(CaseName,CaseData,MATCH($G587,cases!$G$4:$G$2494,0),FALSE))</f>
        <v/>
      </c>
      <c r="K587" s="576">
        <v>0.19</v>
      </c>
      <c r="L587" s="298">
        <f t="shared" si="37"/>
        <v>0.19</v>
      </c>
      <c r="M587" s="567" t="s">
        <v>866</v>
      </c>
      <c r="N587" s="566"/>
      <c r="O587" s="604" t="s">
        <v>1681</v>
      </c>
      <c r="P587" s="566" t="s">
        <v>1682</v>
      </c>
    </row>
    <row r="588" spans="1:16" customFormat="1" ht="12.75" customHeight="1" x14ac:dyDescent="0.3">
      <c r="A588" s="566"/>
      <c r="B588" s="566"/>
      <c r="C588" s="566" t="s">
        <v>1641</v>
      </c>
      <c r="D588" s="566"/>
      <c r="E588" s="566"/>
      <c r="F588" s="566"/>
      <c r="G588" s="567" t="s">
        <v>3213</v>
      </c>
      <c r="H588" s="567" t="s">
        <v>291</v>
      </c>
      <c r="I588" s="677"/>
      <c r="J588" s="294" t="str">
        <f>IF(ISBLANK(HLOOKUP(CaseName,CaseData,MATCH($G588,cases!$G$4:$G$2494,0),FALSE)),"",HLOOKUP(CaseName,CaseData,MATCH($G588,cases!$G$4:$G$2494,0),FALSE))</f>
        <v/>
      </c>
      <c r="K588" s="576">
        <f>L566^(-2/3)</f>
        <v>2.2162959041183969E-2</v>
      </c>
      <c r="L588" s="298">
        <f t="shared" si="37"/>
        <v>2.2162959041183969E-2</v>
      </c>
      <c r="M588" s="567" t="s">
        <v>291</v>
      </c>
      <c r="N588" s="566"/>
      <c r="O588" s="604" t="s">
        <v>1678</v>
      </c>
      <c r="P588" s="566" t="s">
        <v>1684</v>
      </c>
    </row>
    <row r="589" spans="1:16" customFormat="1" ht="12.75" customHeight="1" x14ac:dyDescent="0.3">
      <c r="A589" s="566"/>
      <c r="B589" s="566"/>
      <c r="C589" s="566" t="s">
        <v>1643</v>
      </c>
      <c r="D589" s="566"/>
      <c r="E589" s="566"/>
      <c r="F589" s="566"/>
      <c r="G589" s="567" t="s">
        <v>3214</v>
      </c>
      <c r="H589" s="567" t="s">
        <v>291</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291</v>
      </c>
      <c r="N589" s="566"/>
      <c r="O589" s="604" t="s">
        <v>1678</v>
      </c>
      <c r="P589" s="566" t="s">
        <v>1684</v>
      </c>
    </row>
    <row r="590" spans="1:16" customFormat="1" ht="12.75" customHeight="1" x14ac:dyDescent="0.3">
      <c r="A590" s="566"/>
      <c r="B590" s="566"/>
      <c r="C590" s="566"/>
      <c r="D590" s="566" t="s">
        <v>1686</v>
      </c>
      <c r="E590" s="566"/>
      <c r="F590" s="566"/>
      <c r="G590" s="567" t="s">
        <v>3215</v>
      </c>
      <c r="H590" s="567" t="s">
        <v>813</v>
      </c>
      <c r="I590" s="677"/>
      <c r="J590" s="294" t="str">
        <f>IF(ISBLANK(HLOOKUP(CaseName,CaseData,MATCH($G590,cases!$G$4:$G$2494,0),FALSE)),"",HLOOKUP(CaseName,CaseData,MATCH($G590,cases!$G$4:$G$2494,0),FALSE))</f>
        <v/>
      </c>
      <c r="K590" s="576">
        <f>1*10^-5</f>
        <v>1.0000000000000001E-5</v>
      </c>
      <c r="L590" s="298">
        <f t="shared" si="37"/>
        <v>1.0000000000000001E-5</v>
      </c>
      <c r="M590" s="567" t="s">
        <v>813</v>
      </c>
      <c r="N590" s="566"/>
      <c r="O590" s="604" t="s">
        <v>1674</v>
      </c>
      <c r="P590" s="566" t="s">
        <v>1684</v>
      </c>
    </row>
    <row r="591" spans="1:16" customFormat="1" ht="12.75" customHeight="1" x14ac:dyDescent="0.3">
      <c r="A591" s="566"/>
      <c r="B591" s="566"/>
      <c r="C591" s="566"/>
      <c r="D591" s="566" t="s">
        <v>1688</v>
      </c>
      <c r="E591" s="566"/>
      <c r="F591" s="566"/>
      <c r="G591" s="567" t="s">
        <v>3216</v>
      </c>
      <c r="H591" s="567" t="s">
        <v>813</v>
      </c>
      <c r="I591" s="677"/>
      <c r="J591" s="294" t="str">
        <f>IF(ISBLANK(HLOOKUP(CaseName,CaseData,MATCH($G591,cases!$G$4:$G$2494,0),FALSE)),"",HLOOKUP(CaseName,CaseData,MATCH($G591,cases!$G$4:$G$2494,0),FALSE))</f>
        <v/>
      </c>
      <c r="K591" s="576">
        <f>0.0005</f>
        <v>5.0000000000000001E-4</v>
      </c>
      <c r="L591" s="298">
        <f t="shared" si="37"/>
        <v>5.0000000000000001E-4</v>
      </c>
      <c r="M591" s="567" t="s">
        <v>813</v>
      </c>
      <c r="N591" s="566"/>
      <c r="O591" s="604" t="s">
        <v>1674</v>
      </c>
      <c r="P591" s="566" t="s">
        <v>1684</v>
      </c>
    </row>
    <row r="592" spans="1:16" customFormat="1" ht="12.75" customHeight="1" x14ac:dyDescent="0.3">
      <c r="A592" s="566"/>
      <c r="B592" s="566"/>
      <c r="C592" s="566"/>
      <c r="D592" s="566" t="s">
        <v>1690</v>
      </c>
      <c r="E592" s="566"/>
      <c r="F592" s="566"/>
      <c r="G592" s="567" t="s">
        <v>3217</v>
      </c>
      <c r="H592" s="567" t="s">
        <v>291</v>
      </c>
      <c r="I592" s="677"/>
      <c r="J592" s="294" t="str">
        <f>IF(ISBLANK(HLOOKUP(CaseName,CaseData,MATCH($G592,cases!$G$4:$G$2494,0),FALSE)),"",HLOOKUP(CaseName,CaseData,MATCH($G592,cases!$G$4:$G$2494,0),FALSE))</f>
        <v/>
      </c>
      <c r="K592" s="576">
        <v>0.01</v>
      </c>
      <c r="L592" s="298">
        <f t="shared" si="37"/>
        <v>0.01</v>
      </c>
      <c r="M592" s="567" t="s">
        <v>291</v>
      </c>
      <c r="N592" s="566"/>
      <c r="O592" s="604" t="s">
        <v>1674</v>
      </c>
      <c r="P592" s="566" t="s">
        <v>1692</v>
      </c>
    </row>
    <row r="593" spans="1:16" customFormat="1" ht="12.75" customHeight="1" x14ac:dyDescent="0.3">
      <c r="A593" s="566"/>
      <c r="B593" s="566"/>
      <c r="C593" s="566" t="s">
        <v>1645</v>
      </c>
      <c r="D593" s="566"/>
      <c r="E593" s="566"/>
      <c r="F593" s="566"/>
      <c r="G593" s="567" t="s">
        <v>3218</v>
      </c>
      <c r="H593" s="567" t="s">
        <v>291</v>
      </c>
      <c r="I593" s="677"/>
      <c r="J593" s="294" t="str">
        <f>IF(ISBLANK(HLOOKUP(CaseName,CaseData,MATCH($G593,cases!$G$4:$G$2494,0),FALSE)),"",HLOOKUP(CaseName,CaseData,MATCH($G593,cases!$G$4:$G$2494,0),FALSE))</f>
        <v/>
      </c>
      <c r="K593" s="576">
        <f>(L564/(L564+0.8))^2</f>
        <v>1.0297256544557719E-5</v>
      </c>
      <c r="L593" s="298">
        <f t="shared" si="37"/>
        <v>1.0297256544557719E-5</v>
      </c>
      <c r="M593" s="567" t="s">
        <v>291</v>
      </c>
      <c r="N593" s="566"/>
      <c r="O593" s="604" t="s">
        <v>1678</v>
      </c>
      <c r="P593" s="566" t="s">
        <v>1684</v>
      </c>
    </row>
    <row r="594" spans="1:16" customFormat="1" ht="12.75" customHeight="1" x14ac:dyDescent="0.3">
      <c r="A594" s="566" t="s">
        <v>2874</v>
      </c>
      <c r="B594" s="566"/>
      <c r="C594" s="566"/>
      <c r="D594" s="566"/>
      <c r="E594" s="566"/>
      <c r="F594" s="566"/>
      <c r="G594" s="567" t="s">
        <v>3219</v>
      </c>
      <c r="H594" s="567" t="s">
        <v>335</v>
      </c>
      <c r="I594" s="677"/>
      <c r="J594" s="294" t="str">
        <f>IF(ISBLANK(HLOOKUP(CaseName,CaseData,MATCH($G594,cases!$G$4:$G$2494,0),FALSE)),"",HLOOKUP(CaseName,CaseData,MATCH($G594,cases!$G$4:$G$2494,0),FALSE))</f>
        <v/>
      </c>
      <c r="K594" s="576">
        <f>(L595*L342*L340)/(L334)</f>
        <v>1.0642732408461052E-7</v>
      </c>
      <c r="L594" s="298">
        <f t="shared" ref="L594:L625" si="38">IF(ISBLANK(I594),IF(ISNUMBER(J594)=FALSE,K594,J594),I594)</f>
        <v>1.0642732408461052E-7</v>
      </c>
      <c r="M594" s="567" t="s">
        <v>335</v>
      </c>
      <c r="N594" s="566"/>
      <c r="O594" s="604"/>
      <c r="P594" s="566"/>
    </row>
    <row r="595" spans="1:16" customFormat="1" ht="12.75" customHeight="1" x14ac:dyDescent="0.3">
      <c r="A595" s="566"/>
      <c r="B595" s="566" t="s">
        <v>1669</v>
      </c>
      <c r="C595" s="566"/>
      <c r="D595" s="566"/>
      <c r="E595" s="566"/>
      <c r="F595" s="566"/>
      <c r="G595" s="567" t="s">
        <v>3220</v>
      </c>
      <c r="H595" s="567" t="s">
        <v>866</v>
      </c>
      <c r="I595" s="677"/>
      <c r="J595" s="294" t="str">
        <f>IF(ISBLANK(HLOOKUP(CaseName,CaseData,MATCH($G595,cases!$G$4:$G$2494,0),FALSE)),"",HLOOKUP(CaseName,CaseData,MATCH($G595,cases!$G$4:$G$2494,0),FALSE))</f>
        <v/>
      </c>
      <c r="K595" s="576">
        <f>1/(L585+L596)+L576</f>
        <v>2.6606823039103318E-4</v>
      </c>
      <c r="L595" s="298">
        <f t="shared" si="38"/>
        <v>2.6606823039103318E-4</v>
      </c>
      <c r="M595" s="567" t="s">
        <v>866</v>
      </c>
      <c r="N595" s="566"/>
      <c r="O595" s="604"/>
      <c r="P595" s="566"/>
    </row>
    <row r="596" spans="1:16" customFormat="1" ht="12.75" customHeight="1" x14ac:dyDescent="0.3">
      <c r="A596" s="566"/>
      <c r="B596" s="566" t="s">
        <v>1676</v>
      </c>
      <c r="C596" s="566"/>
      <c r="D596" s="566"/>
      <c r="E596" s="566"/>
      <c r="F596" s="566"/>
      <c r="G596" s="567" t="s">
        <v>3221</v>
      </c>
      <c r="H596" s="567" t="s">
        <v>1673</v>
      </c>
      <c r="I596" s="677"/>
      <c r="J596" s="294" t="str">
        <f>IF(ISBLANK(HLOOKUP(CaseName,CaseData,MATCH($G596,cases!$G$4:$G$2494,0),FALSE)),"",HLOOKUP(CaseName,CaseData,MATCH($G596,cases!$G$4:$G$2494,0),FALSE))</f>
        <v/>
      </c>
      <c r="K596" s="576">
        <f>1/(L587*(L597+L598+L599))</f>
        <v>3706.1285242954036</v>
      </c>
      <c r="L596" s="298">
        <f t="shared" si="38"/>
        <v>3706.1285242954036</v>
      </c>
      <c r="M596" s="567" t="s">
        <v>1673</v>
      </c>
      <c r="N596" s="566"/>
      <c r="O596" s="604"/>
      <c r="P596" s="566"/>
    </row>
    <row r="597" spans="1:16" customFormat="1" ht="12.75" customHeight="1" x14ac:dyDescent="0.3">
      <c r="A597" s="566"/>
      <c r="B597" s="566"/>
      <c r="C597" s="566" t="s">
        <v>1641</v>
      </c>
      <c r="D597" s="566"/>
      <c r="E597" s="566"/>
      <c r="F597" s="566"/>
      <c r="G597" s="567" t="s">
        <v>3222</v>
      </c>
      <c r="H597" s="567" t="s">
        <v>291</v>
      </c>
      <c r="I597" s="677"/>
      <c r="J597" s="294" t="str">
        <f>IF(ISBLANK(HLOOKUP(CaseName,CaseData,MATCH($G597,cases!$G$4:$G$2494,0),FALSE)),"",HLOOKUP(CaseName,CaseData,MATCH($G597,cases!$G$4:$G$2494,0),FALSE))</f>
        <v/>
      </c>
      <c r="K597" s="576">
        <f>L577^(-2/3)</f>
        <v>1.3341469578439112E-3</v>
      </c>
      <c r="L597" s="298">
        <f t="shared" si="38"/>
        <v>1.3341469578439112E-3</v>
      </c>
      <c r="M597" s="567" t="s">
        <v>291</v>
      </c>
      <c r="N597" s="566"/>
      <c r="O597" s="604"/>
      <c r="P597" s="566" t="s">
        <v>1684</v>
      </c>
    </row>
    <row r="598" spans="1:16" customFormat="1" ht="12.75" customHeight="1" x14ac:dyDescent="0.3">
      <c r="A598" s="566"/>
      <c r="B598" s="566"/>
      <c r="C598" s="566" t="s">
        <v>1643</v>
      </c>
      <c r="D598" s="566"/>
      <c r="E598" s="566"/>
      <c r="F598" s="566"/>
      <c r="G598" s="567" t="s">
        <v>3223</v>
      </c>
      <c r="H598" s="567" t="s">
        <v>291</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291</v>
      </c>
      <c r="N598" s="566"/>
      <c r="O598" s="604"/>
      <c r="P598" s="566" t="s">
        <v>1684</v>
      </c>
    </row>
    <row r="599" spans="1:16" customFormat="1" ht="12.75" customHeight="1" x14ac:dyDescent="0.3">
      <c r="A599" s="566"/>
      <c r="B599" s="566"/>
      <c r="C599" s="566" t="s">
        <v>1645</v>
      </c>
      <c r="D599" s="566"/>
      <c r="E599" s="566"/>
      <c r="F599" s="566"/>
      <c r="G599" s="567" t="s">
        <v>3224</v>
      </c>
      <c r="H599" s="567" t="s">
        <v>291</v>
      </c>
      <c r="I599" s="677"/>
      <c r="J599" s="294" t="str">
        <f>IF(ISBLANK(HLOOKUP(CaseName,CaseData,MATCH($G599,cases!$G$4:$G$2494,0),FALSE)),"",HLOOKUP(CaseName,CaseData,MATCH($G599,cases!$G$4:$G$2494,0),FALSE))</f>
        <v/>
      </c>
      <c r="K599" s="576">
        <f>(L575/(L575+0.8))^2</f>
        <v>4.5476679468756917E-5</v>
      </c>
      <c r="L599" s="298">
        <f t="shared" si="38"/>
        <v>4.5476679468756917E-5</v>
      </c>
      <c r="M599" s="567" t="s">
        <v>291</v>
      </c>
      <c r="N599" s="566"/>
      <c r="O599" s="604"/>
      <c r="P599" s="566" t="s">
        <v>1684</v>
      </c>
    </row>
    <row r="600" spans="1:16" customFormat="1" ht="12.75" customHeight="1" x14ac:dyDescent="0.3">
      <c r="A600" s="566" t="s">
        <v>2881</v>
      </c>
      <c r="B600" s="566"/>
      <c r="C600" s="566"/>
      <c r="D600" s="566"/>
      <c r="E600" s="566"/>
      <c r="F600" s="566"/>
      <c r="G600" s="567" t="s">
        <v>3225</v>
      </c>
      <c r="H600" s="567" t="s">
        <v>335</v>
      </c>
      <c r="I600" s="677"/>
      <c r="J600" s="294" t="str">
        <f>IF(ISBLANK(HLOOKUP(CaseName,CaseData,MATCH($G600,cases!$G$4:$G$2494,0),FALSE)),"",HLOOKUP(CaseName,CaseData,MATCH($G600,cases!$G$4:$G$2494,0),FALSE))</f>
        <v/>
      </c>
      <c r="K600" s="576">
        <f>(L413*L342*L340)/(L334)</f>
        <v>4.0000012000003599E-7</v>
      </c>
      <c r="L600" s="298">
        <f t="shared" si="38"/>
        <v>4.0000012000003599E-7</v>
      </c>
      <c r="M600" s="567" t="s">
        <v>335</v>
      </c>
      <c r="N600" s="566" t="s">
        <v>2414</v>
      </c>
      <c r="O600" s="604"/>
      <c r="P600" s="566"/>
    </row>
    <row r="601" spans="1:16" customFormat="1" ht="12.75" customHeight="1" x14ac:dyDescent="0.3">
      <c r="A601" s="566" t="s">
        <v>2883</v>
      </c>
      <c r="B601" s="566"/>
      <c r="C601" s="566"/>
      <c r="D601" s="566"/>
      <c r="E601" s="566"/>
      <c r="F601" s="566"/>
      <c r="G601" s="567" t="s">
        <v>3226</v>
      </c>
      <c r="H601" s="567" t="s">
        <v>335</v>
      </c>
      <c r="I601" s="677"/>
      <c r="J601" s="294" t="str">
        <f>IF(ISBLANK(HLOOKUP(CaseName,CaseData,MATCH($G601,cases!$G$4:$G$2494,0),FALSE)),"",HLOOKUP(CaseName,CaseData,MATCH($G601,cases!$G$4:$G$2494,0),FALSE))</f>
        <v/>
      </c>
      <c r="K601" s="576">
        <f>(L602*L341*L340)/(L334)</f>
        <v>2.6479521125732628E-6</v>
      </c>
      <c r="L601" s="298">
        <f t="shared" si="38"/>
        <v>2.6479521125732628E-6</v>
      </c>
      <c r="M601" s="567" t="s">
        <v>335</v>
      </c>
      <c r="N601" s="566"/>
      <c r="O601" s="604"/>
      <c r="P601" s="566"/>
    </row>
    <row r="602" spans="1:16" customFormat="1" ht="12.75" customHeight="1" x14ac:dyDescent="0.3">
      <c r="A602" s="566"/>
      <c r="B602" s="566" t="s">
        <v>1669</v>
      </c>
      <c r="C602" s="566"/>
      <c r="D602" s="566"/>
      <c r="E602" s="566"/>
      <c r="F602" s="566"/>
      <c r="G602" s="567" t="s">
        <v>3227</v>
      </c>
      <c r="H602" s="567" t="s">
        <v>866</v>
      </c>
      <c r="I602" s="677"/>
      <c r="J602" s="294" t="str">
        <f>IF(ISBLANK(HLOOKUP(CaseName,CaseData,MATCH($G602,cases!$G$4:$G$2494,0),FALSE)),"",HLOOKUP(CaseName,CaseData,MATCH($G602,cases!$G$4:$G$2494,0),FALSE))</f>
        <v/>
      </c>
      <c r="K602" s="576">
        <f>1/(L603+L604)+L565</f>
        <v>4.4132521969793828E-3</v>
      </c>
      <c r="L602" s="298">
        <f t="shared" si="38"/>
        <v>4.4132521969793828E-3</v>
      </c>
      <c r="M602" s="567" t="s">
        <v>866</v>
      </c>
      <c r="N602" s="566"/>
      <c r="O602" s="604"/>
      <c r="P602" s="566"/>
    </row>
    <row r="603" spans="1:16" customFormat="1" ht="12.75" customHeight="1" x14ac:dyDescent="0.3">
      <c r="A603" s="566"/>
      <c r="B603" s="566"/>
      <c r="C603" s="566" t="s">
        <v>1765</v>
      </c>
      <c r="D603" s="566"/>
      <c r="E603" s="566"/>
      <c r="F603" s="566"/>
      <c r="G603" s="566" t="s">
        <v>3228</v>
      </c>
      <c r="H603" s="567" t="s">
        <v>1673</v>
      </c>
      <c r="I603" s="677"/>
      <c r="J603" s="294" t="str">
        <f>IF(ISBLANK(HLOOKUP(CaseName,CaseData,MATCH($G603,cases!$G$4:$G$2494,0),FALSE)),"",HLOOKUP(CaseName,CaseData,MATCH($G603,cases!$G$4:$G$2494,0),FALSE))</f>
        <v/>
      </c>
      <c r="K603" s="576">
        <v>135</v>
      </c>
      <c r="L603" s="298">
        <f t="shared" si="38"/>
        <v>135</v>
      </c>
      <c r="M603" s="567" t="s">
        <v>1673</v>
      </c>
      <c r="N603" s="566"/>
      <c r="O603" s="604"/>
      <c r="P603" s="566" t="s">
        <v>1675</v>
      </c>
    </row>
    <row r="604" spans="1:16" customFormat="1" ht="12.75" customHeight="1" x14ac:dyDescent="0.3">
      <c r="A604" s="566"/>
      <c r="B604" s="566"/>
      <c r="C604" s="566" t="s">
        <v>2887</v>
      </c>
      <c r="D604" s="566"/>
      <c r="E604" s="566"/>
      <c r="F604" s="566"/>
      <c r="G604" s="567" t="s">
        <v>3229</v>
      </c>
      <c r="H604" s="567" t="s">
        <v>1673</v>
      </c>
      <c r="I604" s="677"/>
      <c r="J604" s="294" t="str">
        <f>IF(ISBLANK(HLOOKUP(CaseName,CaseData,MATCH($G604,cases!$G$4:$G$2494,0),FALSE)),"",HLOOKUP(CaseName,CaseData,MATCH($G604,cases!$G$4:$G$2494,0),FALSE))</f>
        <v/>
      </c>
      <c r="K604" s="576">
        <f>1/(L605*(L606+L607))</f>
        <v>91.627448076182844</v>
      </c>
      <c r="L604" s="298">
        <f t="shared" si="38"/>
        <v>91.627448076182844</v>
      </c>
      <c r="M604" s="567" t="s">
        <v>1673</v>
      </c>
      <c r="N604" s="566"/>
      <c r="O604" s="604"/>
      <c r="P604" s="566"/>
    </row>
    <row r="605" spans="1:16" customFormat="1" ht="12.75" customHeight="1" x14ac:dyDescent="0.3">
      <c r="A605" s="566"/>
      <c r="B605" s="566"/>
      <c r="C605" s="566" t="s">
        <v>1753</v>
      </c>
      <c r="D605" s="566"/>
      <c r="E605" s="566"/>
      <c r="F605" s="566"/>
      <c r="G605" s="567" t="s">
        <v>3230</v>
      </c>
      <c r="H605" s="567" t="s">
        <v>866</v>
      </c>
      <c r="I605" s="677"/>
      <c r="J605" s="294" t="str">
        <f>IF(ISBLANK(HLOOKUP(CaseName,CaseData,MATCH($G605,cases!$G$4:$G$2494,0),FALSE)),"",HLOOKUP(CaseName,CaseData,MATCH($G605,cases!$G$4:$G$2494,0),FALSE))</f>
        <v/>
      </c>
      <c r="K605" s="576">
        <v>0.19</v>
      </c>
      <c r="L605" s="298">
        <f t="shared" si="38"/>
        <v>0.19</v>
      </c>
      <c r="M605" s="567" t="s">
        <v>866</v>
      </c>
      <c r="N605" s="566"/>
      <c r="O605" s="604" t="s">
        <v>1681</v>
      </c>
      <c r="P605" s="566" t="s">
        <v>1682</v>
      </c>
    </row>
    <row r="606" spans="1:16" customFormat="1" ht="12.75" customHeight="1" x14ac:dyDescent="0.3">
      <c r="A606" s="566"/>
      <c r="B606" s="566"/>
      <c r="C606" s="566"/>
      <c r="D606" s="566" t="s">
        <v>1641</v>
      </c>
      <c r="E606" s="566"/>
      <c r="F606" s="566"/>
      <c r="G606" s="567" t="s">
        <v>3231</v>
      </c>
      <c r="H606" s="567" t="s">
        <v>291</v>
      </c>
      <c r="I606" s="677"/>
      <c r="J606" s="294" t="str">
        <f>IF(ISBLANK(HLOOKUP(CaseName,CaseData,MATCH($G606,cases!$G$4:$G$2494,0),FALSE)),"",HLOOKUP(CaseName,CaseData,MATCH($G606,cases!$G$4:$G$2494,0),FALSE))</f>
        <v/>
      </c>
      <c r="K606" s="576">
        <f>L566^-(1/2)</f>
        <v>5.7440843385279439E-2</v>
      </c>
      <c r="L606" s="298">
        <f t="shared" si="38"/>
        <v>5.7440843385279439E-2</v>
      </c>
      <c r="M606" s="567" t="s">
        <v>291</v>
      </c>
      <c r="N606" s="566"/>
      <c r="O606" s="604"/>
      <c r="P606" s="566"/>
    </row>
    <row r="607" spans="1:16" customFormat="1" ht="12.75" customHeight="1" x14ac:dyDescent="0.3">
      <c r="A607" s="566"/>
      <c r="B607" s="566"/>
      <c r="C607" s="566"/>
      <c r="D607" s="566" t="s">
        <v>1645</v>
      </c>
      <c r="E607" s="566"/>
      <c r="F607" s="566"/>
      <c r="G607" s="567" t="s">
        <v>3232</v>
      </c>
      <c r="H607" s="567" t="s">
        <v>291</v>
      </c>
      <c r="I607" s="677"/>
      <c r="J607" s="294" t="str">
        <f>IF(ISBLANK(HLOOKUP(CaseName,CaseData,MATCH($G607,cases!$G$4:$G$2494,0),FALSE)),"",HLOOKUP(CaseName,CaseData,MATCH($G607,cases!$G$4:$G$2494,0),FALSE))</f>
        <v/>
      </c>
      <c r="K607" s="576">
        <f>10^(-3/L564)</f>
        <v>0</v>
      </c>
      <c r="L607" s="298">
        <f t="shared" si="38"/>
        <v>0</v>
      </c>
      <c r="M607" s="567" t="s">
        <v>291</v>
      </c>
      <c r="N607" s="566"/>
      <c r="O607" s="604"/>
      <c r="P607" s="566"/>
    </row>
    <row r="608" spans="1:16" customFormat="1" ht="12.75" customHeight="1" x14ac:dyDescent="0.3">
      <c r="A608" s="566" t="s">
        <v>2892</v>
      </c>
      <c r="B608" s="566"/>
      <c r="C608" s="566"/>
      <c r="D608" s="566"/>
      <c r="E608" s="566"/>
      <c r="F608" s="566"/>
      <c r="G608" s="566" t="s">
        <v>3233</v>
      </c>
      <c r="H608" s="567" t="s">
        <v>335</v>
      </c>
      <c r="I608" s="677"/>
      <c r="J608" s="294" t="str">
        <f>IF(ISBLANK(HLOOKUP(CaseName,CaseData,MATCH($G608,cases!$G$4:$G$2494,0),FALSE)),"",HLOOKUP(CaseName,CaseData,MATCH($G608,cases!$G$4:$G$2494,0),FALSE))</f>
        <v/>
      </c>
      <c r="K608" s="576">
        <f>L609*L341*L340/L334</f>
        <v>6.7586852503392094E-7</v>
      </c>
      <c r="L608" s="298">
        <f t="shared" si="38"/>
        <v>6.7586852503392094E-7</v>
      </c>
      <c r="M608" s="567" t="s">
        <v>335</v>
      </c>
      <c r="N608" s="566"/>
      <c r="O608" s="604"/>
      <c r="P608" s="566"/>
    </row>
    <row r="609" spans="1:18" customFormat="1" ht="12.75" customHeight="1" x14ac:dyDescent="0.3">
      <c r="A609" s="566"/>
      <c r="B609" s="566" t="s">
        <v>1669</v>
      </c>
      <c r="C609" s="566"/>
      <c r="D609" s="566"/>
      <c r="E609" s="566"/>
      <c r="F609" s="566"/>
      <c r="G609" s="567" t="s">
        <v>3234</v>
      </c>
      <c r="H609" s="567" t="s">
        <v>866</v>
      </c>
      <c r="I609" s="677"/>
      <c r="J609" s="294" t="str">
        <f>IF(ISBLANK(HLOOKUP(CaseName,CaseData,MATCH($G609,cases!$G$4:$G$2494,0),FALSE)),"",HLOOKUP(CaseName,CaseData,MATCH($G609,cases!$G$4:$G$2494,0),FALSE))</f>
        <v/>
      </c>
      <c r="K609" s="576">
        <f>1/(L603+L610)+L576</f>
        <v>1.1264472037889391E-3</v>
      </c>
      <c r="L609" s="298">
        <f t="shared" si="38"/>
        <v>1.1264472037889391E-3</v>
      </c>
      <c r="M609" s="567" t="s">
        <v>866</v>
      </c>
      <c r="N609" s="566"/>
      <c r="O609" s="604"/>
      <c r="P609" s="566"/>
    </row>
    <row r="610" spans="1:18" customFormat="1" ht="12.75" customHeight="1" x14ac:dyDescent="0.3">
      <c r="A610" s="566"/>
      <c r="B610" s="566"/>
      <c r="C610" s="566" t="s">
        <v>1751</v>
      </c>
      <c r="D610" s="566"/>
      <c r="E610" s="566"/>
      <c r="F610" s="566"/>
      <c r="G610" s="567" t="s">
        <v>3235</v>
      </c>
      <c r="H610" s="567" t="s">
        <v>1673</v>
      </c>
      <c r="I610" s="677"/>
      <c r="J610" s="294" t="str">
        <f>IF(ISBLANK(HLOOKUP(CaseName,CaseData,MATCH($G610,cases!$G$4:$G$2494,0),FALSE)),"",HLOOKUP(CaseName,CaseData,MATCH($G610,cases!$G$4:$G$2494,0),FALSE))</f>
        <v/>
      </c>
      <c r="K610" s="576">
        <f>1/(L605*(L611+L612))</f>
        <v>753.9519110402872</v>
      </c>
      <c r="L610" s="298">
        <f t="shared" si="38"/>
        <v>753.9519110402872</v>
      </c>
      <c r="M610" s="567" t="s">
        <v>1673</v>
      </c>
      <c r="N610" s="566"/>
      <c r="O610" s="566"/>
      <c r="P610" s="604"/>
    </row>
    <row r="611" spans="1:18" customFormat="1" ht="12.75" customHeight="1" x14ac:dyDescent="0.3">
      <c r="A611" s="566"/>
      <c r="B611" s="566"/>
      <c r="C611" s="566"/>
      <c r="D611" s="566" t="s">
        <v>1641</v>
      </c>
      <c r="E611" s="566"/>
      <c r="F611" s="566"/>
      <c r="G611" s="567" t="s">
        <v>3236</v>
      </c>
      <c r="H611" s="567" t="s">
        <v>291</v>
      </c>
      <c r="I611" s="677"/>
      <c r="J611" s="294" t="str">
        <f>IF(ISBLANK(HLOOKUP(CaseName,CaseData,MATCH($G611,cases!$G$4:$G$2494,0),FALSE)),"",HLOOKUP(CaseName,CaseData,MATCH($G611,cases!$G$4:$G$2494,0),FALSE))</f>
        <v/>
      </c>
      <c r="K611" s="576">
        <f>L577^-(1/2)</f>
        <v>6.9807607324382879E-3</v>
      </c>
      <c r="L611" s="298">
        <f t="shared" si="38"/>
        <v>6.9807607324382879E-3</v>
      </c>
      <c r="M611" s="567" t="s">
        <v>291</v>
      </c>
      <c r="N611" s="566"/>
      <c r="O611" s="566"/>
      <c r="P611" s="604"/>
    </row>
    <row r="612" spans="1:18" customFormat="1" ht="12.75" customHeight="1" x14ac:dyDescent="0.3">
      <c r="A612" s="566"/>
      <c r="B612" s="566"/>
      <c r="C612" s="566"/>
      <c r="D612" s="566" t="s">
        <v>1645</v>
      </c>
      <c r="E612" s="566"/>
      <c r="F612" s="566"/>
      <c r="G612" s="567" t="s">
        <v>3237</v>
      </c>
      <c r="H612" s="567" t="s">
        <v>291</v>
      </c>
      <c r="I612" s="677"/>
      <c r="J612" s="294" t="str">
        <f>IF(ISBLANK(HLOOKUP(CaseName,CaseData,MATCH($G612,cases!$G$4:$G$2494,0),FALSE)),"",HLOOKUP(CaseName,CaseData,MATCH($G612,cases!$G$4:$G$2494,0),FALSE))</f>
        <v/>
      </c>
      <c r="K612" s="576">
        <f>10^(-3/L575)</f>
        <v>0</v>
      </c>
      <c r="L612" s="298">
        <f t="shared" si="38"/>
        <v>0</v>
      </c>
      <c r="M612" s="567" t="s">
        <v>291</v>
      </c>
      <c r="N612" s="566"/>
      <c r="O612" s="566"/>
      <c r="P612" s="604"/>
    </row>
    <row r="613" spans="1:18" customFormat="1" ht="12.75" customHeight="1" x14ac:dyDescent="0.3">
      <c r="A613" s="566" t="s">
        <v>2898</v>
      </c>
      <c r="B613" s="566"/>
      <c r="C613" s="566"/>
      <c r="D613" s="566"/>
      <c r="E613" s="566"/>
      <c r="F613" s="566"/>
      <c r="G613" s="566" t="s">
        <v>3238</v>
      </c>
      <c r="H613" s="567" t="s">
        <v>335</v>
      </c>
      <c r="I613" s="677"/>
      <c r="J613" s="294" t="str">
        <f>IF(ISBLANK(HLOOKUP(CaseName,CaseData,MATCH($G613,cases!$G$4:$G$2494,0),FALSE)),"",HLOOKUP(CaseName,CaseData,MATCH($G613,cases!$G$4:$G$2494,0),FALSE))</f>
        <v/>
      </c>
      <c r="K613" s="576">
        <f>(L413*L341*L340)/L334</f>
        <v>6.0000018000005388E-7</v>
      </c>
      <c r="L613" s="298">
        <f t="shared" si="38"/>
        <v>6.0000018000005388E-7</v>
      </c>
      <c r="M613" s="567" t="s">
        <v>335</v>
      </c>
      <c r="N613" s="566"/>
      <c r="O613" s="604"/>
      <c r="P613" s="566"/>
    </row>
    <row r="614" spans="1:18" customFormat="1" ht="12.75" customHeight="1" x14ac:dyDescent="0.3">
      <c r="A614" s="566" t="s">
        <v>2900</v>
      </c>
      <c r="B614" s="566"/>
      <c r="C614" s="566"/>
      <c r="D614" s="566"/>
      <c r="E614" s="566"/>
      <c r="F614" s="566"/>
      <c r="G614" s="567" t="s">
        <v>3239</v>
      </c>
      <c r="H614" s="567" t="s">
        <v>335</v>
      </c>
      <c r="I614" s="677"/>
      <c r="J614" s="294" t="str">
        <f>IF(ISBLANK(HLOOKUP(CaseName,CaseData,MATCH($G614,cases!$G$4:$G$2494,0),FALSE)),"",HLOOKUP(CaseName,CaseData,MATCH($G614,cases!$G$4:$G$2494,0),FALSE))</f>
        <v/>
      </c>
      <c r="K614" s="576">
        <f>(L414*L342*L340)/(L335)</f>
        <v>1.0569933832235011E-5</v>
      </c>
      <c r="L614" s="298">
        <f t="shared" si="38"/>
        <v>1.0569933832235011E-5</v>
      </c>
      <c r="M614" s="567" t="s">
        <v>335</v>
      </c>
      <c r="N614" s="566"/>
      <c r="O614" s="604"/>
      <c r="P614" s="566"/>
    </row>
    <row r="615" spans="1:18" customFormat="1" ht="12.75" customHeight="1" x14ac:dyDescent="0.3">
      <c r="A615" s="566" t="s">
        <v>2902</v>
      </c>
      <c r="B615" s="566"/>
      <c r="C615" s="566"/>
      <c r="D615" s="566"/>
      <c r="E615" s="566"/>
      <c r="F615" s="566"/>
      <c r="G615" s="567" t="s">
        <v>3240</v>
      </c>
      <c r="H615" s="567" t="s">
        <v>335</v>
      </c>
      <c r="I615" s="677"/>
      <c r="J615" s="294" t="str">
        <f>IF(ISBLANK(HLOOKUP(CaseName,CaseData,MATCH($G615,cases!$G$4:$G$2494,0),FALSE)),"",HLOOKUP(CaseName,CaseData,MATCH($G615,cases!$G$4:$G$2494,0),FALSE))</f>
        <v/>
      </c>
      <c r="K615" s="576">
        <f>(L414*L342*L340)/(L335)</f>
        <v>1.0569933832235011E-5</v>
      </c>
      <c r="L615" s="298">
        <f t="shared" si="38"/>
        <v>1.0569933832235011E-5</v>
      </c>
      <c r="M615" s="567" t="s">
        <v>335</v>
      </c>
      <c r="N615" s="566"/>
      <c r="O615" s="604"/>
      <c r="P615" s="566"/>
    </row>
    <row r="616" spans="1:18" customFormat="1" ht="12.75" customHeight="1" x14ac:dyDescent="0.3">
      <c r="A616" s="566" t="s">
        <v>2904</v>
      </c>
      <c r="B616" s="566"/>
      <c r="C616" s="566"/>
      <c r="D616" s="566"/>
      <c r="E616" s="566"/>
      <c r="F616" s="566"/>
      <c r="G616" s="567" t="s">
        <v>3241</v>
      </c>
      <c r="H616" s="567" t="s">
        <v>335</v>
      </c>
      <c r="I616" s="677"/>
      <c r="J616" s="294" t="str">
        <f>IF(ISBLANK(HLOOKUP(CaseName,CaseData,MATCH($G616,cases!$G$4:$G$2494,0),FALSE)),"",HLOOKUP(CaseName,CaseData,MATCH($G616,cases!$G$4:$G$2494,0),FALSE))</f>
        <v/>
      </c>
      <c r="K616" s="576">
        <f>(L414*L342*L340)/(L335)</f>
        <v>1.0569933832235011E-5</v>
      </c>
      <c r="L616" s="298">
        <f t="shared" si="38"/>
        <v>1.0569933832235011E-5</v>
      </c>
      <c r="M616" s="567" t="s">
        <v>335</v>
      </c>
      <c r="N616" s="566"/>
      <c r="O616" s="604"/>
      <c r="P616" s="566"/>
    </row>
    <row r="617" spans="1:18" customFormat="1" ht="12.75" customHeight="1" x14ac:dyDescent="0.3">
      <c r="A617" s="566" t="s">
        <v>2906</v>
      </c>
      <c r="B617" s="566"/>
      <c r="C617" s="566"/>
      <c r="D617" s="566"/>
      <c r="E617" s="566"/>
      <c r="F617" s="566"/>
      <c r="G617" s="567" t="s">
        <v>3242</v>
      </c>
      <c r="H617" s="567" t="s">
        <v>335</v>
      </c>
      <c r="I617" s="677"/>
      <c r="J617" s="294" t="str">
        <f>IF(ISBLANK(HLOOKUP(CaseName,CaseData,MATCH($G617,cases!$G$4:$G$2494,0),FALSE)),"",HLOOKUP(CaseName,CaseData,MATCH($G617,cases!$G$4:$G$2494,0),FALSE))</f>
        <v/>
      </c>
      <c r="K617" s="576">
        <f>(L414*L341*L340)/(L335)</f>
        <v>1.5854900748352518E-5</v>
      </c>
      <c r="L617" s="298">
        <f t="shared" si="38"/>
        <v>1.5854900748352518E-5</v>
      </c>
      <c r="M617" s="567" t="s">
        <v>335</v>
      </c>
      <c r="N617" s="566"/>
      <c r="O617" s="604"/>
      <c r="P617" s="566"/>
    </row>
    <row r="618" spans="1:18" customFormat="1" ht="12.75" customHeight="1" x14ac:dyDescent="0.3">
      <c r="A618" s="566" t="s">
        <v>2908</v>
      </c>
      <c r="B618" s="566"/>
      <c r="C618" s="566"/>
      <c r="D618" s="566"/>
      <c r="E618" s="566"/>
      <c r="F618" s="566"/>
      <c r="G618" s="567" t="s">
        <v>3243</v>
      </c>
      <c r="H618" s="567" t="s">
        <v>335</v>
      </c>
      <c r="I618" s="677"/>
      <c r="J618" s="294" t="str">
        <f>IF(ISBLANK(HLOOKUP(CaseName,CaseData,MATCH($G618,cases!$G$4:$G$2494,0),FALSE)),"",HLOOKUP(CaseName,CaseData,MATCH($G618,cases!$G$4:$G$2494,0),FALSE))</f>
        <v/>
      </c>
      <c r="K618" s="576">
        <f>(L414*L341*L340)/(L335)</f>
        <v>1.5854900748352518E-5</v>
      </c>
      <c r="L618" s="298">
        <f t="shared" si="38"/>
        <v>1.5854900748352518E-5</v>
      </c>
      <c r="M618" s="567" t="s">
        <v>335</v>
      </c>
      <c r="N618" s="566"/>
      <c r="O618" s="604"/>
      <c r="P618" s="566"/>
    </row>
    <row r="619" spans="1:18" customFormat="1" ht="12.75" customHeight="1" x14ac:dyDescent="0.3">
      <c r="A619" s="566" t="s">
        <v>2910</v>
      </c>
      <c r="B619" s="566"/>
      <c r="C619" s="566"/>
      <c r="D619" s="566"/>
      <c r="E619" s="566"/>
      <c r="F619" s="566"/>
      <c r="G619" s="567" t="s">
        <v>3244</v>
      </c>
      <c r="H619" s="567" t="s">
        <v>335</v>
      </c>
      <c r="I619" s="677"/>
      <c r="J619" s="294" t="str">
        <f>IF(ISBLANK(HLOOKUP(CaseName,CaseData,MATCH($G619,cases!$G$4:$G$2494,0),FALSE)),"",HLOOKUP(CaseName,CaseData,MATCH($G619,cases!$G$4:$G$2494,0),FALSE))</f>
        <v/>
      </c>
      <c r="K619" s="576">
        <f>(L414*L341*L340)/(L335)</f>
        <v>1.5854900748352518E-5</v>
      </c>
      <c r="L619" s="298">
        <f t="shared" si="38"/>
        <v>1.5854900748352518E-5</v>
      </c>
      <c r="M619" s="567" t="s">
        <v>335</v>
      </c>
      <c r="N619" s="566"/>
      <c r="O619" s="604"/>
      <c r="P619" s="797"/>
      <c r="Q619" s="566"/>
      <c r="R619" s="797"/>
    </row>
    <row r="620" spans="1:18" customFormat="1" ht="12.75" customHeight="1" x14ac:dyDescent="0.3">
      <c r="A620" s="566" t="s">
        <v>2912</v>
      </c>
      <c r="B620" s="566"/>
      <c r="C620" s="566"/>
      <c r="D620" s="566"/>
      <c r="E620" s="566"/>
      <c r="F620" s="566"/>
      <c r="G620" s="567" t="s">
        <v>3245</v>
      </c>
      <c r="H620" s="567" t="s">
        <v>335</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335</v>
      </c>
      <c r="N620" s="566" t="s">
        <v>2914</v>
      </c>
      <c r="O620" s="604"/>
      <c r="P620" s="797"/>
      <c r="Q620" s="566"/>
      <c r="R620" s="797"/>
    </row>
    <row r="621" spans="1:18" customFormat="1" ht="12.75" customHeight="1" x14ac:dyDescent="0.3">
      <c r="A621" s="566" t="s">
        <v>2915</v>
      </c>
      <c r="B621" s="566"/>
      <c r="C621" s="566"/>
      <c r="D621" s="566"/>
      <c r="E621" s="566"/>
      <c r="F621" s="566"/>
      <c r="G621" s="567" t="s">
        <v>3246</v>
      </c>
      <c r="H621" s="567" t="s">
        <v>335</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335</v>
      </c>
      <c r="N621" s="566" t="s">
        <v>2914</v>
      </c>
      <c r="O621" s="604"/>
      <c r="P621" s="797"/>
      <c r="Q621" s="566"/>
      <c r="R621" s="797"/>
    </row>
    <row r="622" spans="1:18" customFormat="1" ht="12.75" customHeight="1" x14ac:dyDescent="0.3">
      <c r="A622" s="566" t="s">
        <v>2917</v>
      </c>
      <c r="B622" s="566"/>
      <c r="C622" s="566"/>
      <c r="D622" s="566"/>
      <c r="E622" s="566"/>
      <c r="F622" s="566"/>
      <c r="G622" s="567" t="s">
        <v>3247</v>
      </c>
      <c r="H622" s="567" t="s">
        <v>335</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335</v>
      </c>
      <c r="N622" s="566" t="s">
        <v>2914</v>
      </c>
      <c r="O622" s="604"/>
      <c r="P622" s="797"/>
      <c r="Q622" s="566"/>
      <c r="R622" s="797"/>
    </row>
    <row r="623" spans="1:18" customFormat="1" ht="12.75" customHeight="1" x14ac:dyDescent="0.3">
      <c r="A623" s="566" t="s">
        <v>2919</v>
      </c>
      <c r="B623" s="566"/>
      <c r="C623" s="566"/>
      <c r="D623" s="566"/>
      <c r="E623" s="566"/>
      <c r="F623" s="566"/>
      <c r="G623" s="567" t="s">
        <v>3248</v>
      </c>
      <c r="H623" s="567" t="s">
        <v>335</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335</v>
      </c>
      <c r="N623" s="566"/>
      <c r="O623" s="604"/>
      <c r="P623" s="797"/>
      <c r="Q623" s="566"/>
      <c r="R623" s="797"/>
    </row>
    <row r="624" spans="1:18" customFormat="1" ht="12.75" customHeight="1" x14ac:dyDescent="0.3">
      <c r="A624" s="566" t="s">
        <v>2921</v>
      </c>
      <c r="B624" s="566"/>
      <c r="C624" s="566"/>
      <c r="D624" s="566"/>
      <c r="E624" s="566"/>
      <c r="F624" s="566"/>
      <c r="G624" s="567" t="s">
        <v>3249</v>
      </c>
      <c r="H624" s="567" t="s">
        <v>335</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335</v>
      </c>
      <c r="N624" s="566"/>
      <c r="O624" s="604"/>
      <c r="P624" s="797"/>
      <c r="Q624" s="566"/>
      <c r="R624" s="797"/>
    </row>
    <row r="625" spans="1:20" customFormat="1" ht="12.75" customHeight="1" x14ac:dyDescent="0.3">
      <c r="A625" s="566" t="s">
        <v>3250</v>
      </c>
      <c r="B625" s="566"/>
      <c r="C625" s="566"/>
      <c r="D625" s="566"/>
      <c r="E625" s="566"/>
      <c r="F625" s="566"/>
      <c r="G625" s="567" t="s">
        <v>3251</v>
      </c>
      <c r="H625" s="567" t="s">
        <v>335</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335</v>
      </c>
      <c r="N625" s="566"/>
      <c r="O625" s="604"/>
      <c r="P625" s="797"/>
      <c r="Q625" s="566"/>
      <c r="R625" s="797"/>
    </row>
    <row r="626" spans="1:20" customFormat="1" ht="12.75" customHeight="1" x14ac:dyDescent="0.3">
      <c r="A626" s="566" t="s">
        <v>2925</v>
      </c>
      <c r="B626" s="566"/>
      <c r="C626" s="566"/>
      <c r="D626" s="566"/>
      <c r="E626" s="566"/>
      <c r="F626" s="566"/>
      <c r="G626" s="567" t="s">
        <v>3252</v>
      </c>
      <c r="H626" s="567" t="s">
        <v>335</v>
      </c>
      <c r="I626" s="677"/>
      <c r="J626" s="294" t="str">
        <f>IF(ISBLANK(HLOOKUP(CaseName,CaseData,MATCH($G626,cases!$G$4:$G$2494,0),FALSE)),"",HLOOKUP(CaseName,CaseData,MATCH($G626,cases!$G$4:$G$2494,0),FALSE))</f>
        <v/>
      </c>
      <c r="K626" s="576">
        <f>$L$430/$L$346</f>
        <v>9.6429477422628121E-9</v>
      </c>
      <c r="L626" s="298">
        <f t="shared" ref="L626:L631" si="39">IF(ISBLANK(I626),IF(ISNUMBER(J626)=FALSE,K626,J626),I626)</f>
        <v>9.6429477422628121E-9</v>
      </c>
      <c r="M626" s="567" t="s">
        <v>335</v>
      </c>
      <c r="N626" s="566" t="s">
        <v>1843</v>
      </c>
      <c r="O626" s="604"/>
      <c r="P626" s="566"/>
    </row>
    <row r="627" spans="1:20" customFormat="1" ht="12.75" customHeight="1" x14ac:dyDescent="0.3">
      <c r="A627" s="566" t="s">
        <v>2927</v>
      </c>
      <c r="B627" s="566"/>
      <c r="C627" s="566"/>
      <c r="D627" s="566"/>
      <c r="E627" s="566"/>
      <c r="F627" s="566"/>
      <c r="G627" s="567" t="s">
        <v>3253</v>
      </c>
      <c r="H627" s="567" t="s">
        <v>335</v>
      </c>
      <c r="I627" s="677"/>
      <c r="J627" s="294" t="str">
        <f>IF(ISBLANK(HLOOKUP(CaseName,CaseData,MATCH($G627,cases!$G$4:$G$2494,0),FALSE)),"",HLOOKUP(CaseName,CaseData,MATCH($G627,cases!$G$4:$G$2494,0),FALSE))</f>
        <v/>
      </c>
      <c r="K627" s="576">
        <f>$L$430/$L$346</f>
        <v>9.6429477422628121E-9</v>
      </c>
      <c r="L627" s="298">
        <f t="shared" si="39"/>
        <v>9.6429477422628121E-9</v>
      </c>
      <c r="M627" s="567" t="s">
        <v>335</v>
      </c>
      <c r="N627" s="566" t="s">
        <v>1843</v>
      </c>
      <c r="O627" s="604"/>
      <c r="P627" s="566"/>
    </row>
    <row r="628" spans="1:20" customFormat="1" ht="12.75" customHeight="1" x14ac:dyDescent="0.3">
      <c r="A628" s="566" t="s">
        <v>2929</v>
      </c>
      <c r="B628" s="566"/>
      <c r="C628" s="566"/>
      <c r="D628" s="566"/>
      <c r="E628" s="566"/>
      <c r="F628" s="566"/>
      <c r="G628" s="567" t="s">
        <v>3254</v>
      </c>
      <c r="H628" s="567" t="s">
        <v>335</v>
      </c>
      <c r="I628" s="677"/>
      <c r="J628" s="294" t="str">
        <f>IF(ISBLANK(HLOOKUP(CaseName,CaseData,MATCH($G628,cases!$G$4:$G$2494,0),FALSE)),"",HLOOKUP(CaseName,CaseData,MATCH($G628,cases!$G$4:$G$2494,0),FALSE))</f>
        <v/>
      </c>
      <c r="K628" s="576">
        <f>$L$430/$L$346</f>
        <v>9.6429477422628121E-9</v>
      </c>
      <c r="L628" s="298">
        <f t="shared" si="39"/>
        <v>9.6429477422628121E-9</v>
      </c>
      <c r="M628" s="567" t="s">
        <v>335</v>
      </c>
      <c r="N628" s="566" t="s">
        <v>1843</v>
      </c>
      <c r="O628" s="604"/>
      <c r="P628" s="566"/>
    </row>
    <row r="629" spans="1:20" customFormat="1" ht="12.75" customHeight="1" x14ac:dyDescent="0.3">
      <c r="A629" s="566" t="s">
        <v>1860</v>
      </c>
      <c r="B629" s="566"/>
      <c r="C629" s="566"/>
      <c r="D629" s="566"/>
      <c r="E629" s="566"/>
      <c r="F629" s="566"/>
      <c r="G629" s="567" t="s">
        <v>3255</v>
      </c>
      <c r="H629" s="567" t="s">
        <v>335</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335</v>
      </c>
      <c r="N629" s="566" t="s">
        <v>1862</v>
      </c>
      <c r="O629" s="679"/>
      <c r="P629" s="566"/>
    </row>
    <row r="630" spans="1:20" customFormat="1" ht="12.75" customHeight="1" x14ac:dyDescent="0.3">
      <c r="A630" s="566" t="s">
        <v>1867</v>
      </c>
      <c r="B630" s="566"/>
      <c r="C630" s="566"/>
      <c r="D630" s="566"/>
      <c r="E630" s="566"/>
      <c r="F630" s="566"/>
      <c r="G630" s="567" t="s">
        <v>3256</v>
      </c>
      <c r="H630" s="567" t="s">
        <v>335</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335</v>
      </c>
      <c r="N630" s="566" t="s">
        <v>1862</v>
      </c>
      <c r="O630" s="604"/>
      <c r="P630" s="566"/>
    </row>
    <row r="631" spans="1:20" customFormat="1" ht="12.75" customHeight="1" x14ac:dyDescent="0.3">
      <c r="A631" s="566" t="s">
        <v>1873</v>
      </c>
      <c r="B631" s="566"/>
      <c r="C631" s="566"/>
      <c r="D631" s="566"/>
      <c r="E631" s="566"/>
      <c r="F631" s="566"/>
      <c r="G631" s="567" t="s">
        <v>3257</v>
      </c>
      <c r="H631" s="567" t="s">
        <v>335</v>
      </c>
      <c r="I631" s="677"/>
      <c r="J631" s="294" t="str">
        <f>IF(ISBLANK(HLOOKUP(CaseName,CaseData,MATCH($G631,cases!$G$4:$G$2494,0),FALSE)),"",HLOOKUP(CaseName,CaseData,MATCH($G631,cases!$G$4:$G$2494,0),FALSE))</f>
        <v/>
      </c>
      <c r="K631" s="576">
        <f>(L441)/L347</f>
        <v>1.9025875190258751E-11</v>
      </c>
      <c r="L631" s="298">
        <f t="shared" si="39"/>
        <v>1.9025875190258751E-11</v>
      </c>
      <c r="M631" s="567" t="s">
        <v>335</v>
      </c>
      <c r="N631" s="566" t="s">
        <v>1875</v>
      </c>
      <c r="O631" s="604"/>
      <c r="P631" s="566"/>
    </row>
    <row r="632" spans="1:20" customFormat="1" ht="12.75" customHeight="1" x14ac:dyDescent="0.3">
      <c r="A632" s="630" t="s">
        <v>3258</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1315</v>
      </c>
      <c r="B633" s="566"/>
      <c r="C633" s="566"/>
      <c r="D633" s="566"/>
      <c r="E633" s="566"/>
      <c r="F633" s="566"/>
      <c r="G633" s="567" t="s">
        <v>3259</v>
      </c>
      <c r="H633" s="567" t="s">
        <v>617</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1041</v>
      </c>
      <c r="N633" s="567"/>
      <c r="O633" s="604"/>
      <c r="P633" s="577"/>
      <c r="Q633" s="576"/>
      <c r="R633" s="386"/>
      <c r="S633" s="802"/>
      <c r="T633" s="386"/>
    </row>
    <row r="634" spans="1:20" customFormat="1" ht="12.75" customHeight="1" x14ac:dyDescent="0.3">
      <c r="A634" s="567" t="s">
        <v>1315</v>
      </c>
      <c r="B634" s="566"/>
      <c r="C634" s="566"/>
      <c r="D634" s="566"/>
      <c r="E634" s="566"/>
      <c r="F634" s="566"/>
      <c r="G634" s="567" t="s">
        <v>3260</v>
      </c>
      <c r="H634" s="567" t="s">
        <v>617</v>
      </c>
      <c r="I634" s="681"/>
      <c r="J634" s="294" t="str">
        <f>IF(ISBLANK(HLOOKUP(CaseName,CaseData,MATCH($G634,cases!$G$4:$G$2494,0),FALSE)),"",HLOOKUP(CaseName,CaseData,MATCH($G634,cases!$G$4:$G$2494,0),FALSE))</f>
        <v/>
      </c>
      <c r="K634" s="576">
        <f>L452+kdegA.a</f>
        <v>3.663258818281463E-10</v>
      </c>
      <c r="L634" s="298">
        <f t="shared" si="40"/>
        <v>3.663258818281463E-10</v>
      </c>
      <c r="M634" s="566" t="s">
        <v>1041</v>
      </c>
      <c r="N634" s="567"/>
      <c r="O634" s="604"/>
      <c r="P634" s="577"/>
      <c r="Q634" s="576"/>
      <c r="R634" s="386"/>
      <c r="S634" s="802"/>
      <c r="T634" s="386"/>
    </row>
    <row r="635" spans="1:20" customFormat="1" ht="12.75" customHeight="1" x14ac:dyDescent="0.3">
      <c r="A635" s="567" t="s">
        <v>1315</v>
      </c>
      <c r="B635" s="566"/>
      <c r="C635" s="566"/>
      <c r="D635" s="566"/>
      <c r="E635" s="566"/>
      <c r="F635" s="566"/>
      <c r="G635" s="567" t="s">
        <v>3261</v>
      </c>
      <c r="H635" s="567" t="s">
        <v>617</v>
      </c>
      <c r="I635" s="681"/>
      <c r="J635" s="294" t="str">
        <f>IF(ISBLANK(HLOOKUP(CaseName,CaseData,MATCH($G635,cases!$G$4:$G$2494,0),FALSE)),"",HLOOKUP(CaseName,CaseData,MATCH($G635,cases!$G$4:$G$2494,0),FALSE))</f>
        <v/>
      </c>
      <c r="K635" s="576">
        <f>L452+kdegP.a</f>
        <v>3.663258818281463E-10</v>
      </c>
      <c r="L635" s="298">
        <f t="shared" si="40"/>
        <v>3.663258818281463E-10</v>
      </c>
      <c r="M635" s="566" t="s">
        <v>1041</v>
      </c>
      <c r="N635" s="567"/>
      <c r="O635" s="604"/>
      <c r="P635" s="577"/>
      <c r="Q635" s="576"/>
      <c r="R635" s="386"/>
      <c r="S635" s="802"/>
      <c r="T635" s="386"/>
    </row>
    <row r="636" spans="1:20" customFormat="1" ht="12.75" customHeight="1" x14ac:dyDescent="0.3">
      <c r="A636" s="567" t="s">
        <v>1317</v>
      </c>
      <c r="B636" s="566"/>
      <c r="C636" s="566"/>
      <c r="D636" s="566"/>
      <c r="E636" s="566"/>
      <c r="F636" s="566"/>
      <c r="G636" s="567" t="s">
        <v>3262</v>
      </c>
      <c r="H636" s="567" t="s">
        <v>617</v>
      </c>
      <c r="I636" s="681"/>
      <c r="J636" s="294" t="str">
        <f>IF(ISBLANK(HLOOKUP(CaseName,CaseData,MATCH($G636,cases!$G$4:$G$2494,0),FALSE)),"",HLOOKUP(CaseName,CaseData,MATCH($G636,cases!$G$4:$G$2494,0),FALSE))</f>
        <v/>
      </c>
      <c r="K636" s="576">
        <f>kdegS.w2</f>
        <v>0</v>
      </c>
      <c r="L636" s="298">
        <f t="shared" si="40"/>
        <v>0</v>
      </c>
      <c r="M636" s="566" t="s">
        <v>1885</v>
      </c>
      <c r="N636" s="567"/>
      <c r="O636" s="604"/>
      <c r="P636" s="577"/>
      <c r="Q636" s="576"/>
      <c r="R636" s="386"/>
      <c r="S636" s="802"/>
      <c r="T636" s="386"/>
    </row>
    <row r="637" spans="1:20" customFormat="1" ht="12.75" customHeight="1" x14ac:dyDescent="0.3">
      <c r="A637" s="567" t="s">
        <v>1317</v>
      </c>
      <c r="B637" s="566"/>
      <c r="C637" s="566"/>
      <c r="D637" s="566"/>
      <c r="E637" s="566"/>
      <c r="F637" s="566"/>
      <c r="G637" s="567" t="s">
        <v>3263</v>
      </c>
      <c r="H637" s="567" t="s">
        <v>617</v>
      </c>
      <c r="I637" s="681"/>
      <c r="J637" s="294" t="str">
        <f>IF(ISBLANK(HLOOKUP(CaseName,CaseData,MATCH($G637,cases!$G$4:$G$2494,0),FALSE)),"",HLOOKUP(CaseName,CaseData,MATCH($G637,cases!$G$4:$G$2494,0),FALSE))</f>
        <v/>
      </c>
      <c r="K637" s="576">
        <f>kdegA.w2</f>
        <v>0</v>
      </c>
      <c r="L637" s="298">
        <f t="shared" si="40"/>
        <v>0</v>
      </c>
      <c r="M637" s="566" t="s">
        <v>1885</v>
      </c>
      <c r="N637" s="567"/>
      <c r="O637" s="604"/>
      <c r="P637" s="577"/>
      <c r="Q637" s="576"/>
      <c r="R637" s="386"/>
      <c r="S637" s="802"/>
      <c r="T637" s="386"/>
    </row>
    <row r="638" spans="1:20" customFormat="1" ht="12.75" customHeight="1" x14ac:dyDescent="0.3">
      <c r="A638" s="567" t="s">
        <v>1317</v>
      </c>
      <c r="B638" s="566"/>
      <c r="C638" s="566"/>
      <c r="D638" s="566"/>
      <c r="E638" s="566"/>
      <c r="F638" s="566"/>
      <c r="G638" s="567" t="s">
        <v>3264</v>
      </c>
      <c r="H638" s="567" t="s">
        <v>617</v>
      </c>
      <c r="I638" s="681"/>
      <c r="J638" s="294" t="str">
        <f>IF(ISBLANK(HLOOKUP(CaseName,CaseData,MATCH($G638,cases!$G$4:$G$2494,0),FALSE)),"",HLOOKUP(CaseName,CaseData,MATCH($G638,cases!$G$4:$G$2494,0),FALSE))</f>
        <v/>
      </c>
      <c r="K638" s="576">
        <f>kdegP.w2</f>
        <v>0</v>
      </c>
      <c r="L638" s="298">
        <f t="shared" si="40"/>
        <v>0</v>
      </c>
      <c r="M638" s="566" t="s">
        <v>1885</v>
      </c>
      <c r="N638" s="567"/>
      <c r="O638" s="604"/>
      <c r="P638" s="577"/>
      <c r="Q638" s="576"/>
      <c r="R638" s="386"/>
      <c r="S638" s="802"/>
      <c r="T638" s="386"/>
    </row>
    <row r="639" spans="1:20" customFormat="1" ht="12.75" customHeight="1" x14ac:dyDescent="0.3">
      <c r="A639" s="567" t="s">
        <v>1319</v>
      </c>
      <c r="B639" s="566"/>
      <c r="C639" s="566"/>
      <c r="D639" s="566"/>
      <c r="E639" s="566"/>
      <c r="F639" s="566"/>
      <c r="G639" s="567" t="s">
        <v>3265</v>
      </c>
      <c r="H639" s="567" t="s">
        <v>617</v>
      </c>
      <c r="I639" s="681"/>
      <c r="J639" s="294" t="str">
        <f>IF(ISBLANK(HLOOKUP(CaseName,CaseData,MATCH($G639,cases!$G$4:$G$2494,0),FALSE)),"",HLOOKUP(CaseName,CaseData,MATCH($G639,cases!$G$4:$G$2494,0),FALSE))</f>
        <v/>
      </c>
      <c r="K639" s="576">
        <f>kdegS.w3</f>
        <v>0</v>
      </c>
      <c r="L639" s="298">
        <f t="shared" si="40"/>
        <v>0</v>
      </c>
      <c r="M639" s="566" t="s">
        <v>1885</v>
      </c>
      <c r="N639" s="567"/>
      <c r="O639" s="604"/>
      <c r="P639" s="577"/>
      <c r="Q639" s="576"/>
      <c r="R639" s="386"/>
      <c r="S639" s="802"/>
      <c r="T639" s="386"/>
    </row>
    <row r="640" spans="1:20" customFormat="1" ht="12.75" customHeight="1" x14ac:dyDescent="0.3">
      <c r="A640" s="567" t="s">
        <v>1319</v>
      </c>
      <c r="B640" s="566"/>
      <c r="C640" s="566"/>
      <c r="D640" s="566"/>
      <c r="E640" s="566"/>
      <c r="F640" s="566"/>
      <c r="G640" s="567" t="s">
        <v>3266</v>
      </c>
      <c r="H640" s="567" t="s">
        <v>617</v>
      </c>
      <c r="I640" s="681"/>
      <c r="J640" s="294" t="str">
        <f>IF(ISBLANK(HLOOKUP(CaseName,CaseData,MATCH($G640,cases!$G$4:$G$2494,0),FALSE)),"",HLOOKUP(CaseName,CaseData,MATCH($G640,cases!$G$4:$G$2494,0),FALSE))</f>
        <v/>
      </c>
      <c r="K640" s="576">
        <f>kdegA.w3</f>
        <v>0</v>
      </c>
      <c r="L640" s="298">
        <f t="shared" si="40"/>
        <v>0</v>
      </c>
      <c r="M640" s="566" t="s">
        <v>1885</v>
      </c>
      <c r="N640" s="567"/>
      <c r="O640" s="604"/>
      <c r="P640" s="577"/>
      <c r="Q640" s="576"/>
      <c r="R640" s="386"/>
      <c r="S640" s="802"/>
      <c r="T640" s="386"/>
    </row>
    <row r="641" spans="1:20" customFormat="1" ht="12.75" customHeight="1" x14ac:dyDescent="0.3">
      <c r="A641" s="567" t="s">
        <v>1319</v>
      </c>
      <c r="B641" s="566"/>
      <c r="C641" s="566"/>
      <c r="D641" s="566"/>
      <c r="E641" s="566"/>
      <c r="F641" s="566"/>
      <c r="G641" s="567" t="s">
        <v>3267</v>
      </c>
      <c r="H641" s="567" t="s">
        <v>617</v>
      </c>
      <c r="I641" s="681"/>
      <c r="J641" s="294" t="str">
        <f>IF(ISBLANK(HLOOKUP(CaseName,CaseData,MATCH($G641,cases!$G$4:$G$2494,0),FALSE)),"",HLOOKUP(CaseName,CaseData,MATCH($G641,cases!$G$4:$G$2494,0),FALSE))</f>
        <v/>
      </c>
      <c r="K641" s="576">
        <f>kdegP.w3</f>
        <v>0</v>
      </c>
      <c r="L641" s="298">
        <f t="shared" si="40"/>
        <v>0</v>
      </c>
      <c r="M641" s="566" t="s">
        <v>1885</v>
      </c>
      <c r="N641" s="567"/>
      <c r="O641" s="604"/>
      <c r="P641" s="577"/>
      <c r="Q641" s="576"/>
      <c r="R641" s="386"/>
      <c r="S641" s="802"/>
      <c r="T641" s="386"/>
    </row>
    <row r="642" spans="1:20" customFormat="1" ht="12.75" customHeight="1" x14ac:dyDescent="0.3">
      <c r="A642" s="567" t="s">
        <v>1323</v>
      </c>
      <c r="B642" s="566"/>
      <c r="C642" s="566"/>
      <c r="D642" s="566"/>
      <c r="E642" s="566"/>
      <c r="F642" s="566"/>
      <c r="G642" s="567" t="s">
        <v>3268</v>
      </c>
      <c r="H642" s="567" t="s">
        <v>617</v>
      </c>
      <c r="I642" s="681"/>
      <c r="J642" s="294" t="str">
        <f>IF(ISBLANK(HLOOKUP(CaseName,CaseData,MATCH($G642,cases!$G$4:$G$2494,0),FALSE)),"",HLOOKUP(CaseName,CaseData,MATCH($G642,cases!$G$4:$G$2494,0),FALSE))</f>
        <v/>
      </c>
      <c r="K642" s="576">
        <f>L649+kdegS.sd2</f>
        <v>2.1139861322509499E-12</v>
      </c>
      <c r="L642" s="298">
        <f t="shared" si="40"/>
        <v>2.1139861322509499E-12</v>
      </c>
      <c r="M642" s="566" t="s">
        <v>1885</v>
      </c>
      <c r="N642" s="567"/>
      <c r="O642" s="604"/>
      <c r="P642" s="802"/>
      <c r="Q642" s="576"/>
      <c r="R642" s="386"/>
      <c r="S642" s="802"/>
      <c r="T642" s="386"/>
    </row>
    <row r="643" spans="1:20" customFormat="1" ht="12.75" customHeight="1" x14ac:dyDescent="0.3">
      <c r="A643" s="567" t="s">
        <v>1323</v>
      </c>
      <c r="B643" s="566"/>
      <c r="C643" s="566"/>
      <c r="D643" s="566"/>
      <c r="E643" s="566"/>
      <c r="F643" s="566"/>
      <c r="G643" s="567" t="s">
        <v>3269</v>
      </c>
      <c r="H643" s="567" t="s">
        <v>617</v>
      </c>
      <c r="I643" s="681"/>
      <c r="J643" s="294" t="str">
        <f>IF(ISBLANK(HLOOKUP(CaseName,CaseData,MATCH($G643,cases!$G$4:$G$2494,0),FALSE)),"",HLOOKUP(CaseName,CaseData,MATCH($G643,cases!$G$4:$G$2494,0),FALSE))</f>
        <v/>
      </c>
      <c r="K643" s="576">
        <f>L649+kdegA.sd2</f>
        <v>2.1139861322509499E-12</v>
      </c>
      <c r="L643" s="298">
        <f t="shared" si="40"/>
        <v>2.1139861322509499E-12</v>
      </c>
      <c r="M643" s="566" t="s">
        <v>1885</v>
      </c>
      <c r="N643" s="567"/>
      <c r="O643" s="604"/>
      <c r="P643" s="802"/>
      <c r="Q643" s="576"/>
      <c r="R643" s="386"/>
      <c r="S643" s="802"/>
      <c r="T643" s="386"/>
    </row>
    <row r="644" spans="1:20" customFormat="1" ht="12.75" customHeight="1" x14ac:dyDescent="0.3">
      <c r="A644" s="567" t="s">
        <v>1323</v>
      </c>
      <c r="B644" s="566"/>
      <c r="C644" s="566"/>
      <c r="D644" s="566"/>
      <c r="E644" s="566"/>
      <c r="F644" s="566"/>
      <c r="G644" s="567" t="s">
        <v>3270</v>
      </c>
      <c r="H644" s="567" t="s">
        <v>617</v>
      </c>
      <c r="I644" s="681"/>
      <c r="J644" s="294" t="str">
        <f>IF(ISBLANK(HLOOKUP(CaseName,CaseData,MATCH($G644,cases!$G$4:$G$2494,0),FALSE)),"",HLOOKUP(CaseName,CaseData,MATCH($G644,cases!$G$4:$G$2494,0),FALSE))</f>
        <v/>
      </c>
      <c r="K644" s="576">
        <f>L649+kdegP.sd2</f>
        <v>2.1139861322509499E-12</v>
      </c>
      <c r="L644" s="298">
        <f t="shared" si="40"/>
        <v>2.1139861322509499E-12</v>
      </c>
      <c r="M644" s="566" t="s">
        <v>1885</v>
      </c>
      <c r="N644" s="567"/>
      <c r="O644" s="604"/>
      <c r="P644" s="802"/>
      <c r="Q644" s="576"/>
      <c r="R644" s="386"/>
      <c r="S644" s="802"/>
      <c r="T644" s="386"/>
    </row>
    <row r="645" spans="1:20" customFormat="1" ht="12.75" customHeight="1" x14ac:dyDescent="0.3">
      <c r="A645" s="567" t="s">
        <v>1329</v>
      </c>
      <c r="B645" s="566"/>
      <c r="C645" s="566"/>
      <c r="D645" s="566"/>
      <c r="E645" s="566"/>
      <c r="F645" s="566"/>
      <c r="G645" s="567" t="s">
        <v>3271</v>
      </c>
      <c r="H645" s="567" t="s">
        <v>617</v>
      </c>
      <c r="I645" s="681"/>
      <c r="J645" s="294" t="str">
        <f>IF(ISBLANK(HLOOKUP(CaseName,CaseData,MATCH($G645,cases!$G$4:$G$2494,0),FALSE)),"",HLOOKUP(CaseName,CaseData,MATCH($G645,cases!$G$4:$G$2494,0),FALSE))</f>
        <v/>
      </c>
      <c r="K645" s="576">
        <f>L648+kdegS.s1</f>
        <v>3.3938301517754099E-10</v>
      </c>
      <c r="L645" s="298">
        <f t="shared" si="40"/>
        <v>3.3938301517754099E-10</v>
      </c>
      <c r="M645" s="566" t="s">
        <v>1885</v>
      </c>
      <c r="N645" s="567"/>
      <c r="O645" s="604"/>
      <c r="P645" s="802"/>
      <c r="Q645" s="576"/>
      <c r="R645" s="386"/>
      <c r="S645" s="802"/>
      <c r="T645" s="386"/>
    </row>
    <row r="646" spans="1:20" customFormat="1" ht="12.75" customHeight="1" x14ac:dyDescent="0.3">
      <c r="A646" s="567" t="s">
        <v>1329</v>
      </c>
      <c r="B646" s="566"/>
      <c r="C646" s="566"/>
      <c r="D646" s="566"/>
      <c r="E646" s="566"/>
      <c r="F646" s="566"/>
      <c r="G646" s="567" t="s">
        <v>3272</v>
      </c>
      <c r="H646" s="567" t="s">
        <v>617</v>
      </c>
      <c r="I646" s="681"/>
      <c r="J646" s="294" t="str">
        <f>IF(ISBLANK(HLOOKUP(CaseName,CaseData,MATCH($G646,cases!$G$4:$G$2494,0),FALSE)),"",HLOOKUP(CaseName,CaseData,MATCH($G646,cases!$G$4:$G$2494,0),FALSE))</f>
        <v/>
      </c>
      <c r="K646" s="576">
        <f>L648+kdegA.s1</f>
        <v>3.3938301517754099E-10</v>
      </c>
      <c r="L646" s="298">
        <f t="shared" si="40"/>
        <v>3.3938301517754099E-10</v>
      </c>
      <c r="M646" s="566" t="s">
        <v>1885</v>
      </c>
      <c r="N646" s="567"/>
      <c r="O646" s="604"/>
      <c r="P646" s="802"/>
      <c r="Q646" s="576"/>
      <c r="R646" s="386"/>
      <c r="S646" s="802"/>
      <c r="T646" s="386"/>
    </row>
    <row r="647" spans="1:20" customFormat="1" ht="12.75" customHeight="1" x14ac:dyDescent="0.3">
      <c r="A647" s="567" t="s">
        <v>1329</v>
      </c>
      <c r="B647" s="566"/>
      <c r="C647" s="566"/>
      <c r="D647" s="566"/>
      <c r="E647" s="566"/>
      <c r="F647" s="566"/>
      <c r="G647" s="567" t="s">
        <v>3273</v>
      </c>
      <c r="H647" s="567" t="s">
        <v>617</v>
      </c>
      <c r="I647" s="681"/>
      <c r="J647" s="294" t="str">
        <f>IF(ISBLANK(HLOOKUP(CaseName,CaseData,MATCH($G647,cases!$G$4:$G$2494,0),FALSE)),"",HLOOKUP(CaseName,CaseData,MATCH($G647,cases!$G$4:$G$2494,0),FALSE))</f>
        <v/>
      </c>
      <c r="K647" s="576">
        <f>kdegP.s1</f>
        <v>0</v>
      </c>
      <c r="L647" s="298">
        <f t="shared" si="40"/>
        <v>0</v>
      </c>
      <c r="M647" s="566" t="s">
        <v>1885</v>
      </c>
      <c r="N647" s="567"/>
      <c r="O647" s="604"/>
      <c r="P647" s="577"/>
      <c r="Q647" s="576"/>
      <c r="R647" s="386"/>
      <c r="S647" s="802"/>
      <c r="T647" s="386"/>
    </row>
    <row r="648" spans="1:20" customFormat="1" ht="12.75" customHeight="1" x14ac:dyDescent="0.3">
      <c r="A648" s="566"/>
      <c r="B648" s="566" t="s">
        <v>1912</v>
      </c>
      <c r="C648" s="566"/>
      <c r="D648" s="566"/>
      <c r="E648" s="566"/>
      <c r="F648" s="566"/>
      <c r="G648" s="567" t="s">
        <v>3274</v>
      </c>
      <c r="H648" s="567" t="s">
        <v>335</v>
      </c>
      <c r="I648" s="677"/>
      <c r="J648" s="294" t="str">
        <f>IF(ISBLANK(HLOOKUP(CaseName,CaseData,MATCH($G648,cases!$G$4:$G$2494,0),FALSE)),"",HLOOKUP(CaseName,CaseData,MATCH($G648,cases!$G$4:$G$2494,0),FALSE))</f>
        <v/>
      </c>
      <c r="K648" s="576">
        <f>(L463*L414*L464)/L347</f>
        <v>3.3938301517754099E-10</v>
      </c>
      <c r="L648" s="298">
        <f t="shared" si="40"/>
        <v>3.3938301517754099E-10</v>
      </c>
      <c r="M648" s="566" t="s">
        <v>1885</v>
      </c>
      <c r="N648" s="566" t="s">
        <v>1914</v>
      </c>
      <c r="O648" s="604"/>
      <c r="P648" s="566"/>
    </row>
    <row r="649" spans="1:20" s="487" customFormat="1" ht="12.75" customHeight="1" x14ac:dyDescent="0.3">
      <c r="A649" s="598"/>
      <c r="B649" s="598" t="s">
        <v>1919</v>
      </c>
      <c r="C649" s="598"/>
      <c r="D649" s="598"/>
      <c r="E649" s="598"/>
      <c r="F649" s="598"/>
      <c r="G649" s="601" t="s">
        <v>3275</v>
      </c>
      <c r="H649" s="601" t="s">
        <v>335</v>
      </c>
      <c r="I649" s="682"/>
      <c r="J649" s="294" t="str">
        <f>IF(ISBLANK(HLOOKUP(CaseName,CaseData,MATCH($G649,cases!$G$4:$G$2494,0),FALSE)),"",HLOOKUP(CaseName,CaseData,MATCH($G649,cases!$G$4:$G$2494,0),FALSE))</f>
        <v/>
      </c>
      <c r="K649" s="626">
        <f>L433/L346</f>
        <v>2.1139861322509499E-12</v>
      </c>
      <c r="L649" s="680">
        <f t="shared" si="40"/>
        <v>2.1139861322509499E-12</v>
      </c>
      <c r="M649" s="598" t="s">
        <v>1885</v>
      </c>
      <c r="N649" s="598" t="s">
        <v>1921</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3276</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947</v>
      </c>
      <c r="B654" s="147"/>
      <c r="C654" s="147"/>
      <c r="D654" s="147"/>
      <c r="E654" s="147"/>
      <c r="F654" s="147"/>
      <c r="G654" s="148" t="s">
        <v>258</v>
      </c>
      <c r="H654" s="148" t="s">
        <v>274</v>
      </c>
      <c r="I654" s="147" t="s">
        <v>259</v>
      </c>
      <c r="J654" s="271" t="s">
        <v>2953</v>
      </c>
      <c r="K654" s="331" t="s">
        <v>260</v>
      </c>
      <c r="L654" s="331" t="s">
        <v>261</v>
      </c>
      <c r="M654" s="147"/>
      <c r="N654" s="148" t="s">
        <v>262</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948</v>
      </c>
      <c r="B656" s="17"/>
      <c r="C656" s="17"/>
      <c r="D656" s="17"/>
      <c r="E656" s="17"/>
      <c r="F656" s="17"/>
      <c r="G656" s="38" t="s">
        <v>3277</v>
      </c>
      <c r="H656" s="38" t="s">
        <v>950</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951</v>
      </c>
      <c r="N656" s="17"/>
      <c r="O656" s="11"/>
      <c r="P656" s="11"/>
      <c r="Q656" s="11"/>
      <c r="R656" s="11"/>
      <c r="S656" s="11"/>
      <c r="T656" s="11"/>
    </row>
    <row r="657" spans="1:14" s="386" customFormat="1" ht="12.75" customHeight="1" x14ac:dyDescent="0.3">
      <c r="A657" s="567" t="s">
        <v>1928</v>
      </c>
      <c r="B657" s="566"/>
      <c r="C657" s="566"/>
      <c r="D657" s="566"/>
      <c r="E657" s="566"/>
      <c r="F657" s="566"/>
      <c r="G657" s="567" t="s">
        <v>3278</v>
      </c>
      <c r="H657" s="566" t="s">
        <v>950</v>
      </c>
      <c r="I657" s="614"/>
      <c r="J657" s="294" t="str">
        <f>IF(ISBLANK(HLOOKUP(CaseName,CaseData,MATCH($G657,cases!$G$4:$G$2494,0),FALSE)),"",HLOOKUP(CaseName,CaseData,MATCH($G657,cases!$G$4:$G$2494,0),FALSE))</f>
        <v/>
      </c>
      <c r="K657" s="613">
        <f>L670*L656</f>
        <v>38249988525</v>
      </c>
      <c r="L657" s="607">
        <f t="shared" si="41"/>
        <v>38249988525</v>
      </c>
      <c r="M657" s="567" t="s">
        <v>951</v>
      </c>
      <c r="N657" s="566"/>
    </row>
    <row r="658" spans="1:14" ht="12.75" customHeight="1" x14ac:dyDescent="0.3">
      <c r="A658" s="17" t="s">
        <v>2956</v>
      </c>
      <c r="B658" s="17"/>
      <c r="C658" s="17"/>
      <c r="D658" s="17"/>
      <c r="E658" s="17"/>
      <c r="F658" s="17"/>
      <c r="G658" s="38" t="s">
        <v>3279</v>
      </c>
      <c r="H658" s="17" t="s">
        <v>950</v>
      </c>
      <c r="I658" s="281"/>
      <c r="J658" s="294" t="str">
        <f>IF(ISBLANK(HLOOKUP(CaseName,CaseData,MATCH($G658,cases!$G$4:$G$2494,0),FALSE)),"",HLOOKUP(CaseName,CaseData,MATCH($G658,cases!$G$4:$G$2494,0),FALSE))</f>
        <v/>
      </c>
      <c r="K658" s="428">
        <f>L662*L666*L663</f>
        <v>8924999999999999</v>
      </c>
      <c r="L658" s="298">
        <f t="shared" si="41"/>
        <v>8924999999999999</v>
      </c>
      <c r="M658" s="38" t="s">
        <v>951</v>
      </c>
      <c r="N658" s="17"/>
    </row>
    <row r="659" spans="1:14" ht="12.75" customHeight="1" x14ac:dyDescent="0.3">
      <c r="A659" s="38" t="s">
        <v>2958</v>
      </c>
      <c r="B659" s="17"/>
      <c r="C659" s="17"/>
      <c r="D659" s="17"/>
      <c r="E659" s="17"/>
      <c r="F659" s="17"/>
      <c r="G659" s="38" t="s">
        <v>3280</v>
      </c>
      <c r="H659" s="17" t="s">
        <v>950</v>
      </c>
      <c r="I659" s="281"/>
      <c r="J659" s="294" t="str">
        <f>IF(ISBLANK(HLOOKUP(CaseName,CaseData,MATCH($G659,cases!$G$4:$G$2494,0),FALSE)),"",HLOOKUP(CaseName,CaseData,MATCH($G659,cases!$G$4:$G$2494,0),FALSE))</f>
        <v/>
      </c>
      <c r="K659" s="428">
        <f>L662*L667*L663</f>
        <v>2.6774999999999997E+17</v>
      </c>
      <c r="L659" s="298">
        <f t="shared" si="41"/>
        <v>2.6774999999999997E+17</v>
      </c>
      <c r="M659" s="38" t="s">
        <v>951</v>
      </c>
      <c r="N659" s="17"/>
    </row>
    <row r="660" spans="1:14" ht="12.75" customHeight="1" x14ac:dyDescent="0.3">
      <c r="A660" s="38" t="s">
        <v>2531</v>
      </c>
      <c r="B660" s="17"/>
      <c r="C660" s="17"/>
      <c r="D660" s="17"/>
      <c r="E660" s="17"/>
      <c r="F660" s="17"/>
      <c r="G660" s="38" t="s">
        <v>3281</v>
      </c>
      <c r="H660" s="38" t="s">
        <v>950</v>
      </c>
      <c r="I660" s="281"/>
      <c r="J660" s="294" t="str">
        <f>IF(ISBLANK(HLOOKUP(CaseName,CaseData,MATCH($G660,cases!$G$4:$G$2494,0),FALSE)),"",HLOOKUP(CaseName,CaseData,MATCH($G660,cases!$G$4:$G$2494,0),FALSE))</f>
        <v/>
      </c>
      <c r="K660" s="428">
        <f>L662*L668*L663</f>
        <v>2677500000000</v>
      </c>
      <c r="L660" s="298">
        <f t="shared" si="41"/>
        <v>2677500000000</v>
      </c>
      <c r="M660" s="38" t="s">
        <v>951</v>
      </c>
      <c r="N660" s="17"/>
    </row>
    <row r="661" spans="1:14" ht="12.75" customHeight="1" x14ac:dyDescent="0.3">
      <c r="A661" s="38" t="s">
        <v>2533</v>
      </c>
      <c r="B661" s="17"/>
      <c r="C661" s="17"/>
      <c r="D661" s="17"/>
      <c r="E661" s="17"/>
      <c r="F661" s="17"/>
      <c r="G661" s="38" t="s">
        <v>3282</v>
      </c>
      <c r="H661" s="38" t="s">
        <v>950</v>
      </c>
      <c r="I661" s="281"/>
      <c r="J661" s="294" t="str">
        <f>IF(ISBLANK(HLOOKUP(CaseName,CaseData,MATCH($G661,cases!$G$4:$G$2494,0),FALSE)),"",HLOOKUP(CaseName,CaseData,MATCH($G661,cases!$G$4:$G$2494,0),FALSE))</f>
        <v/>
      </c>
      <c r="K661" s="428">
        <f>L662*L664*L669</f>
        <v>1912500000000.0005</v>
      </c>
      <c r="L661" s="298">
        <f t="shared" si="41"/>
        <v>1912500000000.0005</v>
      </c>
      <c r="M661" s="38" t="s">
        <v>951</v>
      </c>
      <c r="N661" s="17"/>
    </row>
    <row r="662" spans="1:14" ht="12.75" customHeight="1" x14ac:dyDescent="0.3">
      <c r="A662" s="17"/>
      <c r="B662" s="38" t="s">
        <v>3283</v>
      </c>
      <c r="C662" s="17"/>
      <c r="D662" s="17"/>
      <c r="E662" s="17"/>
      <c r="F662" s="17"/>
      <c r="G662" s="38" t="s">
        <v>3284</v>
      </c>
      <c r="H662" s="38" t="s">
        <v>672</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673</v>
      </c>
      <c r="N662" s="17"/>
    </row>
    <row r="663" spans="1:14" ht="12.75" customHeight="1" x14ac:dyDescent="0.3">
      <c r="A663" s="17"/>
      <c r="B663" s="38" t="s">
        <v>2537</v>
      </c>
      <c r="C663" s="17"/>
      <c r="D663" s="17"/>
      <c r="E663" s="17"/>
      <c r="F663" s="17"/>
      <c r="G663" s="146" t="s">
        <v>3285</v>
      </c>
      <c r="H663" s="38" t="s">
        <v>291</v>
      </c>
      <c r="I663" s="281"/>
      <c r="J663" s="294" t="str">
        <f>IF(ISBLANK(HLOOKUP(CaseName,CaseData,MATCH($G663,cases!$G$4:$G$2494,0),FALSE)),"",HLOOKUP(CaseName,CaseData,MATCH($G663,cases!$G$4:$G$2494,0),FALSE))</f>
        <v/>
      </c>
      <c r="K663" s="405">
        <v>0.7</v>
      </c>
      <c r="L663" s="298">
        <f>IF(ISBLANK(I663),IF(ISNUMBER(J663)=FALSE,K663,J663),I663)</f>
        <v>0.7</v>
      </c>
      <c r="M663" s="17" t="s">
        <v>292</v>
      </c>
      <c r="N663" s="17"/>
    </row>
    <row r="664" spans="1:14" ht="12.75" customHeight="1" x14ac:dyDescent="0.3">
      <c r="A664" s="17"/>
      <c r="B664" s="38" t="s">
        <v>2539</v>
      </c>
      <c r="C664" s="17"/>
      <c r="D664" s="17"/>
      <c r="E664" s="17"/>
      <c r="F664" s="17"/>
      <c r="G664" s="146" t="s">
        <v>3286</v>
      </c>
      <c r="H664" s="38" t="s">
        <v>291</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292</v>
      </c>
      <c r="N664" s="17"/>
    </row>
    <row r="665" spans="1:14" ht="12.75" customHeight="1" x14ac:dyDescent="0.3">
      <c r="A665" s="17"/>
      <c r="B665" s="17"/>
      <c r="C665" s="38" t="s">
        <v>987</v>
      </c>
      <c r="D665" s="17"/>
      <c r="E665" s="17"/>
      <c r="F665" s="17"/>
      <c r="G665" s="146" t="s">
        <v>3287</v>
      </c>
      <c r="H665" s="38" t="s">
        <v>813</v>
      </c>
      <c r="I665" s="281"/>
      <c r="J665" s="294" t="str">
        <f>IF(ISBLANK(HLOOKUP(CaseName,CaseData,MATCH($G665,cases!$G$4:$G$2494,0),FALSE)),"",HLOOKUP(CaseName,CaseData,MATCH($G665,cases!$G$4:$G$2494,0),FALSE))</f>
        <v/>
      </c>
      <c r="K665" s="405">
        <v>1000</v>
      </c>
      <c r="L665" s="298">
        <f>IF(ISBLANK(I665),IF(ISNUMBER(J665)=FALSE,K665,J665),I665)</f>
        <v>1000</v>
      </c>
      <c r="M665" s="38" t="s">
        <v>279</v>
      </c>
      <c r="N665" s="17"/>
    </row>
    <row r="666" spans="1:14" ht="12.75" customHeight="1" x14ac:dyDescent="0.3">
      <c r="A666" s="17"/>
      <c r="B666" s="17"/>
      <c r="C666" s="38" t="s">
        <v>2967</v>
      </c>
      <c r="D666" s="17"/>
      <c r="E666" s="17"/>
      <c r="F666" s="17"/>
      <c r="G666" s="146" t="s">
        <v>3288</v>
      </c>
      <c r="H666" s="38" t="s">
        <v>813</v>
      </c>
      <c r="I666" s="276"/>
      <c r="J666" s="294" t="str">
        <f>IF(ISBLANK(HLOOKUP(CaseName,CaseData,MATCH($G666,cases!$G$4:$G$2494,0),FALSE)),"",HLOOKUP(CaseName,CaseData,MATCH($G666,cases!$G$4:$G$2494,0),FALSE))</f>
        <v/>
      </c>
      <c r="K666" s="405">
        <v>100</v>
      </c>
      <c r="L666" s="298">
        <f>IF(ISBLANK(I666),IF(ISNUMBER(J666)=FALSE,K666,J666),I666)</f>
        <v>100</v>
      </c>
      <c r="M666" s="38" t="s">
        <v>279</v>
      </c>
      <c r="N666" s="17"/>
    </row>
    <row r="667" spans="1:14" ht="12.75" customHeight="1" x14ac:dyDescent="0.3">
      <c r="A667" s="17"/>
      <c r="B667" s="17"/>
      <c r="C667" s="38" t="s">
        <v>2969</v>
      </c>
      <c r="D667" s="17"/>
      <c r="E667" s="17"/>
      <c r="F667" s="17"/>
      <c r="G667" s="146" t="s">
        <v>3289</v>
      </c>
      <c r="H667" s="38" t="s">
        <v>813</v>
      </c>
      <c r="I667" s="281"/>
      <c r="J667" s="294" t="str">
        <f>IF(ISBLANK(HLOOKUP(CaseName,CaseData,MATCH($G667,cases!$G$4:$G$2494,0),FALSE)),"",HLOOKUP(CaseName,CaseData,MATCH($G667,cases!$G$4:$G$2494,0),FALSE))</f>
        <v/>
      </c>
      <c r="K667" s="428">
        <v>3000</v>
      </c>
      <c r="L667" s="298">
        <f>IF(ISBLANK(I667),IF(ISNUMBER(J667)=FALSE,K667,J667),I667)</f>
        <v>3000</v>
      </c>
      <c r="M667" s="38" t="s">
        <v>279</v>
      </c>
      <c r="N667" s="17"/>
    </row>
    <row r="668" spans="1:14" ht="12.75" customHeight="1" x14ac:dyDescent="0.3">
      <c r="A668" s="17"/>
      <c r="B668" s="17"/>
      <c r="C668" s="38" t="s">
        <v>2546</v>
      </c>
      <c r="D668" s="17"/>
      <c r="E668" s="17"/>
      <c r="F668" s="17"/>
      <c r="G668" s="146" t="s">
        <v>3290</v>
      </c>
      <c r="H668" s="38" t="s">
        <v>997</v>
      </c>
      <c r="I668" s="281"/>
      <c r="J668" s="294" t="str">
        <f>IF(ISBLANK(HLOOKUP(CaseName,CaseData,MATCH($G668,cases!$G$4:$G$2494,0),FALSE)),"",HLOOKUP(CaseName,CaseData,MATCH($G668,cases!$G$4:$G$2494,0),FALSE))</f>
        <v/>
      </c>
      <c r="K668" s="405">
        <v>3</v>
      </c>
      <c r="L668" s="298">
        <f>IF(ISBLANK(I668),IF(ISNUMBER(J668)=FALSE,K668/100,J668/100),I668/100)</f>
        <v>0.03</v>
      </c>
      <c r="M668" s="38" t="s">
        <v>279</v>
      </c>
      <c r="N668" s="17"/>
    </row>
    <row r="669" spans="1:14" ht="12.75" customHeight="1" x14ac:dyDescent="0.3">
      <c r="A669" s="38"/>
      <c r="B669" s="17"/>
      <c r="C669" s="38" t="s">
        <v>2548</v>
      </c>
      <c r="D669" s="146"/>
      <c r="E669" s="146"/>
      <c r="F669" s="146"/>
      <c r="G669" s="146" t="s">
        <v>3291</v>
      </c>
      <c r="H669" s="38" t="s">
        <v>813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279</v>
      </c>
      <c r="N669" s="17"/>
    </row>
    <row r="670" spans="1:14" ht="12.75" customHeight="1" x14ac:dyDescent="0.3">
      <c r="A670" s="566"/>
      <c r="B670" s="566"/>
      <c r="C670" s="566" t="s">
        <v>1008</v>
      </c>
      <c r="D670" s="566"/>
      <c r="E670" s="566"/>
      <c r="F670" s="566"/>
      <c r="G670" s="567" t="s">
        <v>3292</v>
      </c>
      <c r="H670" s="567" t="s">
        <v>1010</v>
      </c>
      <c r="I670" s="615"/>
      <c r="J670" s="294" t="str">
        <f>IF(ISBLANK(HLOOKUP(CaseName,CaseData,MATCH($G670,cases!$G$4:$G$2494,0),FALSE)),"",HLOOKUP(CaseName,CaseData,MATCH($G670,cases!$G$4:$G$2494,0),FALSE))</f>
        <v/>
      </c>
      <c r="K670" s="613">
        <v>2.9999999999999999E-7</v>
      </c>
      <c r="L670" s="607">
        <f t="shared" si="42"/>
        <v>2.9999999999999999E-7</v>
      </c>
      <c r="M670" s="567" t="s">
        <v>292</v>
      </c>
      <c r="N670" s="566" t="s">
        <v>1011</v>
      </c>
    </row>
    <row r="671" spans="1:14" ht="12.75" customHeight="1" x14ac:dyDescent="0.3">
      <c r="A671" s="17"/>
      <c r="B671" s="17"/>
      <c r="C671" s="17" t="s">
        <v>1012</v>
      </c>
      <c r="D671" s="17"/>
      <c r="E671" s="17"/>
      <c r="F671" s="17"/>
      <c r="G671" s="38" t="s">
        <v>3293</v>
      </c>
      <c r="H671" s="38" t="s">
        <v>1010</v>
      </c>
      <c r="I671" s="274"/>
      <c r="J671" s="294" t="str">
        <f>IF(ISBLANK(HLOOKUP(CaseName,CaseData,MATCH($G671,cases!$G$4:$G$2494,0),FALSE)),"",HLOOKUP(CaseName,CaseData,MATCH($G671,cases!$G$4:$G$2494,0),FALSE))</f>
        <v/>
      </c>
      <c r="K671" s="428">
        <v>1.9999999999999999E-11</v>
      </c>
      <c r="L671" s="298">
        <f t="shared" si="42"/>
        <v>1.9999999999999999E-11</v>
      </c>
      <c r="M671" s="38" t="s">
        <v>292</v>
      </c>
      <c r="N671" s="17" t="s">
        <v>1014</v>
      </c>
    </row>
    <row r="672" spans="1:14" ht="12.75" customHeight="1" x14ac:dyDescent="0.3">
      <c r="A672" s="17"/>
      <c r="B672" s="17"/>
      <c r="C672" s="17" t="s">
        <v>1015</v>
      </c>
      <c r="D672" s="17"/>
      <c r="E672" s="17"/>
      <c r="F672" s="17"/>
      <c r="G672" s="38" t="s">
        <v>3294</v>
      </c>
      <c r="H672" s="38" t="s">
        <v>1010</v>
      </c>
      <c r="I672" s="274"/>
      <c r="J672" s="294" t="str">
        <f>IF(ISBLANK(HLOOKUP(CaseName,CaseData,MATCH($G672,cases!$G$4:$G$2494,0),FALSE)),"",HLOOKUP(CaseName,CaseData,MATCH($G672,cases!$G$4:$G$2494,0),FALSE))</f>
        <v/>
      </c>
      <c r="K672" s="428">
        <v>1.9999999999999999E-11</v>
      </c>
      <c r="L672" s="298">
        <f t="shared" si="42"/>
        <v>1.9999999999999999E-11</v>
      </c>
      <c r="M672" s="38" t="s">
        <v>292</v>
      </c>
      <c r="N672" s="17" t="s">
        <v>1014</v>
      </c>
    </row>
    <row r="673" spans="1:14" ht="12.75" customHeight="1" x14ac:dyDescent="0.3">
      <c r="A673" s="17"/>
      <c r="B673" s="17"/>
      <c r="C673" s="38" t="s">
        <v>2553</v>
      </c>
      <c r="D673" s="146"/>
      <c r="E673" s="146"/>
      <c r="F673" s="146"/>
      <c r="G673" s="146" t="s">
        <v>3295</v>
      </c>
      <c r="H673" s="38" t="s">
        <v>1010</v>
      </c>
      <c r="I673" s="281"/>
      <c r="J673" s="294" t="str">
        <f>IF(ISBLANK(HLOOKUP(CaseName,CaseData,MATCH($G673,cases!$G$4:$G$2494,0),FALSE)),"",HLOOKUP(CaseName,CaseData,MATCH($G673,cases!$G$4:$G$2494,0),FALSE))</f>
        <v/>
      </c>
      <c r="K673" s="405">
        <v>0.2</v>
      </c>
      <c r="L673" s="298">
        <f t="shared" si="42"/>
        <v>0.2</v>
      </c>
      <c r="M673" s="17" t="s">
        <v>292</v>
      </c>
      <c r="N673" s="17"/>
    </row>
    <row r="674" spans="1:14" ht="12.75" customHeight="1" x14ac:dyDescent="0.3">
      <c r="A674" s="17"/>
      <c r="B674" s="17"/>
      <c r="C674" s="38" t="s">
        <v>2555</v>
      </c>
      <c r="D674" s="17"/>
      <c r="E674" s="17"/>
      <c r="F674" s="17"/>
      <c r="G674" s="146" t="s">
        <v>3296</v>
      </c>
      <c r="H674" s="38" t="s">
        <v>1010</v>
      </c>
      <c r="I674" s="281"/>
      <c r="J674" s="294" t="str">
        <f>IF(ISBLANK(HLOOKUP(CaseName,CaseData,MATCH($G674,cases!$G$4:$G$2494,0),FALSE)),"",HLOOKUP(CaseName,CaseData,MATCH($G674,cases!$G$4:$G$2494,0),FALSE))</f>
        <v/>
      </c>
      <c r="K674" s="405">
        <v>0.2</v>
      </c>
      <c r="L674" s="298">
        <f t="shared" si="42"/>
        <v>0.2</v>
      </c>
      <c r="M674" s="17" t="s">
        <v>292</v>
      </c>
      <c r="N674" s="17"/>
    </row>
    <row r="675" spans="1:14" ht="12.75" customHeight="1" x14ac:dyDescent="0.3">
      <c r="A675" s="17"/>
      <c r="B675" s="17"/>
      <c r="C675" s="38" t="s">
        <v>2557</v>
      </c>
      <c r="D675" s="17"/>
      <c r="E675" s="17"/>
      <c r="F675" s="17"/>
      <c r="G675" s="146" t="s">
        <v>3297</v>
      </c>
      <c r="H675" s="38" t="s">
        <v>1010</v>
      </c>
      <c r="I675" s="281"/>
      <c r="J675" s="294" t="str">
        <f>IF(ISBLANK(HLOOKUP(CaseName,CaseData,MATCH($G675,cases!$G$4:$G$2494,0),FALSE)),"",HLOOKUP(CaseName,CaseData,MATCH($G675,cases!$G$4:$G$2494,0),FALSE))</f>
        <v/>
      </c>
      <c r="K675" s="428">
        <f>1-L673-L674</f>
        <v>0.60000000000000009</v>
      </c>
      <c r="L675" s="298">
        <f t="shared" si="42"/>
        <v>0.60000000000000009</v>
      </c>
      <c r="M675" s="17" t="s">
        <v>292</v>
      </c>
      <c r="N675" s="17"/>
    </row>
    <row r="676" spans="1:14" ht="12.75" customHeight="1" x14ac:dyDescent="0.3">
      <c r="A676" s="38"/>
      <c r="B676" s="17"/>
      <c r="C676" s="38" t="s">
        <v>1035</v>
      </c>
      <c r="D676" s="146"/>
      <c r="E676" s="146"/>
      <c r="F676" s="146"/>
      <c r="G676" s="146" t="s">
        <v>3298</v>
      </c>
      <c r="H676" s="38" t="s">
        <v>1010</v>
      </c>
      <c r="I676" s="281"/>
      <c r="J676" s="294" t="str">
        <f>IF(ISBLANK(HLOOKUP(CaseName,CaseData,MATCH($G676,cases!$G$4:$G$2494,0),FALSE)),"",HLOOKUP(CaseName,CaseData,MATCH($G676,cases!$G$4:$G$2494,0),FALSE))</f>
        <v/>
      </c>
      <c r="K676" s="405">
        <v>0.8</v>
      </c>
      <c r="L676" s="298">
        <f t="shared" si="42"/>
        <v>0.8</v>
      </c>
      <c r="M676" s="38" t="s">
        <v>292</v>
      </c>
      <c r="N676" s="17"/>
    </row>
    <row r="677" spans="1:14" ht="12.75" customHeight="1" x14ac:dyDescent="0.3">
      <c r="A677" s="38"/>
      <c r="B677" s="17"/>
      <c r="C677" s="38" t="s">
        <v>1037</v>
      </c>
      <c r="D677" s="146"/>
      <c r="E677" s="146"/>
      <c r="F677" s="146"/>
      <c r="G677" s="146" t="s">
        <v>3299</v>
      </c>
      <c r="H677" s="38" t="s">
        <v>1010</v>
      </c>
      <c r="I677" s="281"/>
      <c r="J677" s="294" t="str">
        <f>IF(ISBLANK(HLOOKUP(CaseName,CaseData,MATCH($G677,cases!$G$4:$G$2494,0),FALSE)),"",HLOOKUP(CaseName,CaseData,MATCH($G677,cases!$G$4:$G$2494,0),FALSE))</f>
        <v/>
      </c>
      <c r="K677" s="428">
        <f>1-L676</f>
        <v>0.19999999999999996</v>
      </c>
      <c r="L677" s="298">
        <f t="shared" si="42"/>
        <v>0.19999999999999996</v>
      </c>
      <c r="M677" s="38" t="s">
        <v>292</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3300</v>
      </c>
      <c r="B679" s="17"/>
      <c r="C679" s="17"/>
      <c r="D679" s="17"/>
      <c r="E679" s="17"/>
      <c r="F679" s="17"/>
      <c r="G679" s="38" t="s">
        <v>3301</v>
      </c>
      <c r="H679" s="38" t="s">
        <v>617</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1041</v>
      </c>
      <c r="N679" s="17"/>
    </row>
    <row r="680" spans="1:14" ht="12.75" customHeight="1" x14ac:dyDescent="0.3">
      <c r="A680" s="38"/>
      <c r="B680" s="38"/>
      <c r="C680" s="38" t="s">
        <v>3302</v>
      </c>
      <c r="D680" s="17"/>
      <c r="E680" s="17"/>
      <c r="F680" s="17"/>
      <c r="G680" s="38" t="s">
        <v>3303</v>
      </c>
      <c r="H680" s="17" t="s">
        <v>1044</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1045</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3304</v>
      </c>
      <c r="B682" s="17"/>
      <c r="C682" s="17"/>
      <c r="D682" s="17"/>
      <c r="E682" s="17"/>
      <c r="F682" s="17"/>
      <c r="G682" s="38" t="s">
        <v>3305</v>
      </c>
      <c r="H682" s="38" t="s">
        <v>617</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1041</v>
      </c>
      <c r="N682" s="17"/>
    </row>
    <row r="683" spans="1:14" ht="12.75" customHeight="1" x14ac:dyDescent="0.3">
      <c r="A683" s="38" t="s">
        <v>3306</v>
      </c>
      <c r="B683" s="17"/>
      <c r="C683" s="17"/>
      <c r="D683" s="17"/>
      <c r="E683" s="17"/>
      <c r="F683" s="17"/>
      <c r="G683" s="38" t="s">
        <v>3307</v>
      </c>
      <c r="H683" s="38" t="s">
        <v>617</v>
      </c>
      <c r="I683" s="276"/>
      <c r="J683" s="294" t="str">
        <f>IF(ISBLANK(HLOOKUP(CaseName,CaseData,MATCH($G683,cases!$G$4:$G$2494,0),FALSE)),"",HLOOKUP(CaseName,CaseData,MATCH($G683,cases!$G$4:$G$2494,0),FALSE))</f>
        <v/>
      </c>
      <c r="K683" s="435">
        <v>0</v>
      </c>
      <c r="L683" s="298">
        <f t="shared" si="43"/>
        <v>0</v>
      </c>
      <c r="M683" s="17" t="s">
        <v>1041</v>
      </c>
      <c r="N683" s="17"/>
    </row>
    <row r="684" spans="1:14" ht="12.75" customHeight="1" x14ac:dyDescent="0.3">
      <c r="A684" s="38"/>
      <c r="B684" s="38" t="s">
        <v>3308</v>
      </c>
      <c r="C684" s="17"/>
      <c r="D684" s="17"/>
      <c r="E684" s="17"/>
      <c r="F684" s="17"/>
      <c r="G684" s="146" t="s">
        <v>3309</v>
      </c>
      <c r="H684" s="17" t="s">
        <v>1058</v>
      </c>
      <c r="I684" s="281"/>
      <c r="J684" s="294" t="str">
        <f>IF(ISBLANK(HLOOKUP(CaseName,CaseData,MATCH($G684,cases!$G$4:$G$2494,0),FALSE)),"",HLOOKUP(CaseName,CaseData,MATCH($G684,cases!$G$4:$G$2494,0),FALSE))</f>
        <v/>
      </c>
      <c r="K684" s="435">
        <f>L40</f>
        <v>150000000</v>
      </c>
      <c r="L684" s="298">
        <f t="shared" si="43"/>
        <v>150000000</v>
      </c>
      <c r="M684" s="17" t="s">
        <v>1059</v>
      </c>
      <c r="N684" s="17"/>
    </row>
    <row r="685" spans="1:14" ht="12.75" customHeight="1" x14ac:dyDescent="0.3">
      <c r="A685" s="38" t="s">
        <v>2992</v>
      </c>
      <c r="B685" s="17"/>
      <c r="C685" s="17"/>
      <c r="D685" s="17"/>
      <c r="E685" s="17"/>
      <c r="F685" s="17"/>
      <c r="G685" s="38" t="s">
        <v>3310</v>
      </c>
      <c r="H685" s="38" t="s">
        <v>617</v>
      </c>
      <c r="I685" s="276"/>
      <c r="J685" s="294" t="str">
        <f>IF(ISBLANK(HLOOKUP(CaseName,CaseData,MATCH($G685,cases!$G$4:$G$2494,0),FALSE)),"",HLOOKUP(CaseName,CaseData,MATCH($G685,cases!$G$4:$G$2494,0),FALSE))</f>
        <v/>
      </c>
      <c r="K685" s="435">
        <f>(L40+L687)/L658</f>
        <v>2.2724443312678606E-7</v>
      </c>
      <c r="L685" s="298">
        <f t="shared" si="43"/>
        <v>2.2724443312678606E-7</v>
      </c>
      <c r="M685" s="17" t="s">
        <v>1041</v>
      </c>
      <c r="N685" s="17"/>
    </row>
    <row r="686" spans="1:14" ht="12.75" customHeight="1" x14ac:dyDescent="0.3">
      <c r="A686" s="38" t="s">
        <v>2994</v>
      </c>
      <c r="B686" s="17"/>
      <c r="C686" s="17"/>
      <c r="D686" s="17"/>
      <c r="E686" s="17"/>
      <c r="F686" s="17"/>
      <c r="G686" s="38" t="s">
        <v>3311</v>
      </c>
      <c r="H686" s="38" t="s">
        <v>617</v>
      </c>
      <c r="I686" s="276"/>
      <c r="J686" s="294" t="str">
        <f>IF(ISBLANK(HLOOKUP(CaseName,CaseData,MATCH($G686,cases!$G$4:$G$2494,0),FALSE)),"",HLOOKUP(CaseName,CaseData,MATCH($G686,cases!$G$4:$G$2494,0),FALSE))</f>
        <v/>
      </c>
      <c r="K686" s="435">
        <f>(L40+L687)/L659</f>
        <v>7.5748144375595357E-9</v>
      </c>
      <c r="L686" s="298">
        <f t="shared" si="43"/>
        <v>7.5748144375595357E-9</v>
      </c>
      <c r="M686" s="17" t="s">
        <v>1041</v>
      </c>
      <c r="N686" s="17"/>
    </row>
    <row r="687" spans="1:14" ht="12.75" customHeight="1" x14ac:dyDescent="0.3">
      <c r="A687" s="38"/>
      <c r="B687" s="17" t="s">
        <v>2589</v>
      </c>
      <c r="C687" s="17"/>
      <c r="D687" s="17"/>
      <c r="E687" s="17"/>
      <c r="F687" s="17"/>
      <c r="G687" s="38" t="s">
        <v>3312</v>
      </c>
      <c r="H687" s="17" t="s">
        <v>1058</v>
      </c>
      <c r="I687" s="276"/>
      <c r="J687" s="294" t="str">
        <f>IF(ISBLANK(HLOOKUP(CaseName,CaseData,MATCH($G687,cases!$G$4:$G$2494,0),FALSE)),"",HLOOKUP(CaseName,CaseData,MATCH($G687,cases!$G$4:$G$2494,0),FALSE))</f>
        <v/>
      </c>
      <c r="K687" s="428">
        <f>L658/L688</f>
        <v>1878156565.6565654</v>
      </c>
      <c r="L687" s="298">
        <f t="shared" si="43"/>
        <v>1878156565.6565654</v>
      </c>
      <c r="M687" s="17" t="s">
        <v>1059</v>
      </c>
      <c r="N687" s="17"/>
    </row>
    <row r="688" spans="1:14" ht="12.75" customHeight="1" x14ac:dyDescent="0.3">
      <c r="A688" s="38"/>
      <c r="B688" s="38"/>
      <c r="C688" s="17" t="s">
        <v>2591</v>
      </c>
      <c r="D688" s="17"/>
      <c r="E688" s="17"/>
      <c r="F688" s="17"/>
      <c r="G688" s="38" t="s">
        <v>3313</v>
      </c>
      <c r="H688" s="17" t="s">
        <v>1044</v>
      </c>
      <c r="I688" s="276"/>
      <c r="J688" s="294" t="str">
        <f>IF(ISBLANK(HLOOKUP(CaseName,CaseData,MATCH($G688,cases!$G$4:$G$2494,0),FALSE)),"",HLOOKUP(CaseName,CaseData,MATCH($G688,cases!$G$4:$G$2494,0),FALSE))</f>
        <v/>
      </c>
      <c r="K688" s="428">
        <v>55</v>
      </c>
      <c r="L688" s="298">
        <f>IF(ISBLANK(I688),IF(ISNUMBER(J688)=FALSE,K688*(3600*24),J688*(3600*24)),I688*(3600*24))</f>
        <v>4752000</v>
      </c>
      <c r="M688" s="38" t="s">
        <v>1045</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2010</v>
      </c>
      <c r="B690" s="147"/>
      <c r="C690" s="147"/>
      <c r="D690" s="147"/>
      <c r="E690" s="147"/>
      <c r="F690" s="147"/>
      <c r="G690" s="148" t="s">
        <v>258</v>
      </c>
      <c r="H690" s="148" t="s">
        <v>274</v>
      </c>
      <c r="I690" s="147" t="s">
        <v>259</v>
      </c>
      <c r="J690" s="271" t="s">
        <v>2953</v>
      </c>
      <c r="K690" s="331" t="s">
        <v>260</v>
      </c>
      <c r="L690" s="331" t="s">
        <v>261</v>
      </c>
      <c r="M690" s="147"/>
      <c r="N690" s="148" t="s">
        <v>262</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2593</v>
      </c>
      <c r="C692" s="38"/>
      <c r="D692" s="38"/>
      <c r="E692" s="38"/>
      <c r="F692" s="38"/>
      <c r="G692" s="38" t="s">
        <v>3314</v>
      </c>
      <c r="H692" s="38" t="s">
        <v>291</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292</v>
      </c>
      <c r="N692" s="38"/>
    </row>
    <row r="693" spans="1:14" ht="12.75" customHeight="1" x14ac:dyDescent="0.3">
      <c r="A693" s="17"/>
      <c r="B693" s="17" t="s">
        <v>2013</v>
      </c>
      <c r="C693" s="17"/>
      <c r="D693" s="17"/>
      <c r="E693" s="17"/>
      <c r="F693" s="17"/>
      <c r="G693" s="17" t="s">
        <v>3315</v>
      </c>
      <c r="H693" s="17" t="s">
        <v>291</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292</v>
      </c>
      <c r="N693" s="17" t="s">
        <v>1073</v>
      </c>
    </row>
    <row r="694" spans="1:14" ht="12.75" customHeight="1" x14ac:dyDescent="0.3">
      <c r="A694" s="17"/>
      <c r="B694" s="17" t="s">
        <v>2015</v>
      </c>
      <c r="C694" s="17"/>
      <c r="D694" s="17"/>
      <c r="E694" s="17"/>
      <c r="F694" s="17"/>
      <c r="G694" s="17" t="s">
        <v>3316</v>
      </c>
      <c r="H694" s="17" t="s">
        <v>291</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292</v>
      </c>
      <c r="N694" s="17" t="s">
        <v>1073</v>
      </c>
    </row>
    <row r="695" spans="1:14" ht="12.75" customHeight="1" x14ac:dyDescent="0.3">
      <c r="A695" s="17"/>
      <c r="B695" s="17"/>
      <c r="C695" s="38" t="s">
        <v>2017</v>
      </c>
      <c r="D695" s="38"/>
      <c r="E695" s="38"/>
      <c r="F695" s="38"/>
      <c r="G695" s="38" t="s">
        <v>3317</v>
      </c>
      <c r="H695" s="38" t="s">
        <v>291</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292</v>
      </c>
      <c r="N695" s="17"/>
    </row>
    <row r="696" spans="1:14" ht="12.75" customHeight="1" x14ac:dyDescent="0.3">
      <c r="A696" s="38"/>
      <c r="B696" s="38"/>
      <c r="C696" s="38" t="s">
        <v>3318</v>
      </c>
      <c r="D696" s="38"/>
      <c r="E696" s="38"/>
      <c r="F696" s="38"/>
      <c r="G696" s="38" t="s">
        <v>3319</v>
      </c>
      <c r="H696" s="38" t="s">
        <v>585</v>
      </c>
      <c r="I696" s="281"/>
      <c r="J696" s="294" t="str">
        <f>IF(ISBLANK(HLOOKUP(CaseName,CaseData,MATCH($G696,cases!$G$4:$G$2494,0),FALSE)),"",HLOOKUP(CaseName,CaseData,MATCH($G696,cases!$G$4:$G$2494,0),FALSE))</f>
        <v/>
      </c>
      <c r="K696" s="436">
        <v>25</v>
      </c>
      <c r="L696" s="298">
        <f>IF(ISBLANK(I696),IF(ISNUMBER(J696)=FALSE,K696+273,J696+273),I696+273)</f>
        <v>298</v>
      </c>
      <c r="M696" s="38" t="s">
        <v>586</v>
      </c>
      <c r="N696" s="17"/>
    </row>
    <row r="697" spans="1:14" ht="12.75" customHeight="1" x14ac:dyDescent="0.4">
      <c r="A697" s="17"/>
      <c r="B697" s="17"/>
      <c r="C697" s="17" t="s">
        <v>2019</v>
      </c>
      <c r="D697" s="17"/>
      <c r="E697" s="17"/>
      <c r="F697" s="17"/>
      <c r="G697" s="17" t="s">
        <v>3320</v>
      </c>
      <c r="H697" s="17" t="s">
        <v>1081</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2601</v>
      </c>
      <c r="N697" s="17"/>
    </row>
    <row r="698" spans="1:14" ht="12.75" customHeight="1" x14ac:dyDescent="0.4">
      <c r="A698" s="17"/>
      <c r="B698" s="17"/>
      <c r="C698" s="17" t="s">
        <v>2021</v>
      </c>
      <c r="D698" s="17"/>
      <c r="E698" s="17"/>
      <c r="F698" s="17"/>
      <c r="G698" s="17" t="s">
        <v>3321</v>
      </c>
      <c r="H698" s="17" t="s">
        <v>1084</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2603</v>
      </c>
      <c r="N698" s="17" t="s">
        <v>1085</v>
      </c>
    </row>
    <row r="699" spans="1:14" ht="12.75" customHeight="1" x14ac:dyDescent="0.3">
      <c r="A699" s="38"/>
      <c r="B699" s="38" t="s">
        <v>2604</v>
      </c>
      <c r="C699" s="146"/>
      <c r="D699" s="17"/>
      <c r="E699" s="17"/>
      <c r="F699" s="17"/>
      <c r="G699" s="38" t="s">
        <v>3322</v>
      </c>
      <c r="H699" s="38" t="s">
        <v>291</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292</v>
      </c>
      <c r="N699" s="17"/>
    </row>
    <row r="700" spans="1:14" ht="12.75" customHeight="1" x14ac:dyDescent="0.3">
      <c r="A700" s="38"/>
      <c r="B700" s="38" t="s">
        <v>2606</v>
      </c>
      <c r="C700" s="146"/>
      <c r="D700" s="17"/>
      <c r="E700" s="17"/>
      <c r="F700" s="17"/>
      <c r="G700" s="38" t="s">
        <v>3323</v>
      </c>
      <c r="H700" s="38" t="s">
        <v>291</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292</v>
      </c>
      <c r="N700" s="17"/>
    </row>
    <row r="701" spans="1:14" ht="12.75" customHeight="1" x14ac:dyDescent="0.3">
      <c r="A701" s="38"/>
      <c r="B701" s="17"/>
      <c r="C701" s="38" t="s">
        <v>2608</v>
      </c>
      <c r="D701" s="17"/>
      <c r="E701" s="17"/>
      <c r="F701" s="17"/>
      <c r="G701" s="146" t="s">
        <v>3324</v>
      </c>
      <c r="H701" s="38" t="s">
        <v>1090</v>
      </c>
      <c r="I701" s="281"/>
      <c r="J701" s="294" t="str">
        <f>IF(ISBLANK(HLOOKUP(CaseName,CaseData,MATCH($G701,cases!$G$4:$G$2494,0),FALSE)),"",HLOOKUP(CaseName,CaseData,MATCH($G701,cases!$G$4:$G$2494,0),FALSE))</f>
        <v/>
      </c>
      <c r="K701" s="428">
        <f>(FRorig.w2*Ksw+(1-FRorig.w2)*Ksw.alt)*(1000/RHOsolid/CORG)*L703</f>
        <v>95000</v>
      </c>
      <c r="L701" s="298">
        <f t="shared" si="44"/>
        <v>95000</v>
      </c>
      <c r="M701" s="38" t="s">
        <v>1091</v>
      </c>
      <c r="N701" s="17"/>
    </row>
    <row r="702" spans="1:14" ht="12.75" customHeight="1" x14ac:dyDescent="0.3">
      <c r="A702" s="38"/>
      <c r="B702" s="17"/>
      <c r="C702" s="38" t="s">
        <v>2610</v>
      </c>
      <c r="D702" s="17"/>
      <c r="E702" s="17"/>
      <c r="F702" s="17"/>
      <c r="G702" s="146" t="s">
        <v>3325</v>
      </c>
      <c r="H702" s="38" t="s">
        <v>1090</v>
      </c>
      <c r="I702" s="281"/>
      <c r="J702" s="294" t="str">
        <f>IF(ISBLANK(HLOOKUP(CaseName,CaseData,MATCH($G702,cases!$G$4:$G$2494,0),FALSE)),"",HLOOKUP(CaseName,CaseData,MATCH($G702,cases!$G$4:$G$2494,0),FALSE))</f>
        <v/>
      </c>
      <c r="K702" s="428">
        <f>(FRorig.w2*Ksw+(1-FRorig.w2)*Ksw.alt)*(1000/RHOsolid/CORG)*L704</f>
        <v>95000</v>
      </c>
      <c r="L702" s="298">
        <f t="shared" si="44"/>
        <v>95000</v>
      </c>
      <c r="M702" s="38" t="s">
        <v>1091</v>
      </c>
      <c r="N702" s="17"/>
    </row>
    <row r="703" spans="1:14" ht="12.75" customHeight="1" x14ac:dyDescent="0.3">
      <c r="A703" s="38"/>
      <c r="B703" s="17"/>
      <c r="C703" s="38" t="s">
        <v>2612</v>
      </c>
      <c r="D703" s="17"/>
      <c r="E703" s="17"/>
      <c r="F703" s="17"/>
      <c r="G703" s="146" t="s">
        <v>3326</v>
      </c>
      <c r="H703" s="38" t="s">
        <v>291</v>
      </c>
      <c r="I703" s="281"/>
      <c r="J703" s="294" t="str">
        <f>IF(ISBLANK(HLOOKUP(CaseName,CaseData,MATCH($G703,cases!$G$4:$G$2494,0),FALSE)),"",HLOOKUP(CaseName,CaseData,MATCH($G703,cases!$G$4:$G$2494,0),FALSE))</f>
        <v/>
      </c>
      <c r="K703" s="436">
        <v>0.1</v>
      </c>
      <c r="L703" s="298">
        <f t="shared" si="44"/>
        <v>0.1</v>
      </c>
      <c r="M703" s="38" t="s">
        <v>292</v>
      </c>
      <c r="N703" s="17"/>
    </row>
    <row r="704" spans="1:14" ht="12.75" customHeight="1" x14ac:dyDescent="0.3">
      <c r="A704" s="38"/>
      <c r="B704" s="17"/>
      <c r="C704" s="38" t="s">
        <v>2614</v>
      </c>
      <c r="D704" s="17"/>
      <c r="E704" s="17"/>
      <c r="F704" s="17"/>
      <c r="G704" s="146" t="s">
        <v>3327</v>
      </c>
      <c r="H704" s="38" t="s">
        <v>291</v>
      </c>
      <c r="I704" s="281"/>
      <c r="J704" s="294" t="str">
        <f>IF(ISBLANK(HLOOKUP(CaseName,CaseData,MATCH($G704,cases!$G$4:$G$2494,0),FALSE)),"",HLOOKUP(CaseName,CaseData,MATCH($G704,cases!$G$4:$G$2494,0),FALSE))</f>
        <v/>
      </c>
      <c r="K704" s="436">
        <v>0.1</v>
      </c>
      <c r="L704" s="298">
        <f t="shared" si="44"/>
        <v>0.1</v>
      </c>
      <c r="M704" s="38" t="s">
        <v>292</v>
      </c>
      <c r="N704" s="17"/>
    </row>
    <row r="705" spans="1:14" ht="12.75" customHeight="1" x14ac:dyDescent="0.3">
      <c r="A705" s="38"/>
      <c r="B705" s="17"/>
      <c r="C705" s="38" t="s">
        <v>2616</v>
      </c>
      <c r="D705" s="17"/>
      <c r="E705" s="17"/>
      <c r="F705" s="17"/>
      <c r="G705" s="146" t="s">
        <v>3328</v>
      </c>
      <c r="H705" s="38" t="s">
        <v>579</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717</v>
      </c>
      <c r="N705" s="17"/>
    </row>
    <row r="706" spans="1:14" ht="12.75" customHeight="1" x14ac:dyDescent="0.3">
      <c r="A706" s="38"/>
      <c r="B706" s="17"/>
      <c r="C706" s="38" t="s">
        <v>2618</v>
      </c>
      <c r="D706" s="17"/>
      <c r="E706" s="17"/>
      <c r="F706" s="17"/>
      <c r="G706" s="146" t="s">
        <v>3329</v>
      </c>
      <c r="H706" s="38" t="s">
        <v>579</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717</v>
      </c>
      <c r="N706" s="17"/>
    </row>
    <row r="707" spans="1:14" ht="12.75" customHeight="1" x14ac:dyDescent="0.3">
      <c r="A707" s="38"/>
      <c r="B707" s="17"/>
      <c r="C707" s="38" t="s">
        <v>2620</v>
      </c>
      <c r="D707" s="17"/>
      <c r="E707" s="17"/>
      <c r="F707" s="17"/>
      <c r="G707" s="146" t="s">
        <v>3330</v>
      </c>
      <c r="H707" s="38" t="s">
        <v>1096</v>
      </c>
      <c r="I707" s="274"/>
      <c r="J707" s="294" t="str">
        <f>IF(ISBLANK(HLOOKUP(CaseName,CaseData,MATCH($G707,cases!$G$4:$G$2494,0),FALSE)),"",HLOOKUP(CaseName,CaseData,MATCH($G707,cases!$G$4:$G$2494,0),FALSE))</f>
        <v/>
      </c>
      <c r="K707" s="428">
        <f>0.08*D</f>
        <v>220</v>
      </c>
      <c r="L707" s="298">
        <f>IF(ISBLANK(I707),IF(ISNUMBER(J707)=FALSE,K707,J707),I707)</f>
        <v>220</v>
      </c>
      <c r="M707" s="38" t="s">
        <v>1091</v>
      </c>
      <c r="N707" s="17"/>
    </row>
    <row r="708" spans="1:14" ht="12.75" customHeight="1" x14ac:dyDescent="0.3">
      <c r="A708" s="38"/>
      <c r="B708" s="17"/>
      <c r="C708" s="38" t="s">
        <v>2622</v>
      </c>
      <c r="D708" s="17"/>
      <c r="E708" s="17"/>
      <c r="F708" s="17"/>
      <c r="G708" s="146" t="s">
        <v>3331</v>
      </c>
      <c r="H708" s="38" t="s">
        <v>1096</v>
      </c>
      <c r="I708" s="274"/>
      <c r="J708" s="294" t="str">
        <f>IF(ISBLANK(HLOOKUP(CaseName,CaseData,MATCH($G708,cases!$G$4:$G$2494,0),FALSE)),"",HLOOKUP(CaseName,CaseData,MATCH($G708,cases!$G$4:$G$2494,0),FALSE))</f>
        <v/>
      </c>
      <c r="K708" s="428">
        <f>0.08*D</f>
        <v>220</v>
      </c>
      <c r="L708" s="298">
        <f>IF(ISBLANK(I708),IF(ISNUMBER(J708)=FALSE,K708,J708),I708)</f>
        <v>220</v>
      </c>
      <c r="M708" s="38" t="s">
        <v>1091</v>
      </c>
      <c r="N708" s="17"/>
    </row>
    <row r="709" spans="1:14" ht="12.75" customHeight="1" x14ac:dyDescent="0.3">
      <c r="A709" s="38"/>
      <c r="B709" s="17"/>
      <c r="C709" s="38" t="s">
        <v>2624</v>
      </c>
      <c r="D709" s="17"/>
      <c r="E709" s="17"/>
      <c r="F709" s="17"/>
      <c r="G709" s="146" t="s">
        <v>3332</v>
      </c>
      <c r="H709" s="38" t="s">
        <v>716</v>
      </c>
      <c r="I709" s="274"/>
      <c r="J709" s="294" t="str">
        <f>IF(ISBLANK(HLOOKUP(CaseName,CaseData,MATCH($G709,cases!$G$4:$G$2494,0),FALSE)),"",HLOOKUP(CaseName,CaseData,MATCH($G709,cases!$G$4:$G$2494,0),FALSE))</f>
        <v/>
      </c>
      <c r="K709" s="428">
        <v>1</v>
      </c>
      <c r="L709" s="298">
        <f>IF(ISBLANK(I709),IF(ISNUMBER(J709)=FALSE,K709/1000,J709/1000),I709/1000)</f>
        <v>1E-3</v>
      </c>
      <c r="M709" s="38" t="s">
        <v>717</v>
      </c>
      <c r="N709" s="17"/>
    </row>
    <row r="710" spans="1:14" ht="12.75" customHeight="1" x14ac:dyDescent="0.3">
      <c r="A710" s="38"/>
      <c r="B710" s="17"/>
      <c r="C710" s="38" t="s">
        <v>2626</v>
      </c>
      <c r="D710" s="17"/>
      <c r="E710" s="17"/>
      <c r="F710" s="17"/>
      <c r="G710" s="146" t="s">
        <v>3333</v>
      </c>
      <c r="H710" s="38" t="s">
        <v>716</v>
      </c>
      <c r="I710" s="274"/>
      <c r="J710" s="294" t="str">
        <f>IF(ISBLANK(HLOOKUP(CaseName,CaseData,MATCH($G710,cases!$G$4:$G$2494,0),FALSE)),"",HLOOKUP(CaseName,CaseData,MATCH($G710,cases!$G$4:$G$2494,0),FALSE))</f>
        <v/>
      </c>
      <c r="K710" s="428">
        <v>1</v>
      </c>
      <c r="L710" s="298">
        <f>IF(ISBLANK(I710),IF(ISNUMBER(J710)=FALSE,K710/1000,J710/1000),I710/1000)</f>
        <v>1E-3</v>
      </c>
      <c r="M710" s="38" t="s">
        <v>717</v>
      </c>
      <c r="N710" s="17"/>
    </row>
    <row r="711" spans="1:14" ht="12.75" customHeight="1" x14ac:dyDescent="0.3">
      <c r="A711" s="38"/>
      <c r="B711" s="38" t="s">
        <v>2628</v>
      </c>
      <c r="C711" s="146"/>
      <c r="D711" s="17"/>
      <c r="E711" s="17"/>
      <c r="F711" s="17"/>
      <c r="G711" s="146" t="s">
        <v>3334</v>
      </c>
      <c r="H711" s="38" t="s">
        <v>291</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292</v>
      </c>
      <c r="N711" s="17"/>
    </row>
    <row r="712" spans="1:14" ht="12.75" customHeight="1" x14ac:dyDescent="0.3">
      <c r="A712" s="38"/>
      <c r="B712" s="17"/>
      <c r="C712" s="38" t="s">
        <v>2630</v>
      </c>
      <c r="D712" s="17"/>
      <c r="E712" s="17"/>
      <c r="F712" s="17"/>
      <c r="G712" s="146" t="s">
        <v>3335</v>
      </c>
      <c r="H712" s="38" t="s">
        <v>1090</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1091</v>
      </c>
      <c r="N712" s="17"/>
    </row>
    <row r="713" spans="1:14" ht="12.75" customHeight="1" x14ac:dyDescent="0.3">
      <c r="A713" s="38"/>
      <c r="B713" s="17"/>
      <c r="C713" s="38" t="s">
        <v>2632</v>
      </c>
      <c r="D713" s="17"/>
      <c r="E713" s="17"/>
      <c r="F713" s="17"/>
      <c r="G713" s="146" t="s">
        <v>3336</v>
      </c>
      <c r="H713" s="38" t="s">
        <v>291</v>
      </c>
      <c r="I713" s="281"/>
      <c r="J713" s="294" t="str">
        <f>IF(ISBLANK(HLOOKUP(CaseName,CaseData,MATCH($G713,cases!$G$4:$G$2494,0),FALSE)),"",HLOOKUP(CaseName,CaseData,MATCH($G713,cases!$G$4:$G$2494,0),FALSE))</f>
        <v/>
      </c>
      <c r="K713" s="428">
        <v>0.05</v>
      </c>
      <c r="L713" s="298">
        <f t="shared" si="45"/>
        <v>0.05</v>
      </c>
      <c r="M713" s="38" t="s">
        <v>292</v>
      </c>
      <c r="N713" s="17"/>
    </row>
    <row r="714" spans="1:14" ht="12.75" customHeight="1" x14ac:dyDescent="0.3">
      <c r="A714" s="38"/>
      <c r="B714" s="38" t="s">
        <v>2634</v>
      </c>
      <c r="C714" s="146"/>
      <c r="D714" s="17"/>
      <c r="E714" s="17"/>
      <c r="F714" s="17"/>
      <c r="G714" s="146" t="s">
        <v>3337</v>
      </c>
      <c r="H714" s="38" t="s">
        <v>291</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292</v>
      </c>
      <c r="N714" s="17"/>
    </row>
    <row r="715" spans="1:14" ht="12.75" customHeight="1" x14ac:dyDescent="0.3">
      <c r="A715" s="38"/>
      <c r="B715" s="38" t="s">
        <v>2636</v>
      </c>
      <c r="C715" s="146"/>
      <c r="D715" s="17"/>
      <c r="E715" s="17"/>
      <c r="F715" s="17"/>
      <c r="G715" s="146" t="s">
        <v>3338</v>
      </c>
      <c r="H715" s="38" t="s">
        <v>291</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292</v>
      </c>
      <c r="N715" s="17"/>
    </row>
    <row r="716" spans="1:14" ht="12.75" customHeight="1" x14ac:dyDescent="0.3">
      <c r="A716" s="38"/>
      <c r="B716" s="38" t="s">
        <v>2638</v>
      </c>
      <c r="C716" s="146"/>
      <c r="D716" s="17"/>
      <c r="E716" s="17"/>
      <c r="F716" s="17"/>
      <c r="G716" s="146" t="s">
        <v>3339</v>
      </c>
      <c r="H716" s="38" t="s">
        <v>291</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292</v>
      </c>
      <c r="N716" s="17"/>
    </row>
    <row r="717" spans="1:14" ht="12.75" customHeight="1" x14ac:dyDescent="0.3">
      <c r="A717" s="38"/>
      <c r="B717" s="17"/>
      <c r="C717" s="38" t="s">
        <v>2640</v>
      </c>
      <c r="D717" s="17"/>
      <c r="E717" s="17"/>
      <c r="F717" s="17"/>
      <c r="G717" s="146" t="s">
        <v>3340</v>
      </c>
      <c r="H717" s="38" t="s">
        <v>1090</v>
      </c>
      <c r="I717" s="281"/>
      <c r="J717" s="294" t="str">
        <f>IF(ISBLANK(HLOOKUP(CaseName,CaseData,MATCH($G717,cases!$G$4:$G$2494,0),FALSE)),"",HLOOKUP(CaseName,CaseData,MATCH($G717,cases!$G$4:$G$2494,0),FALSE))</f>
        <v/>
      </c>
      <c r="K717" s="428">
        <f>(FRorig.s1*Ksw+(1-FRorig.s1)*Ksw.alt)*(1000/RHOsolid/CORG)*L718</f>
        <v>19000</v>
      </c>
      <c r="L717" s="298">
        <f t="shared" si="45"/>
        <v>19000</v>
      </c>
      <c r="M717" s="38" t="s">
        <v>1091</v>
      </c>
      <c r="N717" s="17"/>
    </row>
    <row r="718" spans="1:14" ht="12.75" customHeight="1" x14ac:dyDescent="0.3">
      <c r="A718" s="38"/>
      <c r="B718" s="17"/>
      <c r="C718" s="38" t="s">
        <v>2642</v>
      </c>
      <c r="D718" s="17"/>
      <c r="E718" s="17"/>
      <c r="F718" s="17"/>
      <c r="G718" s="146" t="s">
        <v>3341</v>
      </c>
      <c r="H718" s="38" t="s">
        <v>291</v>
      </c>
      <c r="I718" s="281"/>
      <c r="J718" s="294" t="str">
        <f>IF(ISBLANK(HLOOKUP(CaseName,CaseData,MATCH($G718,cases!$G$4:$G$2494,0),FALSE)),"",HLOOKUP(CaseName,CaseData,MATCH($G718,cases!$G$4:$G$2494,0),FALSE))</f>
        <v/>
      </c>
      <c r="K718" s="428">
        <v>0.02</v>
      </c>
      <c r="L718" s="298">
        <f t="shared" si="45"/>
        <v>0.02</v>
      </c>
      <c r="M718" s="17" t="s">
        <v>292</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1155</v>
      </c>
      <c r="B720" s="147"/>
      <c r="C720" s="147"/>
      <c r="D720" s="147"/>
      <c r="E720" s="147"/>
      <c r="F720" s="147"/>
      <c r="G720" s="148" t="s">
        <v>258</v>
      </c>
      <c r="H720" s="148" t="s">
        <v>274</v>
      </c>
      <c r="I720" s="147" t="s">
        <v>259</v>
      </c>
      <c r="J720" s="271" t="s">
        <v>2953</v>
      </c>
      <c r="K720" s="331" t="s">
        <v>260</v>
      </c>
      <c r="L720" s="331" t="s">
        <v>261</v>
      </c>
      <c r="M720" s="147"/>
      <c r="N720" s="148" t="s">
        <v>262</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2644</v>
      </c>
      <c r="B722" s="17"/>
      <c r="C722" s="17"/>
      <c r="D722" s="17"/>
      <c r="E722" s="17"/>
      <c r="F722" s="17"/>
      <c r="G722" s="38" t="s">
        <v>3342</v>
      </c>
      <c r="H722" s="38" t="s">
        <v>617</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1041</v>
      </c>
      <c r="N722" s="17"/>
    </row>
    <row r="723" spans="1:14" ht="12.75" customHeight="1" x14ac:dyDescent="0.3">
      <c r="A723" s="38" t="s">
        <v>2646</v>
      </c>
      <c r="B723" s="17"/>
      <c r="C723" s="17"/>
      <c r="D723" s="17"/>
      <c r="E723" s="17"/>
      <c r="F723" s="17"/>
      <c r="G723" s="38" t="s">
        <v>3343</v>
      </c>
      <c r="H723" s="38" t="s">
        <v>617</v>
      </c>
      <c r="I723" s="276"/>
      <c r="J723" s="294" t="str">
        <f>IF(ISBLANK(HLOOKUP(CaseName,CaseData,MATCH($G723,cases!$G$4:$G$2494,0),FALSE)),"",HLOOKUP(CaseName,CaseData,MATCH($G723,cases!$G$4:$G$2494,0),FALSE))</f>
        <v/>
      </c>
      <c r="K723" s="428">
        <f>(L726+L739/L665)*L664</f>
        <v>2.4259271107051319E-6</v>
      </c>
      <c r="L723" s="298">
        <f t="shared" si="46"/>
        <v>2.4259271107051319E-6</v>
      </c>
      <c r="M723" s="17" t="s">
        <v>1041</v>
      </c>
      <c r="N723" s="17"/>
    </row>
    <row r="724" spans="1:14" ht="12.75" customHeight="1" x14ac:dyDescent="0.3">
      <c r="A724" s="38" t="s">
        <v>2648</v>
      </c>
      <c r="B724" s="17"/>
      <c r="C724" s="17"/>
      <c r="D724" s="17"/>
      <c r="E724" s="17"/>
      <c r="F724" s="17"/>
      <c r="G724" s="38" t="s">
        <v>3344</v>
      </c>
      <c r="H724" s="38" t="s">
        <v>617</v>
      </c>
      <c r="I724" s="276"/>
      <c r="J724" s="294" t="str">
        <f>IF(ISBLANK(HLOOKUP(CaseName,CaseData,MATCH($G724,cases!$G$4:$G$2494,0),FALSE)),"",HLOOKUP(CaseName,CaseData,MATCH($G724,cases!$G$4:$G$2494,0),FALSE))</f>
        <v/>
      </c>
      <c r="K724" s="428">
        <f>L740/L666</f>
        <v>3.3487311321340109E-25</v>
      </c>
      <c r="L724" s="298">
        <f t="shared" si="46"/>
        <v>3.3487311321340109E-25</v>
      </c>
      <c r="M724" s="17" t="s">
        <v>1041</v>
      </c>
      <c r="N724" s="17"/>
    </row>
    <row r="725" spans="1:14" ht="12.75" customHeight="1" x14ac:dyDescent="0.3">
      <c r="A725" s="38" t="s">
        <v>2650</v>
      </c>
      <c r="B725" s="17"/>
      <c r="C725" s="17"/>
      <c r="D725" s="17"/>
      <c r="E725" s="17"/>
      <c r="F725" s="17"/>
      <c r="G725" s="38" t="s">
        <v>3345</v>
      </c>
      <c r="H725" s="38" t="s">
        <v>617</v>
      </c>
      <c r="I725" s="276"/>
      <c r="J725" s="294" t="str">
        <f>IF(ISBLANK(HLOOKUP(CaseName,CaseData,MATCH($G725,cases!$G$4:$G$2494,0),FALSE)),"",HLOOKUP(CaseName,CaseData,MATCH($G725,cases!$G$4:$G$2494,0),FALSE))</f>
        <v/>
      </c>
      <c r="K725" s="428">
        <f>L741/L669</f>
        <v>9.343339700369259E-27</v>
      </c>
      <c r="L725" s="298">
        <f t="shared" si="46"/>
        <v>9.343339700369259E-27</v>
      </c>
      <c r="M725" s="17" t="s">
        <v>1041</v>
      </c>
      <c r="N725" s="17"/>
    </row>
    <row r="726" spans="1:14" ht="12.75" customHeight="1" x14ac:dyDescent="0.3">
      <c r="A726" s="17"/>
      <c r="B726" s="38" t="s">
        <v>2091</v>
      </c>
      <c r="C726" s="17"/>
      <c r="D726" s="17"/>
      <c r="E726" s="17"/>
      <c r="F726" s="17"/>
      <c r="G726" s="540" t="s">
        <v>3346</v>
      </c>
      <c r="H726" s="38" t="s">
        <v>617</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1885</v>
      </c>
      <c r="N726" s="17"/>
    </row>
    <row r="727" spans="1:14" ht="12.75" customHeight="1" x14ac:dyDescent="0.3">
      <c r="A727" s="17"/>
      <c r="B727" s="38"/>
      <c r="C727" s="17" t="s">
        <v>2093</v>
      </c>
      <c r="D727" s="17"/>
      <c r="E727" s="17"/>
      <c r="F727" s="17"/>
      <c r="G727" s="540" t="s">
        <v>3347</v>
      </c>
      <c r="H727" s="38" t="s">
        <v>617</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1041</v>
      </c>
      <c r="N727" s="17"/>
    </row>
    <row r="728" spans="1:14" ht="12.75" customHeight="1" x14ac:dyDescent="0.3">
      <c r="A728" s="17"/>
      <c r="B728" s="38"/>
      <c r="C728" s="38"/>
      <c r="D728" s="38" t="s">
        <v>2656</v>
      </c>
      <c r="E728" s="17"/>
      <c r="F728" s="17"/>
      <c r="G728" s="38" t="s">
        <v>3348</v>
      </c>
      <c r="H728" s="38" t="s">
        <v>617</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1041</v>
      </c>
      <c r="N728" s="17"/>
    </row>
    <row r="729" spans="1:14" ht="12.75" customHeight="1" x14ac:dyDescent="0.3">
      <c r="A729" s="17"/>
      <c r="B729" s="38"/>
      <c r="C729" s="38"/>
      <c r="D729" s="38" t="s">
        <v>2658</v>
      </c>
      <c r="E729" s="17"/>
      <c r="F729" s="17"/>
      <c r="G729" s="38" t="s">
        <v>3349</v>
      </c>
      <c r="H729" s="38" t="s">
        <v>617</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1041</v>
      </c>
      <c r="N729" s="17"/>
    </row>
    <row r="730" spans="1:14" ht="12.75" customHeight="1" x14ac:dyDescent="0.3">
      <c r="A730" s="17"/>
      <c r="B730" s="38"/>
      <c r="C730" s="17" t="s">
        <v>1188</v>
      </c>
      <c r="D730" s="17"/>
      <c r="E730" s="17"/>
      <c r="F730" s="17"/>
      <c r="G730" s="17" t="s">
        <v>3350</v>
      </c>
      <c r="H730" s="17" t="s">
        <v>1190</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1045</v>
      </c>
      <c r="N730" s="17"/>
    </row>
    <row r="731" spans="1:14" ht="12.75" customHeight="1" x14ac:dyDescent="0.3">
      <c r="A731" s="17"/>
      <c r="B731" s="38"/>
      <c r="C731" s="17" t="s">
        <v>1191</v>
      </c>
      <c r="D731" s="17"/>
      <c r="E731" s="17"/>
      <c r="F731" s="17"/>
      <c r="G731" s="17" t="s">
        <v>3351</v>
      </c>
      <c r="H731" s="17" t="s">
        <v>1190</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3038</v>
      </c>
      <c r="N731" s="17"/>
    </row>
    <row r="732" spans="1:14" ht="12.75" customHeight="1" x14ac:dyDescent="0.3">
      <c r="A732" s="17"/>
      <c r="B732" s="38"/>
      <c r="C732" s="38" t="s">
        <v>1193</v>
      </c>
      <c r="D732" s="17"/>
      <c r="E732" s="17"/>
      <c r="F732" s="17"/>
      <c r="G732" s="146" t="s">
        <v>3352</v>
      </c>
      <c r="H732" s="31" t="s">
        <v>1195</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690</v>
      </c>
      <c r="N732" s="17"/>
    </row>
    <row r="733" spans="1:14" ht="12.75" customHeight="1" x14ac:dyDescent="0.3">
      <c r="A733" s="17"/>
      <c r="B733" s="38"/>
      <c r="C733" s="38" t="s">
        <v>1196</v>
      </c>
      <c r="D733" s="17"/>
      <c r="E733" s="17"/>
      <c r="F733" s="17"/>
      <c r="G733" s="38" t="s">
        <v>3353</v>
      </c>
      <c r="H733" s="146" t="s">
        <v>1195</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690</v>
      </c>
      <c r="N733" s="141"/>
    </row>
    <row r="734" spans="1:14" ht="12.75" customHeight="1" x14ac:dyDescent="0.3">
      <c r="A734" s="17"/>
      <c r="B734" s="38"/>
      <c r="C734" s="38" t="s">
        <v>2103</v>
      </c>
      <c r="D734" s="17"/>
      <c r="E734" s="17"/>
      <c r="F734" s="17"/>
      <c r="G734" s="38" t="s">
        <v>3354</v>
      </c>
      <c r="H734" s="146" t="s">
        <v>1195</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690</v>
      </c>
      <c r="N734" s="17"/>
    </row>
    <row r="735" spans="1:14" ht="12.75" customHeight="1" x14ac:dyDescent="0.3">
      <c r="A735" s="17"/>
      <c r="B735" s="38"/>
      <c r="C735" s="17"/>
      <c r="D735" s="146" t="s">
        <v>1200</v>
      </c>
      <c r="E735" s="146"/>
      <c r="F735" s="146"/>
      <c r="G735" s="146" t="s">
        <v>3355</v>
      </c>
      <c r="H735" s="31" t="s">
        <v>1195</v>
      </c>
      <c r="I735" s="281"/>
      <c r="J735" s="294" t="str">
        <f>IF(ISBLANK(HLOOKUP(CaseName,CaseData,MATCH($G735,cases!$G$4:$G$2494,0),FALSE)),"",HLOOKUP(CaseName,CaseData,MATCH($G735,cases!$G$4:$G$2494,0),FALSE))</f>
        <v/>
      </c>
      <c r="K735" s="405">
        <v>1E-3</v>
      </c>
      <c r="L735" s="298">
        <f>IF(ISBLANK(I735),IF(ISNUMBER(J735)=FALSE,K735,J735),I735)</f>
        <v>1E-3</v>
      </c>
      <c r="M735" s="17" t="s">
        <v>690</v>
      </c>
      <c r="N735" s="17"/>
    </row>
    <row r="736" spans="1:14" ht="12.75" customHeight="1" x14ac:dyDescent="0.3">
      <c r="A736" s="17"/>
      <c r="B736" s="38"/>
      <c r="C736" s="17"/>
      <c r="D736" s="38" t="s">
        <v>2666</v>
      </c>
      <c r="E736" s="146"/>
      <c r="F736" s="146"/>
      <c r="G736" s="146" t="s">
        <v>3356</v>
      </c>
      <c r="H736" s="146" t="s">
        <v>2668</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690</v>
      </c>
      <c r="N736" s="17"/>
    </row>
    <row r="737" spans="1:14" ht="12.75" customHeight="1" x14ac:dyDescent="0.3">
      <c r="A737" s="17"/>
      <c r="B737" s="38"/>
      <c r="C737" s="17"/>
      <c r="D737" s="38" t="s">
        <v>1202</v>
      </c>
      <c r="E737" s="17"/>
      <c r="F737" s="17"/>
      <c r="G737" s="146" t="s">
        <v>3357</v>
      </c>
      <c r="H737" s="38" t="s">
        <v>291</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292</v>
      </c>
      <c r="N737" s="17"/>
    </row>
    <row r="738" spans="1:14" ht="12.75" customHeight="1" x14ac:dyDescent="0.3">
      <c r="A738" s="17"/>
      <c r="B738" s="38" t="s">
        <v>1204</v>
      </c>
      <c r="C738" s="17"/>
      <c r="D738" s="17"/>
      <c r="E738" s="146"/>
      <c r="F738" s="146"/>
      <c r="G738" s="540" t="s">
        <v>3358</v>
      </c>
      <c r="H738" s="38" t="s">
        <v>1195</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3">
      <c r="A739" s="17"/>
      <c r="B739" s="38" t="s">
        <v>1206</v>
      </c>
      <c r="C739" s="17"/>
      <c r="D739" s="17"/>
      <c r="E739" s="146"/>
      <c r="F739" s="146"/>
      <c r="G739" s="540" t="s">
        <v>3359</v>
      </c>
      <c r="H739" s="38" t="s">
        <v>1195</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3">
      <c r="A740" s="17"/>
      <c r="B740" s="38" t="s">
        <v>2672</v>
      </c>
      <c r="C740" s="17"/>
      <c r="D740" s="17"/>
      <c r="E740" s="17"/>
      <c r="F740" s="17"/>
      <c r="G740" s="540" t="s">
        <v>3360</v>
      </c>
      <c r="H740" s="38" t="s">
        <v>1195</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3">
      <c r="A741" s="17"/>
      <c r="B741" s="38" t="s">
        <v>2674</v>
      </c>
      <c r="C741" s="17"/>
      <c r="D741" s="17"/>
      <c r="E741" s="146"/>
      <c r="F741" s="146"/>
      <c r="G741" s="540" t="s">
        <v>3361</v>
      </c>
      <c r="H741" s="38" t="s">
        <v>1195</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3">
      <c r="A742" s="17"/>
      <c r="B742" s="38"/>
      <c r="C742" s="17" t="s">
        <v>1215</v>
      </c>
      <c r="D742" s="17"/>
      <c r="E742" s="17"/>
      <c r="F742" s="17"/>
      <c r="G742" s="17" t="s">
        <v>3362</v>
      </c>
      <c r="H742" s="31" t="s">
        <v>1195</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690</v>
      </c>
      <c r="N742" s="17"/>
    </row>
    <row r="743" spans="1:14" ht="12.75" customHeight="1" x14ac:dyDescent="0.3">
      <c r="A743" s="17"/>
      <c r="B743" s="38"/>
      <c r="C743" s="17" t="s">
        <v>1217</v>
      </c>
      <c r="D743" s="17"/>
      <c r="E743" s="17"/>
      <c r="F743" s="17"/>
      <c r="G743" s="17" t="s">
        <v>3363</v>
      </c>
      <c r="H743" s="31" t="s">
        <v>1195</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690</v>
      </c>
      <c r="N743" s="17"/>
    </row>
    <row r="744" spans="1:14" ht="12.75" customHeight="1" x14ac:dyDescent="0.3">
      <c r="A744" s="38"/>
      <c r="B744" s="17"/>
      <c r="C744" s="17"/>
      <c r="D744" s="146" t="s">
        <v>2678</v>
      </c>
      <c r="E744" s="17"/>
      <c r="F744" s="17"/>
      <c r="G744" s="38" t="s">
        <v>3364</v>
      </c>
      <c r="H744" s="31" t="s">
        <v>1195</v>
      </c>
      <c r="I744" s="281"/>
      <c r="J744" s="294" t="str">
        <f>IF(ISBLANK(HLOOKUP(CaseName,CaseData,MATCH($G744,cases!$G$4:$G$2494,0),FALSE)),"",HLOOKUP(CaseName,CaseData,MATCH($G744,cases!$G$4:$G$2494,0),FALSE))</f>
        <v/>
      </c>
      <c r="K744" s="405">
        <v>3</v>
      </c>
      <c r="L744" s="298">
        <f t="shared" si="47"/>
        <v>3</v>
      </c>
      <c r="M744" s="17" t="s">
        <v>690</v>
      </c>
      <c r="N744" s="17"/>
    </row>
    <row r="745" spans="1:14" ht="12.75" customHeight="1" x14ac:dyDescent="0.3">
      <c r="A745" s="17"/>
      <c r="B745" s="38"/>
      <c r="C745" s="17" t="s">
        <v>1225</v>
      </c>
      <c r="D745" s="17"/>
      <c r="E745" s="146"/>
      <c r="F745" s="146"/>
      <c r="G745" s="17" t="s">
        <v>3365</v>
      </c>
      <c r="H745" s="31" t="s">
        <v>1195</v>
      </c>
      <c r="I745" s="281"/>
      <c r="J745" s="294" t="str">
        <f>IF(ISBLANK(HLOOKUP(CaseName,CaseData,MATCH($G745,cases!$G$4:$G$2494,0),FALSE)),"",HLOOKUP(CaseName,CaseData,MATCH($G745,cases!$G$4:$G$2494,0),FALSE))</f>
        <v/>
      </c>
      <c r="K745" s="428">
        <f>0.43/(24*3600)/0.00475</f>
        <v>1.0477582846003899E-3</v>
      </c>
      <c r="L745" s="298">
        <f t="shared" si="47"/>
        <v>1.0477582846003899E-3</v>
      </c>
      <c r="M745" s="17" t="s">
        <v>690</v>
      </c>
      <c r="N745" s="17"/>
    </row>
    <row r="746" spans="1:14" ht="12.75" customHeight="1" x14ac:dyDescent="0.3">
      <c r="A746" s="17"/>
      <c r="B746" s="38"/>
      <c r="C746" s="17" t="s">
        <v>1227</v>
      </c>
      <c r="D746" s="17"/>
      <c r="E746" s="17"/>
      <c r="F746" s="17"/>
      <c r="G746" s="17" t="s">
        <v>3366</v>
      </c>
      <c r="H746" s="146" t="s">
        <v>1195</v>
      </c>
      <c r="I746" s="281"/>
      <c r="J746" s="294" t="str">
        <f>IF(ISBLANK(HLOOKUP(CaseName,CaseData,MATCH($G746,cases!$G$4:$G$2494,0),FALSE)),"",HLOOKUP(CaseName,CaseData,MATCH($G746,cases!$G$4:$G$2494,0),FALSE))</f>
        <v/>
      </c>
      <c r="K746" s="428">
        <f>0.1*L784</f>
        <v>9.9999999999999991E-22</v>
      </c>
      <c r="L746" s="298">
        <f t="shared" si="47"/>
        <v>9.9999999999999991E-22</v>
      </c>
      <c r="M746" s="17" t="s">
        <v>690</v>
      </c>
      <c r="N746" s="17" t="s">
        <v>2123</v>
      </c>
    </row>
    <row r="747" spans="1:14" ht="12.75" customHeight="1" x14ac:dyDescent="0.3">
      <c r="A747" s="17"/>
      <c r="B747" s="38"/>
      <c r="C747" s="17" t="s">
        <v>1229</v>
      </c>
      <c r="D747" s="17"/>
      <c r="E747" s="146"/>
      <c r="F747" s="17"/>
      <c r="G747" s="38" t="s">
        <v>3367</v>
      </c>
      <c r="H747" s="17" t="s">
        <v>291</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292</v>
      </c>
      <c r="N747" s="17" t="s">
        <v>1231</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2683</v>
      </c>
      <c r="B749" s="17"/>
      <c r="C749" s="17"/>
      <c r="D749" s="17"/>
      <c r="E749" s="17"/>
      <c r="F749" s="17"/>
      <c r="G749" s="38" t="s">
        <v>3368</v>
      </c>
      <c r="H749" s="38" t="s">
        <v>617</v>
      </c>
      <c r="I749" s="276"/>
      <c r="J749" s="294" t="str">
        <f>IF(ISBLANK(HLOOKUP(CaseName,CaseData,MATCH($G749,cases!$G$4:$G$2494,0),FALSE)),"",HLOOKUP(CaseName,CaseData,MATCH($G749,cases!$G$4:$G$2494,0),FALSE))</f>
        <v/>
      </c>
      <c r="K749" s="424">
        <f>(L751+L757)/L667</f>
        <v>3.1132268755843781E-9</v>
      </c>
      <c r="L749" s="298">
        <f t="shared" ref="L749:L755" si="48">IF(ISBLANK(I749),IF(ISNUMBER(J749)=FALSE,K749,J749),I749)</f>
        <v>3.1132268755843781E-9</v>
      </c>
      <c r="M749" s="17" t="s">
        <v>1041</v>
      </c>
      <c r="N749" s="17"/>
    </row>
    <row r="750" spans="1:14" ht="12.75" customHeight="1" x14ac:dyDescent="0.3">
      <c r="A750" s="38" t="s">
        <v>2685</v>
      </c>
      <c r="B750" s="17"/>
      <c r="C750" s="17"/>
      <c r="D750" s="17"/>
      <c r="E750" s="17"/>
      <c r="F750" s="17"/>
      <c r="G750" s="38" t="s">
        <v>3369</v>
      </c>
      <c r="H750" s="38" t="s">
        <v>617</v>
      </c>
      <c r="I750" s="276"/>
      <c r="J750" s="294" t="str">
        <f>IF(ISBLANK(HLOOKUP(CaseName,CaseData,MATCH($G750,cases!$G$4:$G$2494,0),FALSE)),"",HLOOKUP(CaseName,CaseData,MATCH($G750,cases!$G$4:$G$2494,0),FALSE))</f>
        <v/>
      </c>
      <c r="K750" s="428">
        <f>(L752+L758)/L668</f>
        <v>9.6815498812715332E-9</v>
      </c>
      <c r="L750" s="298">
        <f t="shared" si="48"/>
        <v>9.6815498812715332E-9</v>
      </c>
      <c r="M750" s="17" t="s">
        <v>1041</v>
      </c>
      <c r="N750" s="17"/>
    </row>
    <row r="751" spans="1:14" ht="12.75" customHeight="1" x14ac:dyDescent="0.3">
      <c r="A751" s="38"/>
      <c r="B751" s="38" t="s">
        <v>2687</v>
      </c>
      <c r="C751" s="17"/>
      <c r="D751" s="17"/>
      <c r="E751" s="17"/>
      <c r="F751" s="17"/>
      <c r="G751" s="540" t="s">
        <v>3370</v>
      </c>
      <c r="H751" s="38" t="s">
        <v>1195</v>
      </c>
      <c r="I751" s="276"/>
      <c r="J751" s="294" t="str">
        <f>IF(ISBLANK(HLOOKUP(CaseName,CaseData,MATCH($G751,cases!$G$4:$G$2494,0),FALSE)),"",HLOOKUP(CaseName,CaseData,MATCH($G751,cases!$G$4:$G$2494,0),FALSE))</f>
        <v/>
      </c>
      <c r="K751" s="428">
        <f>L754*(1-L700)</f>
        <v>9.321035983584623E-6</v>
      </c>
      <c r="L751" s="298">
        <f t="shared" si="48"/>
        <v>9.321035983584623E-6</v>
      </c>
      <c r="M751" s="17"/>
      <c r="N751" s="17"/>
    </row>
    <row r="752" spans="1:14" ht="12.75" customHeight="1" x14ac:dyDescent="0.3">
      <c r="A752" s="38"/>
      <c r="B752" s="38" t="s">
        <v>2689</v>
      </c>
      <c r="C752" s="17"/>
      <c r="D752" s="17"/>
      <c r="E752" s="17"/>
      <c r="F752" s="17"/>
      <c r="G752" s="540" t="s">
        <v>3371</v>
      </c>
      <c r="H752" s="38" t="s">
        <v>1195</v>
      </c>
      <c r="I752" s="276"/>
      <c r="J752" s="294" t="str">
        <f>IF(ISBLANK(HLOOKUP(CaseName,CaseData,MATCH($G752,cases!$G$4:$G$2494,0),FALSE)),"",HLOOKUP(CaseName,CaseData,MATCH($G752,cases!$G$4:$G$2494,0),FALSE))</f>
        <v/>
      </c>
      <c r="K752" s="428">
        <f>L753-L755</f>
        <v>2.8928843226788437E-10</v>
      </c>
      <c r="L752" s="298">
        <f t="shared" si="48"/>
        <v>2.8928843226788437E-10</v>
      </c>
      <c r="M752" s="17"/>
      <c r="N752" s="17"/>
    </row>
    <row r="753" spans="1:14" ht="12.75" customHeight="1" x14ac:dyDescent="0.3">
      <c r="A753" s="17"/>
      <c r="B753" s="38"/>
      <c r="C753" s="38" t="s">
        <v>1261</v>
      </c>
      <c r="D753" s="17"/>
      <c r="E753" s="17"/>
      <c r="F753" s="17"/>
      <c r="G753" s="146" t="s">
        <v>3372</v>
      </c>
      <c r="H753" s="31" t="s">
        <v>1195</v>
      </c>
      <c r="I753" s="281"/>
      <c r="J753" s="294" t="str">
        <f>IF(ISBLANK(HLOOKUP(CaseName,CaseData,MATCH($G753,cases!$G$4:$G$2494,0),FALSE)),"",HLOOKUP(CaseName,CaseData,MATCH($G753,cases!$G$4:$G$2494,0),FALSE))</f>
        <v/>
      </c>
      <c r="K753" s="428">
        <f>IF(L754*L705/(L677*RHOsolid)&gt;L755,L754*L705/(L677*RHOsolid),L755)</f>
        <v>2.893518518518519E-10</v>
      </c>
      <c r="L753" s="298">
        <f t="shared" si="48"/>
        <v>2.893518518518519E-10</v>
      </c>
      <c r="M753" s="17" t="s">
        <v>690</v>
      </c>
      <c r="N753" s="17"/>
    </row>
    <row r="754" spans="1:14" ht="12.75" customHeight="1" x14ac:dyDescent="0.3">
      <c r="A754" s="38"/>
      <c r="B754" s="17"/>
      <c r="C754" s="38"/>
      <c r="D754" s="38" t="s">
        <v>1265</v>
      </c>
      <c r="E754" s="146"/>
      <c r="F754" s="146"/>
      <c r="G754" s="146" t="s">
        <v>3373</v>
      </c>
      <c r="H754" s="31" t="s">
        <v>1195</v>
      </c>
      <c r="I754" s="281"/>
      <c r="J754" s="294" t="str">
        <f>IF(ISBLANK(HLOOKUP(CaseName,CaseData,MATCH($G754,cases!$G$4:$G$2494,0),FALSE)),"",HLOOKUP(CaseName,CaseData,MATCH($G754,cases!$G$4:$G$2494,0),FALSE))</f>
        <v/>
      </c>
      <c r="K754" s="405">
        <f>2.5/(24*3600)</f>
        <v>2.8935185185185186E-5</v>
      </c>
      <c r="L754" s="298">
        <f t="shared" si="48"/>
        <v>2.8935185185185186E-5</v>
      </c>
      <c r="M754" s="17" t="s">
        <v>690</v>
      </c>
      <c r="N754" s="17"/>
    </row>
    <row r="755" spans="1:14" ht="12.75" customHeight="1" x14ac:dyDescent="0.3">
      <c r="A755" s="38"/>
      <c r="B755" s="17"/>
      <c r="C755" s="38"/>
      <c r="D755" s="38" t="s">
        <v>2693</v>
      </c>
      <c r="E755" s="146"/>
      <c r="F755" s="146"/>
      <c r="G755" s="146" t="s">
        <v>3374</v>
      </c>
      <c r="H755" s="31" t="s">
        <v>1195</v>
      </c>
      <c r="I755" s="281"/>
      <c r="J755" s="294" t="str">
        <f>IF(ISBLANK(HLOOKUP(CaseName,CaseData,MATCH($G755,cases!$G$4:$G$2494,0),FALSE)),"",HLOOKUP(CaseName,CaseData,MATCH($G755,cases!$G$4:$G$2494,0),FALSE))</f>
        <v/>
      </c>
      <c r="K755" s="428">
        <v>6.3419583967529484E-14</v>
      </c>
      <c r="L755" s="298">
        <f t="shared" si="48"/>
        <v>6.3419583967529484E-14</v>
      </c>
      <c r="M755" s="17" t="s">
        <v>690</v>
      </c>
      <c r="N755" s="17" t="s">
        <v>1272</v>
      </c>
    </row>
    <row r="756" spans="1:14" ht="12.75" customHeight="1" x14ac:dyDescent="0.3">
      <c r="A756" s="17"/>
      <c r="B756" s="38"/>
      <c r="C756" s="38"/>
      <c r="D756" s="38"/>
      <c r="E756" s="38" t="s">
        <v>2695</v>
      </c>
      <c r="F756" s="38"/>
      <c r="G756" s="146" t="s">
        <v>3375</v>
      </c>
      <c r="H756" s="38" t="s">
        <v>1277</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1278</v>
      </c>
      <c r="N756" s="17"/>
    </row>
    <row r="757" spans="1:14" ht="12.75" customHeight="1" x14ac:dyDescent="0.3">
      <c r="A757" s="17"/>
      <c r="B757" s="17" t="s">
        <v>2698</v>
      </c>
      <c r="C757" s="146"/>
      <c r="D757" s="146"/>
      <c r="E757" s="17"/>
      <c r="F757" s="17"/>
      <c r="G757" s="540" t="s">
        <v>3376</v>
      </c>
      <c r="H757" s="38" t="s">
        <v>1210</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3">
      <c r="A758" s="17"/>
      <c r="B758" s="17" t="s">
        <v>2700</v>
      </c>
      <c r="C758" s="146"/>
      <c r="D758" s="146"/>
      <c r="E758" s="17"/>
      <c r="F758" s="17"/>
      <c r="G758" s="540" t="s">
        <v>3377</v>
      </c>
      <c r="H758" s="38" t="s">
        <v>1210</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3">
      <c r="A759" s="17"/>
      <c r="B759" s="38"/>
      <c r="C759" s="17" t="s">
        <v>1289</v>
      </c>
      <c r="D759" s="17"/>
      <c r="E759" s="17"/>
      <c r="F759" s="17"/>
      <c r="G759" s="17" t="s">
        <v>3378</v>
      </c>
      <c r="H759" s="31" t="s">
        <v>1195</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690</v>
      </c>
      <c r="N759" s="17"/>
    </row>
    <row r="760" spans="1:14" ht="12.75" customHeight="1" x14ac:dyDescent="0.3">
      <c r="A760" s="17"/>
      <c r="B760" s="38"/>
      <c r="C760" s="17" t="s">
        <v>1291</v>
      </c>
      <c r="D760" s="17"/>
      <c r="E760" s="17"/>
      <c r="F760" s="17"/>
      <c r="G760" s="17" t="s">
        <v>3379</v>
      </c>
      <c r="H760" s="31" t="s">
        <v>1195</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690</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2704</v>
      </c>
      <c r="B762" s="17"/>
      <c r="C762" s="17"/>
      <c r="D762" s="17"/>
      <c r="E762" s="17"/>
      <c r="F762" s="17"/>
      <c r="G762" s="38" t="s">
        <v>3380</v>
      </c>
      <c r="H762" s="38" t="s">
        <v>617</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1041</v>
      </c>
      <c r="N762" s="17"/>
    </row>
    <row r="763" spans="1:14" ht="12.75" customHeight="1" x14ac:dyDescent="0.3">
      <c r="A763" s="17"/>
      <c r="B763" s="17"/>
      <c r="C763" s="146" t="s">
        <v>2706</v>
      </c>
      <c r="D763" s="17"/>
      <c r="E763" s="17"/>
      <c r="F763" s="17"/>
      <c r="G763" s="146" t="s">
        <v>3381</v>
      </c>
      <c r="H763" s="31" t="s">
        <v>1195</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690</v>
      </c>
      <c r="N763" s="17"/>
    </row>
    <row r="764" spans="1:14" ht="12.75" customHeight="1" x14ac:dyDescent="0.3">
      <c r="A764" s="17"/>
      <c r="B764" s="17"/>
      <c r="C764" s="38" t="s">
        <v>2708</v>
      </c>
      <c r="D764" s="17"/>
      <c r="E764" s="17"/>
      <c r="F764" s="17"/>
      <c r="G764" s="146" t="s">
        <v>3382</v>
      </c>
      <c r="H764" s="38" t="s">
        <v>291</v>
      </c>
      <c r="I764" s="281"/>
      <c r="J764" s="294" t="str">
        <f>IF(ISBLANK(HLOOKUP(CaseName,CaseData,MATCH($G764,cases!$G$4:$G$2494,0),FALSE)),"",HLOOKUP(CaseName,CaseData,MATCH($G764,cases!$G$4:$G$2494,0),FALSE))</f>
        <v/>
      </c>
      <c r="K764" s="405">
        <f>FRACrun.C</f>
        <v>0.25</v>
      </c>
      <c r="L764" s="298">
        <f>IF(ISBLANK(I764),IF(ISNUMBER(J764)=FALSE,K764,J764),I764)</f>
        <v>0.25</v>
      </c>
      <c r="M764" s="17" t="s">
        <v>292</v>
      </c>
      <c r="N764" s="17"/>
    </row>
    <row r="765" spans="1:14" ht="12.75" customHeight="1" x14ac:dyDescent="0.3">
      <c r="A765" s="38"/>
      <c r="B765" s="38"/>
      <c r="C765" s="17" t="s">
        <v>1229</v>
      </c>
      <c r="D765" s="17"/>
      <c r="E765" s="146"/>
      <c r="F765" s="146"/>
      <c r="G765" s="38" t="s">
        <v>3383</v>
      </c>
      <c r="H765" s="17" t="s">
        <v>291</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292</v>
      </c>
      <c r="N765" s="17" t="s">
        <v>1231</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1314</v>
      </c>
      <c r="B767" s="147"/>
      <c r="C767" s="147"/>
      <c r="D767" s="147"/>
      <c r="E767" s="147"/>
      <c r="F767" s="147"/>
      <c r="G767" s="148" t="s">
        <v>258</v>
      </c>
      <c r="H767" s="148" t="s">
        <v>274</v>
      </c>
      <c r="I767" s="147" t="s">
        <v>259</v>
      </c>
      <c r="J767" s="271" t="s">
        <v>2953</v>
      </c>
      <c r="K767" s="331" t="s">
        <v>260</v>
      </c>
      <c r="L767" s="331" t="s">
        <v>261</v>
      </c>
      <c r="M767" s="147"/>
      <c r="N767" s="148" t="s">
        <v>262</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1315</v>
      </c>
      <c r="B769" s="17"/>
      <c r="C769" s="17"/>
      <c r="D769" s="17"/>
      <c r="E769" s="17"/>
      <c r="F769" s="17"/>
      <c r="G769" s="38" t="s">
        <v>3384</v>
      </c>
      <c r="H769" s="38" t="s">
        <v>617</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1041</v>
      </c>
      <c r="N769" s="17"/>
    </row>
    <row r="770" spans="1:14" ht="12.75" customHeight="1" x14ac:dyDescent="0.3">
      <c r="A770" s="38" t="s">
        <v>2712</v>
      </c>
      <c r="B770" s="17"/>
      <c r="C770" s="17"/>
      <c r="D770" s="17"/>
      <c r="E770" s="17"/>
      <c r="F770" s="17"/>
      <c r="G770" s="38" t="s">
        <v>3385</v>
      </c>
      <c r="H770" s="38" t="s">
        <v>617</v>
      </c>
      <c r="I770" s="276"/>
      <c r="J770" s="294" t="str">
        <f>IF(ISBLANK(HLOOKUP(CaseName,CaseData,MATCH($G770,cases!$G$4:$G$2494,0),FALSE)),"",HLOOKUP(CaseName,CaseData,MATCH($G770,cases!$G$4:$G$2494,0),FALSE))</f>
        <v/>
      </c>
      <c r="K770" s="428">
        <f>L778</f>
        <v>6.7786499640731536E-21</v>
      </c>
      <c r="L770" s="298">
        <f t="shared" si="49"/>
        <v>6.7786499640731536E-21</v>
      </c>
      <c r="M770" s="17" t="s">
        <v>1041</v>
      </c>
      <c r="N770" s="17"/>
    </row>
    <row r="771" spans="1:14" ht="12.75" customHeight="1" x14ac:dyDescent="0.3">
      <c r="A771" s="38" t="s">
        <v>2714</v>
      </c>
      <c r="B771" s="17"/>
      <c r="C771" s="17"/>
      <c r="D771" s="17"/>
      <c r="E771" s="17"/>
      <c r="F771" s="17"/>
      <c r="G771" s="38" t="s">
        <v>3386</v>
      </c>
      <c r="H771" s="38" t="s">
        <v>617</v>
      </c>
      <c r="I771" s="276"/>
      <c r="J771" s="294" t="str">
        <f>IF(ISBLANK(HLOOKUP(CaseName,CaseData,MATCH($G771,cases!$G$4:$G$2494,0),FALSE)),"",HLOOKUP(CaseName,CaseData,MATCH($G771,cases!$G$4:$G$2494,0),FALSE))</f>
        <v/>
      </c>
      <c r="K771" s="428">
        <f>L779</f>
        <v>6.7786499640731536E-21</v>
      </c>
      <c r="L771" s="298">
        <f t="shared" si="49"/>
        <v>6.7786499640731536E-21</v>
      </c>
      <c r="M771" s="17" t="s">
        <v>1041</v>
      </c>
      <c r="N771" s="17"/>
    </row>
    <row r="772" spans="1:14" ht="12.75" customHeight="1" x14ac:dyDescent="0.3">
      <c r="A772" s="38" t="s">
        <v>2716</v>
      </c>
      <c r="B772" s="17"/>
      <c r="C772" s="17"/>
      <c r="D772" s="17"/>
      <c r="E772" s="17"/>
      <c r="F772" s="17"/>
      <c r="G772" s="38" t="s">
        <v>3387</v>
      </c>
      <c r="H772" s="38" t="s">
        <v>617</v>
      </c>
      <c r="I772" s="276"/>
      <c r="J772" s="294" t="str">
        <f>IF(ISBLANK(HLOOKUP(CaseName,CaseData,MATCH($G772,cases!$G$4:$G$2494,0),FALSE)),"",HLOOKUP(CaseName,CaseData,MATCH($G772,cases!$G$4:$G$2494,0),FALSE))</f>
        <v/>
      </c>
      <c r="K772" s="428">
        <f>L783+L755/L668</f>
        <v>2.1139861422509831E-12</v>
      </c>
      <c r="L772" s="298">
        <f t="shared" si="49"/>
        <v>2.1139861422509831E-12</v>
      </c>
      <c r="M772" s="17" t="s">
        <v>1041</v>
      </c>
      <c r="N772" s="17"/>
    </row>
    <row r="773" spans="1:14" ht="12.75" customHeight="1" x14ac:dyDescent="0.3">
      <c r="A773" s="38" t="s">
        <v>2718</v>
      </c>
      <c r="B773" s="17"/>
      <c r="C773" s="17"/>
      <c r="D773" s="17"/>
      <c r="E773" s="17"/>
      <c r="F773" s="17"/>
      <c r="G773" s="38" t="s">
        <v>3388</v>
      </c>
      <c r="H773" s="38" t="s">
        <v>617</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1041</v>
      </c>
      <c r="N773" s="17"/>
    </row>
    <row r="774" spans="1:14" ht="12.75" customHeight="1" x14ac:dyDescent="0.3">
      <c r="A774" s="38"/>
      <c r="B774" s="38" t="s">
        <v>1335</v>
      </c>
      <c r="C774" s="146"/>
      <c r="D774" s="17"/>
      <c r="E774" s="17"/>
      <c r="F774" s="17"/>
      <c r="G774" s="146" t="s">
        <v>3389</v>
      </c>
      <c r="H774" s="38" t="s">
        <v>617</v>
      </c>
      <c r="I774" s="281"/>
      <c r="J774" s="294" t="str">
        <f>IF(ISBLANK(HLOOKUP(CaseName,CaseData,MATCH($G774,cases!$G$4:$G$2494,0),FALSE)),"",HLOOKUP(CaseName,CaseData,MATCH($G774,cases!$G$4:$G$2494,0),FALSE))</f>
        <v/>
      </c>
      <c r="K774" s="428">
        <f>LN(2)/(60*365*24*3600)</f>
        <v>3.663258818281463E-10</v>
      </c>
      <c r="L774" s="298">
        <f t="shared" si="49"/>
        <v>3.663258818281463E-10</v>
      </c>
      <c r="M774" s="38" t="s">
        <v>1041</v>
      </c>
      <c r="N774" s="17"/>
    </row>
    <row r="775" spans="1:14" ht="12.75" customHeight="1" x14ac:dyDescent="0.3">
      <c r="A775" s="38"/>
      <c r="B775" s="38" t="s">
        <v>1337</v>
      </c>
      <c r="C775" s="17"/>
      <c r="D775" s="17"/>
      <c r="E775" s="17"/>
      <c r="F775" s="17"/>
      <c r="G775" s="38" t="s">
        <v>3390</v>
      </c>
      <c r="H775" s="38" t="s">
        <v>617</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1041</v>
      </c>
      <c r="N775" s="17"/>
    </row>
    <row r="776" spans="1:14" ht="12.75" customHeight="1" x14ac:dyDescent="0.3">
      <c r="A776" s="146"/>
      <c r="B776" s="146"/>
      <c r="C776" s="38" t="s">
        <v>3391</v>
      </c>
      <c r="D776" s="17"/>
      <c r="E776" s="17"/>
      <c r="F776" s="17"/>
      <c r="G776" s="38" t="s">
        <v>3392</v>
      </c>
      <c r="H776" s="38" t="s">
        <v>620</v>
      </c>
      <c r="I776" s="281"/>
      <c r="J776" s="294" t="str">
        <f>IF(ISBLANK(HLOOKUP(CaseName,CaseData,MATCH($G776,cases!$G$4:$G$2494,0),FALSE)),"",HLOOKUP(CaseName,CaseData,MATCH($G776,cases!$G$4:$G$2494,0),FALSE))</f>
        <v/>
      </c>
      <c r="K776" s="428">
        <f>C.OHrad</f>
        <v>500000</v>
      </c>
      <c r="L776" s="298">
        <f t="shared" si="49"/>
        <v>500000</v>
      </c>
      <c r="M776" s="38" t="s">
        <v>1341</v>
      </c>
      <c r="N776" s="17"/>
    </row>
    <row r="777" spans="1:14" ht="12.75" customHeight="1" x14ac:dyDescent="0.3">
      <c r="A777" s="146"/>
      <c r="B777" s="146"/>
      <c r="C777" s="38" t="s">
        <v>2183</v>
      </c>
      <c r="D777" s="17"/>
      <c r="E777" s="17"/>
      <c r="F777" s="17"/>
      <c r="G777" s="38" t="s">
        <v>3393</v>
      </c>
      <c r="H777" s="38" t="s">
        <v>291</v>
      </c>
      <c r="I777" s="281"/>
      <c r="J777" s="294" t="str">
        <f>IF(ISBLANK(HLOOKUP(CaseName,CaseData,MATCH($G777,cases!$G$4:$G$2494,0),FALSE)),"",HLOOKUP(CaseName,CaseData,MATCH($G777,cases!$G$4:$G$2494,0),FALSE))</f>
        <v/>
      </c>
      <c r="K777" s="428">
        <f>EXP((Ea.OHrad/8.314)*(L696-298)/298^2)</f>
        <v>1</v>
      </c>
      <c r="L777" s="298">
        <f t="shared" si="49"/>
        <v>1</v>
      </c>
      <c r="M777" s="38" t="s">
        <v>292</v>
      </c>
      <c r="N777" s="17"/>
    </row>
    <row r="778" spans="1:14" ht="12.75" customHeight="1" x14ac:dyDescent="0.3">
      <c r="A778" s="38"/>
      <c r="B778" s="38" t="s">
        <v>2725</v>
      </c>
      <c r="C778" s="17"/>
      <c r="D778" s="17"/>
      <c r="E778" s="17"/>
      <c r="F778" s="17"/>
      <c r="G778" s="38" t="s">
        <v>3394</v>
      </c>
      <c r="H778" s="38" t="s">
        <v>617</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1041</v>
      </c>
      <c r="N778" s="17"/>
    </row>
    <row r="779" spans="1:14" ht="12.75" customHeight="1" x14ac:dyDescent="0.3">
      <c r="A779" s="38"/>
      <c r="B779" s="38" t="s">
        <v>2727</v>
      </c>
      <c r="C779" s="17"/>
      <c r="D779" s="17"/>
      <c r="E779" s="17"/>
      <c r="F779" s="17"/>
      <c r="G779" s="38" t="s">
        <v>3395</v>
      </c>
      <c r="H779" s="38" t="s">
        <v>617</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1041</v>
      </c>
      <c r="N779" s="17"/>
    </row>
    <row r="780" spans="1:14" ht="12.75" customHeight="1" x14ac:dyDescent="0.3">
      <c r="A780" s="38"/>
      <c r="B780" s="38"/>
      <c r="C780" s="38" t="s">
        <v>2729</v>
      </c>
      <c r="D780" s="17"/>
      <c r="E780" s="17"/>
      <c r="F780" s="17"/>
      <c r="G780" s="146" t="s">
        <v>3396</v>
      </c>
      <c r="H780" s="38" t="s">
        <v>1352</v>
      </c>
      <c r="I780" s="281"/>
      <c r="J780" s="294" t="str">
        <f>IF(ISBLANK(HLOOKUP(CaseName,CaseData,MATCH($G780,cases!$G$4:$G$2494,0),FALSE)),"",HLOOKUP(CaseName,CaseData,MATCH($G780,cases!$G$4:$G$2494,0),FALSE))</f>
        <v/>
      </c>
      <c r="K780" s="405">
        <v>40000</v>
      </c>
      <c r="L780" s="298">
        <f t="shared" si="49"/>
        <v>40000</v>
      </c>
      <c r="M780" s="38" t="s">
        <v>638</v>
      </c>
      <c r="N780" s="17"/>
    </row>
    <row r="781" spans="1:14" ht="12.75" customHeight="1" x14ac:dyDescent="0.3">
      <c r="A781" s="38"/>
      <c r="B781" s="38"/>
      <c r="C781" s="38" t="s">
        <v>3086</v>
      </c>
      <c r="D781" s="17"/>
      <c r="E781" s="17"/>
      <c r="F781" s="17"/>
      <c r="G781" s="146" t="s">
        <v>3397</v>
      </c>
      <c r="H781" s="38" t="s">
        <v>1352</v>
      </c>
      <c r="I781" s="281"/>
      <c r="J781" s="294" t="str">
        <f>IF(ISBLANK(HLOOKUP(CaseName,CaseData,MATCH($G781,cases!$G$4:$G$2494,0),FALSE)),"",HLOOKUP(CaseName,CaseData,MATCH($G781,cases!$G$4:$G$2494,0),FALSE))</f>
        <v/>
      </c>
      <c r="K781" s="405">
        <v>40000</v>
      </c>
      <c r="L781" s="298">
        <f t="shared" si="49"/>
        <v>40000</v>
      </c>
      <c r="M781" s="38" t="s">
        <v>638</v>
      </c>
      <c r="N781" s="17"/>
    </row>
    <row r="782" spans="1:14" ht="12.75" customHeight="1" x14ac:dyDescent="0.3">
      <c r="A782" s="146"/>
      <c r="B782" s="146"/>
      <c r="C782" s="38" t="s">
        <v>1358</v>
      </c>
      <c r="D782" s="17"/>
      <c r="E782" s="17"/>
      <c r="F782" s="17"/>
      <c r="G782" s="38" t="s">
        <v>3398</v>
      </c>
      <c r="H782" s="38" t="s">
        <v>291</v>
      </c>
      <c r="I782" s="281"/>
      <c r="J782" s="294" t="str">
        <f>IF(ISBLANK(HLOOKUP(CaseName,CaseData,MATCH($G782,cases!$G$4:$G$2494,0),FALSE)),"",HLOOKUP(CaseName,CaseData,MATCH($G782,cases!$G$4:$G$2494,0),FALSE))</f>
        <v/>
      </c>
      <c r="K782" s="428">
        <f>Q.10^((L696-298)/10)</f>
        <v>1</v>
      </c>
      <c r="L782" s="298">
        <f t="shared" si="49"/>
        <v>1</v>
      </c>
      <c r="M782" s="38" t="s">
        <v>292</v>
      </c>
      <c r="N782" s="17"/>
    </row>
    <row r="783" spans="1:14" ht="12.75" customHeight="1" x14ac:dyDescent="0.3">
      <c r="A783" s="38"/>
      <c r="B783" s="38" t="s">
        <v>2734</v>
      </c>
      <c r="C783" s="17"/>
      <c r="D783" s="17"/>
      <c r="E783" s="17"/>
      <c r="F783" s="17"/>
      <c r="G783" s="38" t="s">
        <v>3399</v>
      </c>
      <c r="H783" s="38" t="s">
        <v>617</v>
      </c>
      <c r="I783" s="281"/>
      <c r="J783" s="294" t="str">
        <f>IF(ISBLANK(HLOOKUP(CaseName,CaseData,MATCH($G783,cases!$G$4:$G$2494,0),FALSE)),"",HLOOKUP(CaseName,CaseData,MATCH($G783,cases!$G$4:$G$2494,0),FALSE))</f>
        <v/>
      </c>
      <c r="K783" s="428">
        <f>L782*kdeg.sed</f>
        <v>9.9999999999999995E-21</v>
      </c>
      <c r="L783" s="298">
        <f t="shared" si="49"/>
        <v>9.9999999999999995E-21</v>
      </c>
      <c r="M783" s="38" t="s">
        <v>1041</v>
      </c>
      <c r="N783" s="17"/>
    </row>
    <row r="784" spans="1:14" ht="12.75" customHeight="1" x14ac:dyDescent="0.3">
      <c r="A784" s="38"/>
      <c r="B784" s="38" t="s">
        <v>2736</v>
      </c>
      <c r="C784" s="17"/>
      <c r="D784" s="17"/>
      <c r="E784" s="17"/>
      <c r="F784" s="17"/>
      <c r="G784" s="38" t="s">
        <v>3400</v>
      </c>
      <c r="H784" s="38" t="s">
        <v>617</v>
      </c>
      <c r="I784" s="281"/>
      <c r="J784" s="294" t="str">
        <f>IF(ISBLANK(HLOOKUP(CaseName,CaseData,MATCH($G784,cases!$G$4:$G$2494,0),FALSE)),"",HLOOKUP(CaseName,CaseData,MATCH($G784,cases!$G$4:$G$2494,0),FALSE))</f>
        <v/>
      </c>
      <c r="K784" s="428">
        <f>L782*kdeg.soil</f>
        <v>9.9999999999999995E-21</v>
      </c>
      <c r="L784" s="298">
        <f t="shared" si="49"/>
        <v>9.9999999999999995E-21</v>
      </c>
      <c r="M784" s="38" t="s">
        <v>1041</v>
      </c>
      <c r="N784" s="17"/>
    </row>
    <row r="785" spans="1:16" ht="12.75" customHeight="1" x14ac:dyDescent="0.3">
      <c r="A785" s="17"/>
      <c r="B785" s="17"/>
      <c r="C785" s="38" t="s">
        <v>2738</v>
      </c>
      <c r="D785" s="17"/>
      <c r="E785" s="17"/>
      <c r="F785" s="17"/>
      <c r="G785" s="146" t="s">
        <v>3401</v>
      </c>
      <c r="H785" s="38" t="s">
        <v>291</v>
      </c>
      <c r="I785" s="281"/>
      <c r="J785" s="294" t="str">
        <f>IF(ISBLANK(HLOOKUP(CaseName,CaseData,MATCH($G785,cases!$G$4:$G$2494,0),FALSE)),"",HLOOKUP(CaseName,CaseData,MATCH($G785,cases!$G$4:$G$2494,0),FALSE))</f>
        <v/>
      </c>
      <c r="K785" s="405">
        <f>FRACinf.C</f>
        <v>0.25</v>
      </c>
      <c r="L785" s="298">
        <f t="shared" si="49"/>
        <v>0.25</v>
      </c>
      <c r="M785" s="17" t="s">
        <v>292</v>
      </c>
      <c r="N785" s="17"/>
      <c r="O785" s="11"/>
      <c r="P785" s="11"/>
    </row>
    <row r="786" spans="1:16" ht="12.75" customHeight="1" x14ac:dyDescent="0.3">
      <c r="A786" s="38"/>
      <c r="B786" s="38"/>
      <c r="C786" s="17" t="s">
        <v>1229</v>
      </c>
      <c r="D786" s="17"/>
      <c r="E786" s="146"/>
      <c r="F786" s="146"/>
      <c r="G786" s="38" t="s">
        <v>3402</v>
      </c>
      <c r="H786" s="17" t="s">
        <v>291</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292</v>
      </c>
      <c r="N786" s="17" t="s">
        <v>1231</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1382</v>
      </c>
      <c r="G788" s="630" t="s">
        <v>258</v>
      </c>
      <c r="H788" s="630" t="s">
        <v>274</v>
      </c>
      <c r="I788" s="413" t="s">
        <v>259</v>
      </c>
      <c r="J788" s="294"/>
      <c r="K788" s="647" t="s">
        <v>260</v>
      </c>
      <c r="L788" s="648" t="s">
        <v>261</v>
      </c>
      <c r="N788" s="630" t="s">
        <v>262</v>
      </c>
      <c r="O788" s="209" t="s">
        <v>1383</v>
      </c>
      <c r="P788" s="413" t="s">
        <v>1384</v>
      </c>
    </row>
    <row r="789" spans="1:16" s="410" customFormat="1" ht="12.75" customHeight="1" x14ac:dyDescent="0.3">
      <c r="A789" s="410" t="s">
        <v>3403</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1386</v>
      </c>
      <c r="B790" s="566"/>
      <c r="C790" s="566"/>
      <c r="D790" s="566"/>
      <c r="E790" s="566"/>
      <c r="F790" s="566"/>
      <c r="G790" s="566" t="s">
        <v>3404</v>
      </c>
      <c r="H790" s="567" t="s">
        <v>335</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335</v>
      </c>
      <c r="N790" s="566"/>
      <c r="O790" s="604">
        <v>2</v>
      </c>
      <c r="P790" s="566" t="s">
        <v>1388</v>
      </c>
    </row>
    <row r="791" spans="1:16" customFormat="1" ht="12.75" customHeight="1" x14ac:dyDescent="0.3">
      <c r="A791" s="566"/>
      <c r="B791" s="566" t="s">
        <v>1389</v>
      </c>
      <c r="C791" s="566"/>
      <c r="D791" s="566"/>
      <c r="E791" s="566"/>
      <c r="F791" s="566"/>
      <c r="G791" s="566" t="s">
        <v>3405</v>
      </c>
      <c r="H791" s="566" t="s">
        <v>335</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335</v>
      </c>
      <c r="N791" s="566"/>
      <c r="O791" s="604">
        <v>10</v>
      </c>
      <c r="P791" s="566" t="s">
        <v>908</v>
      </c>
    </row>
    <row r="792" spans="1:16" customFormat="1" ht="12.75" customHeight="1" x14ac:dyDescent="0.3">
      <c r="A792" s="566"/>
      <c r="B792" s="566"/>
      <c r="C792" s="566" t="s">
        <v>706</v>
      </c>
      <c r="D792" s="566"/>
      <c r="E792" s="566"/>
      <c r="F792" s="566"/>
      <c r="G792" s="566" t="s">
        <v>3406</v>
      </c>
      <c r="H792" s="567" t="s">
        <v>708</v>
      </c>
      <c r="I792" s="677"/>
      <c r="J792" s="294" t="str">
        <f>IF(ISBLANK(HLOOKUP(CaseName,CaseData,MATCH($G792,cases!$G$4:$G$2494,0),FALSE)),"",HLOOKUP(CaseName,CaseData,MATCH($G792,cases!$G$4:$G$2494,0),FALSE))</f>
        <v/>
      </c>
      <c r="K792" s="576">
        <f>3.2*10^9</f>
        <v>3200000000</v>
      </c>
      <c r="L792" s="298">
        <f t="shared" si="50"/>
        <v>3200000000</v>
      </c>
      <c r="M792" s="567" t="s">
        <v>708</v>
      </c>
      <c r="N792" s="566"/>
      <c r="O792" s="674"/>
      <c r="P792" s="566" t="s">
        <v>709</v>
      </c>
    </row>
    <row r="793" spans="1:16" customFormat="1" ht="12.75" customHeight="1" x14ac:dyDescent="0.3">
      <c r="A793" s="566"/>
      <c r="B793" s="566"/>
      <c r="C793" s="566" t="s">
        <v>1396</v>
      </c>
      <c r="D793" s="566"/>
      <c r="E793" s="566"/>
      <c r="F793" s="566"/>
      <c r="G793" s="567" t="s">
        <v>3407</v>
      </c>
      <c r="H793" s="567" t="s">
        <v>866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866</v>
      </c>
      <c r="N793" s="566"/>
      <c r="O793" s="604"/>
      <c r="P793" s="566"/>
    </row>
    <row r="794" spans="1:16" customFormat="1" ht="12.75" customHeight="1" x14ac:dyDescent="0.3">
      <c r="A794" s="566"/>
      <c r="B794" s="566"/>
      <c r="C794" s="566" t="s">
        <v>1394</v>
      </c>
      <c r="D794" s="566"/>
      <c r="E794" s="566"/>
      <c r="F794" s="566"/>
      <c r="G794" s="566" t="s">
        <v>3408</v>
      </c>
      <c r="H794" s="566" t="s">
        <v>900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900</v>
      </c>
      <c r="N794" s="566"/>
      <c r="O794" s="604"/>
      <c r="P794" s="566"/>
    </row>
    <row r="795" spans="1:16" customFormat="1" ht="12.75" customHeight="1" x14ac:dyDescent="0.3">
      <c r="A795" s="566"/>
      <c r="B795" s="566"/>
      <c r="C795" s="566" t="s">
        <v>1391</v>
      </c>
      <c r="D795" s="566"/>
      <c r="E795" s="566"/>
      <c r="F795" s="566"/>
      <c r="G795" s="567" t="s">
        <v>3409</v>
      </c>
      <c r="H795" s="567" t="s">
        <v>291</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291</v>
      </c>
      <c r="N795" s="566"/>
      <c r="O795" s="675" t="s">
        <v>1393</v>
      </c>
      <c r="P795" s="566"/>
    </row>
    <row r="796" spans="1:16" customFormat="1" ht="12.75" customHeight="1" x14ac:dyDescent="0.3">
      <c r="A796" s="566" t="s">
        <v>1398</v>
      </c>
      <c r="B796" s="566"/>
      <c r="C796" s="566"/>
      <c r="D796" s="566"/>
      <c r="E796" s="566"/>
      <c r="F796" s="566"/>
      <c r="G796" s="566" t="s">
        <v>3410</v>
      </c>
      <c r="H796" s="566" t="s">
        <v>335</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335</v>
      </c>
      <c r="N796" s="566"/>
      <c r="O796" s="604"/>
      <c r="P796" s="566"/>
    </row>
    <row r="797" spans="1:16" customFormat="1" ht="12.75" customHeight="1" x14ac:dyDescent="0.3">
      <c r="A797" s="566"/>
      <c r="B797" s="566"/>
      <c r="C797" s="566" t="s">
        <v>710</v>
      </c>
      <c r="D797" s="566"/>
      <c r="E797" s="566"/>
      <c r="F797" s="566"/>
      <c r="G797" s="566" t="s">
        <v>3411</v>
      </c>
      <c r="H797" s="567" t="s">
        <v>708</v>
      </c>
      <c r="I797" s="677"/>
      <c r="J797" s="294" t="str">
        <f>IF(ISBLANK(HLOOKUP(CaseName,CaseData,MATCH($G797,cases!$G$4:$G$2494,0),FALSE)),"",HLOOKUP(CaseName,CaseData,MATCH($G797,cases!$G$4:$G$2494,0),FALSE))</f>
        <v/>
      </c>
      <c r="K797" s="576">
        <f>2.9*10^9</f>
        <v>2900000000</v>
      </c>
      <c r="L797" s="298">
        <f t="shared" si="50"/>
        <v>2900000000</v>
      </c>
      <c r="M797" s="567" t="s">
        <v>708</v>
      </c>
      <c r="N797" s="566"/>
      <c r="O797" s="674"/>
      <c r="P797" s="566" t="s">
        <v>709</v>
      </c>
    </row>
    <row r="798" spans="1:16" customFormat="1" ht="12.75" customHeight="1" x14ac:dyDescent="0.3">
      <c r="A798" s="566"/>
      <c r="B798" s="566"/>
      <c r="C798" s="566" t="s">
        <v>1400</v>
      </c>
      <c r="D798" s="566"/>
      <c r="E798" s="566"/>
      <c r="F798" s="566"/>
      <c r="G798" s="567" t="s">
        <v>3412</v>
      </c>
      <c r="H798" s="567" t="s">
        <v>866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866</v>
      </c>
      <c r="N798" s="566"/>
      <c r="O798" s="604"/>
      <c r="P798" s="566"/>
    </row>
    <row r="799" spans="1:16" customFormat="1" ht="12.75" customHeight="1" x14ac:dyDescent="0.3">
      <c r="A799" s="566"/>
      <c r="B799" s="566"/>
      <c r="C799" s="566" t="s">
        <v>1402</v>
      </c>
      <c r="D799" s="566"/>
      <c r="E799" s="566"/>
      <c r="F799" s="566"/>
      <c r="G799" s="566" t="s">
        <v>3413</v>
      </c>
      <c r="H799" s="566" t="s">
        <v>900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900</v>
      </c>
      <c r="N799" s="566"/>
      <c r="O799" s="604"/>
      <c r="P799" s="566"/>
    </row>
    <row r="800" spans="1:16" customFormat="1" ht="12.75" customHeight="1" x14ac:dyDescent="0.3">
      <c r="A800" s="566"/>
      <c r="B800" s="566"/>
      <c r="C800" s="566" t="s">
        <v>1404</v>
      </c>
      <c r="D800" s="566"/>
      <c r="E800" s="566"/>
      <c r="F800" s="566"/>
      <c r="G800" s="567" t="s">
        <v>3414</v>
      </c>
      <c r="H800" s="567" t="s">
        <v>291</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291</v>
      </c>
      <c r="N800" s="566"/>
      <c r="O800" s="604"/>
      <c r="P800" s="566"/>
    </row>
    <row r="801" spans="1:16" customFormat="1" ht="12.75" customHeight="1" x14ac:dyDescent="0.3">
      <c r="A801" s="566" t="s">
        <v>1406</v>
      </c>
      <c r="B801" s="566"/>
      <c r="C801" s="566"/>
      <c r="D801" s="566"/>
      <c r="E801" s="566"/>
      <c r="F801" s="566"/>
      <c r="G801" s="567" t="s">
        <v>3415</v>
      </c>
      <c r="H801" s="567" t="s">
        <v>335</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335</v>
      </c>
      <c r="N801" s="566"/>
      <c r="O801" s="604"/>
      <c r="P801" s="566"/>
    </row>
    <row r="802" spans="1:16" customFormat="1" ht="12.75" customHeight="1" x14ac:dyDescent="0.3">
      <c r="A802" s="566"/>
      <c r="B802" s="566" t="s">
        <v>712</v>
      </c>
      <c r="C802" s="566"/>
      <c r="D802" s="566"/>
      <c r="E802" s="566"/>
      <c r="F802" s="566"/>
      <c r="G802" s="566" t="s">
        <v>3416</v>
      </c>
      <c r="H802" s="567" t="s">
        <v>708</v>
      </c>
      <c r="I802" s="677"/>
      <c r="J802" s="294" t="str">
        <f>IF(ISBLANK(HLOOKUP(CaseName,CaseData,MATCH($G802,cases!$G$4:$G$2494,0),FALSE)),"",HLOOKUP(CaseName,CaseData,MATCH($G802,cases!$G$4:$G$2494,0),FALSE))</f>
        <v/>
      </c>
      <c r="K802" s="576">
        <f>3*10^5</f>
        <v>300000</v>
      </c>
      <c r="L802" s="298">
        <f t="shared" si="50"/>
        <v>300000</v>
      </c>
      <c r="M802" s="567" t="s">
        <v>708</v>
      </c>
      <c r="N802" s="566"/>
      <c r="O802" s="674"/>
      <c r="P802" s="566" t="s">
        <v>709</v>
      </c>
    </row>
    <row r="803" spans="1:16" customFormat="1" ht="12.75" customHeight="1" x14ac:dyDescent="0.3">
      <c r="A803" s="566"/>
      <c r="B803" s="566" t="s">
        <v>1408</v>
      </c>
      <c r="C803" s="566"/>
      <c r="D803" s="566"/>
      <c r="E803" s="566"/>
      <c r="F803" s="566"/>
      <c r="G803" s="567" t="s">
        <v>3417</v>
      </c>
      <c r="H803" s="567" t="s">
        <v>866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866</v>
      </c>
      <c r="N803" s="566"/>
      <c r="O803" s="604"/>
      <c r="P803" s="566"/>
    </row>
    <row r="804" spans="1:16" customFormat="1" ht="12.75" customHeight="1" x14ac:dyDescent="0.3">
      <c r="A804" s="566"/>
      <c r="B804" s="566" t="s">
        <v>1410</v>
      </c>
      <c r="C804" s="566"/>
      <c r="D804" s="566"/>
      <c r="E804" s="566"/>
      <c r="F804" s="566"/>
      <c r="G804" s="566" t="s">
        <v>3418</v>
      </c>
      <c r="H804" s="566" t="s">
        <v>900</v>
      </c>
      <c r="I804" s="677"/>
      <c r="J804" s="294"/>
      <c r="K804" s="989">
        <f>(kboltz*L696*(1+(66*10^-9/RadCP.a)*(1.142+0.558*EXP(-0.999/(66*10^-9/RadCP.a)))))/(6*PI()*DYNVISC.a*RadCP.a)</f>
        <v>1.4521285732910958E-11</v>
      </c>
      <c r="L804" s="298">
        <f t="shared" si="50"/>
        <v>1.4521285732910958E-11</v>
      </c>
      <c r="M804" s="566" t="s">
        <v>900</v>
      </c>
      <c r="N804" s="566"/>
      <c r="O804" s="604"/>
      <c r="P804" s="566"/>
    </row>
    <row r="805" spans="1:16" customFormat="1" ht="12.75" customHeight="1" x14ac:dyDescent="0.3">
      <c r="A805" s="566"/>
      <c r="B805" s="566" t="s">
        <v>1412</v>
      </c>
      <c r="C805" s="566"/>
      <c r="D805" s="566"/>
      <c r="E805" s="566"/>
      <c r="F805" s="566"/>
      <c r="G805" s="567" t="s">
        <v>3419</v>
      </c>
      <c r="H805" s="567" t="s">
        <v>291</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291</v>
      </c>
      <c r="N805" s="566"/>
      <c r="O805" s="604"/>
      <c r="P805" s="566"/>
    </row>
    <row r="806" spans="1:16" s="410" customFormat="1" ht="12.75" customHeight="1" x14ac:dyDescent="0.3">
      <c r="A806" s="410" t="s">
        <v>3420</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1437</v>
      </c>
      <c r="B807" s="566"/>
      <c r="C807" s="566"/>
      <c r="D807" s="566"/>
      <c r="E807" s="566"/>
      <c r="F807" s="566"/>
      <c r="G807" s="567" t="s">
        <v>3421</v>
      </c>
      <c r="H807" s="567" t="s">
        <v>335</v>
      </c>
      <c r="I807" s="677"/>
      <c r="J807" s="294" t="str">
        <f>IF(ISBLANK(HLOOKUP(CaseName,CaseData,MATCH($G807,cases!$G$4:$G$2494,0),FALSE)),"",HLOOKUP(CaseName,CaseData,MATCH($G807,cases!$G$4:$G$2494,0),FALSE))</f>
        <v/>
      </c>
      <c r="K807" s="625">
        <f>L809*L808*AtefSA.w2</f>
        <v>6.2064637258033E-3</v>
      </c>
      <c r="L807" s="298">
        <f t="shared" ref="L807:L828" si="51">IF(ISBLANK(I807),IF(ISNUMBER(J807)=FALSE,K807,J807),I807)</f>
        <v>6.2064637258033E-3</v>
      </c>
      <c r="M807" s="566" t="s">
        <v>335</v>
      </c>
      <c r="N807" s="566"/>
      <c r="O807" s="604"/>
      <c r="P807" s="566"/>
    </row>
    <row r="808" spans="1:16" customFormat="1" ht="12.75" customHeight="1" x14ac:dyDescent="0.3">
      <c r="A808" s="566"/>
      <c r="B808" s="566" t="s">
        <v>1439</v>
      </c>
      <c r="C808" s="566"/>
      <c r="D808" s="566"/>
      <c r="E808" s="566"/>
      <c r="F808" s="566"/>
      <c r="G808" s="567" t="s">
        <v>3422</v>
      </c>
      <c r="H808" s="567" t="s">
        <v>708</v>
      </c>
      <c r="I808" s="677"/>
      <c r="J808" s="294" t="str">
        <f>IF(ISBLANK(HLOOKUP(CaseName,CaseData,MATCH($G808,cases!$G$4:$G$2494,0),FALSE)),"",HLOOKUP(CaseName,CaseData,MATCH($G808,cases!$G$4:$G$2494,0),FALSE))</f>
        <v/>
      </c>
      <c r="K808" s="576">
        <f>2*L709/(SingleVolNC.w*RhoNC.w)</f>
        <v>70735530263064.578</v>
      </c>
      <c r="L808" s="298">
        <f t="shared" si="51"/>
        <v>70735530263064.578</v>
      </c>
      <c r="M808" s="567" t="s">
        <v>708</v>
      </c>
      <c r="N808" s="566"/>
      <c r="O808" s="604"/>
      <c r="P808" s="586" t="s">
        <v>1441</v>
      </c>
    </row>
    <row r="809" spans="1:16" customFormat="1" ht="12.75" customHeight="1" x14ac:dyDescent="0.3">
      <c r="A809" s="566"/>
      <c r="B809" s="566" t="s">
        <v>1442</v>
      </c>
      <c r="C809" s="566"/>
      <c r="D809" s="566"/>
      <c r="E809" s="566"/>
      <c r="F809" s="566"/>
      <c r="G809" s="567" t="s">
        <v>3423</v>
      </c>
      <c r="H809" s="567" t="s">
        <v>335</v>
      </c>
      <c r="I809" s="677"/>
      <c r="J809" s="294" t="str">
        <f>IF(ISBLANK(HLOOKUP(CaseName,CaseData,MATCH($G809,cases!$G$4:$G$2494,0),FALSE)),"",HLOOKUP(CaseName,CaseData,MATCH($G809,cases!$G$4:$G$2494,0),FALSE))</f>
        <v/>
      </c>
      <c r="K809" s="576">
        <f>L810+L817+L818</f>
        <v>8.7741813805898354E-17</v>
      </c>
      <c r="L809" s="298">
        <f t="shared" si="51"/>
        <v>8.7741813805898354E-17</v>
      </c>
      <c r="M809" s="566" t="s">
        <v>335</v>
      </c>
      <c r="N809" s="566"/>
      <c r="O809" s="604"/>
      <c r="P809" s="566"/>
    </row>
    <row r="810" spans="1:16" customFormat="1" ht="12.75" customHeight="1" x14ac:dyDescent="0.3">
      <c r="A810" s="566"/>
      <c r="B810" s="566"/>
      <c r="C810" s="566" t="s">
        <v>1421</v>
      </c>
      <c r="D810" s="566"/>
      <c r="E810" s="566"/>
      <c r="F810" s="566"/>
      <c r="G810" s="567" t="s">
        <v>3424</v>
      </c>
      <c r="H810" s="567" t="s">
        <v>335</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335</v>
      </c>
      <c r="N810" s="566"/>
      <c r="O810" s="604"/>
      <c r="P810" s="566"/>
    </row>
    <row r="811" spans="1:16" customFormat="1" ht="12.75" customHeight="1" x14ac:dyDescent="0.3">
      <c r="A811" s="566"/>
      <c r="B811" s="566"/>
      <c r="C811" s="566"/>
      <c r="D811" s="566" t="s">
        <v>1445</v>
      </c>
      <c r="E811" s="566"/>
      <c r="F811" s="566"/>
      <c r="G811" s="567" t="s">
        <v>3425</v>
      </c>
      <c r="H811" s="567" t="s">
        <v>335</v>
      </c>
      <c r="I811" s="677"/>
      <c r="J811" s="294" t="str">
        <f>IF(ISBLANK(HLOOKUP(CaseName,CaseData,MATCH($G811,cases!$G$4:$G$2494,0),FALSE)),"",HLOOKUP(CaseName,CaseData,MATCH($G811,cases!$G$4:$G$2494,0),FALSE))</f>
        <v/>
      </c>
      <c r="K811" s="576">
        <v>10</v>
      </c>
      <c r="L811" s="298">
        <f t="shared" si="51"/>
        <v>10</v>
      </c>
      <c r="M811" s="567" t="s">
        <v>335</v>
      </c>
      <c r="N811" s="566"/>
      <c r="O811" s="604"/>
      <c r="P811" s="586" t="s">
        <v>1425</v>
      </c>
    </row>
    <row r="812" spans="1:16" customFormat="1" ht="12.75" customHeight="1" x14ac:dyDescent="0.3">
      <c r="A812" s="566" t="s">
        <v>1437</v>
      </c>
      <c r="B812" s="566"/>
      <c r="C812" s="566"/>
      <c r="D812" s="566"/>
      <c r="E812" s="566"/>
      <c r="F812" s="566"/>
      <c r="G812" s="567" t="s">
        <v>3426</v>
      </c>
      <c r="H812" s="567" t="s">
        <v>335</v>
      </c>
      <c r="I812" s="677"/>
      <c r="J812" s="294" t="str">
        <f>IF(ISBLANK(HLOOKUP(CaseName,CaseData,MATCH($G812,cases!$G$4:$G$2494,0),FALSE)),"",HLOOKUP(CaseName,CaseData,MATCH($G812,cases!$G$4:$G$2494,0),FALSE))</f>
        <v/>
      </c>
      <c r="K812" s="576">
        <f>L814*L813*AtefSA.w3</f>
        <v>6.2064637258033E-3</v>
      </c>
      <c r="L812" s="298">
        <f t="shared" si="51"/>
        <v>6.2064637258033E-3</v>
      </c>
      <c r="M812" s="566" t="s">
        <v>335</v>
      </c>
      <c r="N812" s="566"/>
      <c r="O812" s="604"/>
      <c r="P812" s="566"/>
    </row>
    <row r="813" spans="1:16" customFormat="1" ht="12.75" customHeight="1" x14ac:dyDescent="0.3">
      <c r="A813" s="566"/>
      <c r="B813" s="566" t="s">
        <v>1439</v>
      </c>
      <c r="C813" s="566"/>
      <c r="D813" s="566"/>
      <c r="E813" s="566"/>
      <c r="F813" s="566"/>
      <c r="G813" s="567" t="s">
        <v>3427</v>
      </c>
      <c r="H813" s="567" t="s">
        <v>708</v>
      </c>
      <c r="I813" s="677"/>
      <c r="J813" s="294" t="str">
        <f>IF(ISBLANK(HLOOKUP(CaseName,CaseData,MATCH($G813,cases!$G$4:$G$2494,0),FALSE)),"",HLOOKUP(CaseName,CaseData,MATCH($G813,cases!$G$4:$G$2494,0),FALSE))</f>
        <v/>
      </c>
      <c r="K813" s="576">
        <f>2*L710/(SingleVolNC.w*RhoNC.w)</f>
        <v>70735530263064.578</v>
      </c>
      <c r="L813" s="298">
        <f t="shared" si="51"/>
        <v>70735530263064.578</v>
      </c>
      <c r="M813" s="567" t="s">
        <v>708</v>
      </c>
      <c r="N813" s="566"/>
      <c r="O813" s="604"/>
      <c r="P813" s="586" t="s">
        <v>1441</v>
      </c>
    </row>
    <row r="814" spans="1:16" customFormat="1" ht="12.75" customHeight="1" x14ac:dyDescent="0.3">
      <c r="A814" s="566"/>
      <c r="B814" s="566" t="s">
        <v>1442</v>
      </c>
      <c r="C814" s="566"/>
      <c r="D814" s="566"/>
      <c r="E814" s="566"/>
      <c r="F814" s="566"/>
      <c r="G814" s="567" t="s">
        <v>3428</v>
      </c>
      <c r="H814" s="567" t="s">
        <v>335</v>
      </c>
      <c r="I814" s="677"/>
      <c r="J814" s="294" t="str">
        <f>IF(ISBLANK(HLOOKUP(CaseName,CaseData,MATCH($G814,cases!$G$4:$G$2494,0),FALSE)),"",HLOOKUP(CaseName,CaseData,MATCH($G814,cases!$G$4:$G$2494,0),FALSE))</f>
        <v/>
      </c>
      <c r="K814" s="576">
        <f>L815+L817+L818</f>
        <v>8.7741813805898354E-17</v>
      </c>
      <c r="L814" s="298">
        <f t="shared" si="51"/>
        <v>8.7741813805898354E-17</v>
      </c>
      <c r="M814" s="566" t="s">
        <v>335</v>
      </c>
      <c r="N814" s="566"/>
      <c r="O814" s="604"/>
      <c r="P814" s="566"/>
    </row>
    <row r="815" spans="1:16" customFormat="1" ht="12.75" customHeight="1" x14ac:dyDescent="0.3">
      <c r="A815" s="566"/>
      <c r="B815" s="566"/>
      <c r="C815" s="566" t="s">
        <v>1421</v>
      </c>
      <c r="D815" s="566"/>
      <c r="E815" s="566"/>
      <c r="F815" s="566"/>
      <c r="G815" s="567" t="s">
        <v>3429</v>
      </c>
      <c r="H815" s="567" t="s">
        <v>335</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335</v>
      </c>
      <c r="N815" s="566"/>
      <c r="O815" s="604"/>
      <c r="P815" s="566"/>
    </row>
    <row r="816" spans="1:16" customFormat="1" ht="12.75" customHeight="1" x14ac:dyDescent="0.3">
      <c r="A816" s="566"/>
      <c r="B816" s="566"/>
      <c r="C816" s="566"/>
      <c r="D816" s="566" t="s">
        <v>1445</v>
      </c>
      <c r="E816" s="566"/>
      <c r="F816" s="566"/>
      <c r="G816" s="567" t="s">
        <v>3430</v>
      </c>
      <c r="H816" s="567" t="s">
        <v>335</v>
      </c>
      <c r="I816" s="677"/>
      <c r="J816" s="294" t="str">
        <f>IF(ISBLANK(HLOOKUP(CaseName,CaseData,MATCH($G816,cases!$G$4:$G$2494,0),FALSE)),"",HLOOKUP(CaseName,CaseData,MATCH($G816,cases!$G$4:$G$2494,0),FALSE))</f>
        <v/>
      </c>
      <c r="K816" s="576">
        <v>10</v>
      </c>
      <c r="L816" s="298">
        <f t="shared" si="51"/>
        <v>10</v>
      </c>
      <c r="M816" s="567" t="s">
        <v>335</v>
      </c>
      <c r="N816" s="566"/>
      <c r="O816" s="604"/>
      <c r="P816" s="586" t="s">
        <v>1425</v>
      </c>
    </row>
    <row r="817" spans="1:16" customFormat="1" ht="12.75" customHeight="1" x14ac:dyDescent="0.3">
      <c r="A817" s="566"/>
      <c r="B817" s="566"/>
      <c r="C817" s="566" t="s">
        <v>1447</v>
      </c>
      <c r="D817" s="566"/>
      <c r="E817" s="566"/>
      <c r="F817" s="566"/>
      <c r="G817" s="566" t="s">
        <v>3431</v>
      </c>
      <c r="H817" s="566" t="s">
        <v>335</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335</v>
      </c>
      <c r="N817" s="566"/>
      <c r="O817" s="604"/>
      <c r="P817" s="566"/>
    </row>
    <row r="818" spans="1:16" customFormat="1" ht="12.75" customHeight="1" x14ac:dyDescent="0.3">
      <c r="A818" s="566"/>
      <c r="B818" s="566"/>
      <c r="C818" s="566" t="s">
        <v>1449</v>
      </c>
      <c r="D818" s="566"/>
      <c r="E818" s="566"/>
      <c r="F818" s="566"/>
      <c r="G818" s="567" t="s">
        <v>3432</v>
      </c>
      <c r="H818" s="567" t="s">
        <v>335</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335</v>
      </c>
      <c r="N818" s="566"/>
      <c r="O818" s="604"/>
      <c r="P818" s="566"/>
    </row>
    <row r="819" spans="1:16" customFormat="1" ht="12.75" customHeight="1" x14ac:dyDescent="0.3">
      <c r="A819" s="566" t="s">
        <v>1469</v>
      </c>
      <c r="B819" s="566"/>
      <c r="C819" s="566"/>
      <c r="D819" s="566"/>
      <c r="E819" s="566"/>
      <c r="F819" s="566"/>
      <c r="G819" s="567" t="s">
        <v>3433</v>
      </c>
      <c r="H819" s="567" t="s">
        <v>335</v>
      </c>
      <c r="I819" s="677"/>
      <c r="J819" s="294" t="str">
        <f>IF(ISBLANK(HLOOKUP(CaseName,CaseData,MATCH($G819,cases!$G$4:$G$2494,0),FALSE)),"",HLOOKUP(CaseName,CaseData,MATCH($G819,cases!$G$4:$G$2494,0),FALSE))</f>
        <v/>
      </c>
      <c r="K819" s="576">
        <f>L820*L821*AtefSP.w2</f>
        <v>5.0293853123192263E-5</v>
      </c>
      <c r="L819" s="298">
        <f t="shared" si="51"/>
        <v>5.0293853123192263E-5</v>
      </c>
      <c r="M819" s="566" t="s">
        <v>335</v>
      </c>
      <c r="N819" s="566"/>
      <c r="O819" s="604"/>
      <c r="P819" s="566"/>
    </row>
    <row r="820" spans="1:16" customFormat="1" ht="12.75" customHeight="1" x14ac:dyDescent="0.3">
      <c r="A820" s="566"/>
      <c r="B820" s="566" t="s">
        <v>1463</v>
      </c>
      <c r="C820" s="566"/>
      <c r="D820" s="566"/>
      <c r="E820" s="566"/>
      <c r="F820" s="566"/>
      <c r="G820" s="567" t="s">
        <v>3434</v>
      </c>
      <c r="H820" s="567" t="s">
        <v>708</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708</v>
      </c>
      <c r="N820" s="566"/>
      <c r="O820" s="604"/>
      <c r="P820" s="566"/>
    </row>
    <row r="821" spans="1:16" customFormat="1" ht="12.75" customHeight="1" x14ac:dyDescent="0.3">
      <c r="A821" s="566"/>
      <c r="B821" s="566" t="s">
        <v>1474</v>
      </c>
      <c r="C821" s="566"/>
      <c r="D821" s="566"/>
      <c r="E821" s="566"/>
      <c r="F821" s="566"/>
      <c r="G821" s="567" t="s">
        <v>3435</v>
      </c>
      <c r="H821" s="566" t="s">
        <v>335</v>
      </c>
      <c r="I821" s="677"/>
      <c r="J821" s="294" t="str">
        <f>IF(ISBLANK(HLOOKUP(CaseName,CaseData,MATCH($G821,cases!$G$4:$G$2494,0),FALSE)),"",HLOOKUP(CaseName,CaseData,MATCH($G821,cases!$G$4:$G$2494,0),FALSE))</f>
        <v/>
      </c>
      <c r="K821" s="576">
        <f>L827+L828+L822</f>
        <v>2.844050390865808E-15</v>
      </c>
      <c r="L821" s="298">
        <f t="shared" si="51"/>
        <v>2.844050390865808E-15</v>
      </c>
      <c r="M821" s="566" t="s">
        <v>335</v>
      </c>
      <c r="N821" s="566"/>
      <c r="O821" s="604"/>
      <c r="P821" s="566"/>
    </row>
    <row r="822" spans="1:16" customFormat="1" ht="12.75" customHeight="1" x14ac:dyDescent="0.3">
      <c r="A822" s="566"/>
      <c r="B822" s="566"/>
      <c r="C822" s="566" t="s">
        <v>1459</v>
      </c>
      <c r="D822" s="566"/>
      <c r="E822" s="566"/>
      <c r="F822" s="566"/>
      <c r="G822" s="567" t="s">
        <v>3436</v>
      </c>
      <c r="H822" s="567" t="s">
        <v>335</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335</v>
      </c>
      <c r="N822" s="566"/>
      <c r="O822" s="604"/>
      <c r="P822" s="566"/>
    </row>
    <row r="823" spans="1:16" customFormat="1" ht="12.75" customHeight="1" x14ac:dyDescent="0.3">
      <c r="A823" s="566" t="s">
        <v>1469</v>
      </c>
      <c r="B823" s="566"/>
      <c r="C823" s="566"/>
      <c r="D823" s="566"/>
      <c r="E823" s="566"/>
      <c r="F823" s="566"/>
      <c r="G823" s="567" t="s">
        <v>3437</v>
      </c>
      <c r="H823" s="567" t="s">
        <v>335</v>
      </c>
      <c r="I823" s="677"/>
      <c r="J823" s="294" t="str">
        <f>IF(ISBLANK(HLOOKUP(CaseName,CaseData,MATCH($G823,cases!$G$4:$G$2494,0),FALSE)),"",HLOOKUP(CaseName,CaseData,MATCH($G823,cases!$G$4:$G$2494,0),FALSE))</f>
        <v/>
      </c>
      <c r="K823" s="576">
        <f>L824*L825*AtefSP.w3</f>
        <v>5.0293853123192263E-5</v>
      </c>
      <c r="L823" s="298">
        <f t="shared" si="51"/>
        <v>5.0293853123192263E-5</v>
      </c>
      <c r="M823" s="566" t="s">
        <v>335</v>
      </c>
      <c r="N823" s="566"/>
      <c r="O823" s="604"/>
      <c r="P823" s="566"/>
    </row>
    <row r="824" spans="1:16" customFormat="1" ht="12.75" customHeight="1" x14ac:dyDescent="0.3">
      <c r="A824" s="566"/>
      <c r="B824" s="566" t="s">
        <v>1463</v>
      </c>
      <c r="C824" s="566"/>
      <c r="D824" s="566"/>
      <c r="E824" s="566"/>
      <c r="F824" s="566"/>
      <c r="G824" s="567" t="s">
        <v>3438</v>
      </c>
      <c r="H824" s="567" t="s">
        <v>708</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708</v>
      </c>
      <c r="N824" s="566"/>
      <c r="O824" s="604"/>
      <c r="P824" s="566"/>
    </row>
    <row r="825" spans="1:16" customFormat="1" ht="12.75" customHeight="1" x14ac:dyDescent="0.3">
      <c r="A825" s="566"/>
      <c r="B825" s="566" t="s">
        <v>1474</v>
      </c>
      <c r="C825" s="566"/>
      <c r="D825" s="566"/>
      <c r="E825" s="566"/>
      <c r="F825" s="566"/>
      <c r="G825" s="567" t="s">
        <v>3439</v>
      </c>
      <c r="H825" s="566" t="s">
        <v>335</v>
      </c>
      <c r="I825" s="677"/>
      <c r="J825" s="294" t="str">
        <f>IF(ISBLANK(HLOOKUP(CaseName,CaseData,MATCH($G825,cases!$G$4:$G$2494,0),FALSE)),"",HLOOKUP(CaseName,CaseData,MATCH($G825,cases!$G$4:$G$2494,0),FALSE))</f>
        <v/>
      </c>
      <c r="K825" s="576">
        <f>L827+L828+L826</f>
        <v>2.844050390865808E-15</v>
      </c>
      <c r="L825" s="298">
        <f t="shared" si="51"/>
        <v>2.844050390865808E-15</v>
      </c>
      <c r="M825" s="566" t="s">
        <v>335</v>
      </c>
      <c r="N825" s="566"/>
      <c r="O825" s="604"/>
      <c r="P825" s="566"/>
    </row>
    <row r="826" spans="1:16" customFormat="1" ht="12.75" customHeight="1" x14ac:dyDescent="0.3">
      <c r="A826" s="566"/>
      <c r="B826" s="566"/>
      <c r="C826" s="566" t="s">
        <v>1459</v>
      </c>
      <c r="D826" s="566"/>
      <c r="E826" s="566"/>
      <c r="F826" s="566"/>
      <c r="G826" s="567" t="s">
        <v>3440</v>
      </c>
      <c r="H826" s="567" t="s">
        <v>335</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335</v>
      </c>
      <c r="N826" s="566"/>
      <c r="O826" s="604"/>
      <c r="P826" s="566"/>
    </row>
    <row r="827" spans="1:16" customFormat="1" ht="12.75" customHeight="1" x14ac:dyDescent="0.3">
      <c r="A827" s="566"/>
      <c r="B827" s="566"/>
      <c r="C827" s="566" t="s">
        <v>1477</v>
      </c>
      <c r="D827" s="566"/>
      <c r="E827" s="566"/>
      <c r="F827" s="566"/>
      <c r="G827" s="567" t="s">
        <v>3441</v>
      </c>
      <c r="H827" s="567" t="s">
        <v>335</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335</v>
      </c>
      <c r="N827" s="566"/>
      <c r="O827" s="604"/>
      <c r="P827" s="566"/>
    </row>
    <row r="828" spans="1:16" customFormat="1" ht="12.75" customHeight="1" x14ac:dyDescent="0.3">
      <c r="A828" s="566"/>
      <c r="B828" s="566"/>
      <c r="C828" s="566" t="s">
        <v>2248</v>
      </c>
      <c r="D828" s="566"/>
      <c r="E828" s="566"/>
      <c r="F828" s="566"/>
      <c r="G828" s="567" t="s">
        <v>3442</v>
      </c>
      <c r="H828" s="567" t="s">
        <v>335</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335</v>
      </c>
      <c r="N828" s="566"/>
      <c r="O828" s="604"/>
      <c r="P828" s="566"/>
    </row>
    <row r="829" spans="1:16" customFormat="1" ht="12.75" customHeight="1" x14ac:dyDescent="0.3">
      <c r="A829" s="410" t="s">
        <v>3443</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2782</v>
      </c>
      <c r="B830" s="566"/>
      <c r="C830" s="566"/>
      <c r="D830" s="566"/>
      <c r="E830" s="566"/>
      <c r="F830" s="566"/>
      <c r="G830" s="567" t="s">
        <v>3444</v>
      </c>
      <c r="H830" s="567" t="s">
        <v>335</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335</v>
      </c>
      <c r="N830" s="566" t="s">
        <v>2784</v>
      </c>
      <c r="O830" s="604"/>
      <c r="P830" s="566"/>
    </row>
    <row r="831" spans="1:16" customFormat="1" ht="12.75" customHeight="1" x14ac:dyDescent="0.3">
      <c r="A831" s="566"/>
      <c r="B831" s="566" t="s">
        <v>1493</v>
      </c>
      <c r="C831" s="566"/>
      <c r="D831" s="566"/>
      <c r="E831" s="566"/>
      <c r="F831" s="566"/>
      <c r="G831" s="567" t="s">
        <v>3445</v>
      </c>
      <c r="H831" s="567" t="s">
        <v>708</v>
      </c>
      <c r="I831" s="677"/>
      <c r="J831" s="294" t="str">
        <f>IF(ISBLANK(HLOOKUP(CaseName,CaseData,MATCH($G831,cases!$G$4:$G$2494,0),FALSE)),"",HLOOKUP(CaseName,CaseData,MATCH($G831,cases!$G$4:$G$2494,0),FALSE))</f>
        <v/>
      </c>
      <c r="K831" s="576">
        <f>L808</f>
        <v>70735530263064.578</v>
      </c>
      <c r="L831" s="298">
        <f t="shared" si="52"/>
        <v>70735530263064.578</v>
      </c>
      <c r="M831" s="567" t="s">
        <v>708</v>
      </c>
      <c r="N831" s="566" t="s">
        <v>2253</v>
      </c>
      <c r="O831" s="604"/>
      <c r="P831" s="586" t="s">
        <v>3136</v>
      </c>
    </row>
    <row r="832" spans="1:16" customFormat="1" ht="12.75" customHeight="1" x14ac:dyDescent="0.3">
      <c r="A832" s="566"/>
      <c r="B832" s="566"/>
      <c r="C832" s="566" t="s">
        <v>1447</v>
      </c>
      <c r="D832" s="566"/>
      <c r="E832" s="566"/>
      <c r="F832" s="566"/>
      <c r="G832" s="566" t="s">
        <v>3446</v>
      </c>
      <c r="H832" s="566" t="s">
        <v>335</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335</v>
      </c>
      <c r="N832" s="566"/>
      <c r="O832" s="604"/>
      <c r="P832" s="566"/>
    </row>
    <row r="833" spans="1:16" customFormat="1" ht="12.75" customHeight="1" x14ac:dyDescent="0.3">
      <c r="A833" s="566"/>
      <c r="B833" s="566"/>
      <c r="C833" s="566" t="s">
        <v>1449</v>
      </c>
      <c r="D833" s="566"/>
      <c r="E833" s="566"/>
      <c r="F833" s="566"/>
      <c r="G833" s="567" t="s">
        <v>3447</v>
      </c>
      <c r="H833" s="567" t="s">
        <v>335</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335</v>
      </c>
      <c r="N833" s="566"/>
      <c r="O833" s="604"/>
      <c r="P833" s="566"/>
    </row>
    <row r="834" spans="1:16" customFormat="1" ht="12.75" customHeight="1" x14ac:dyDescent="0.3">
      <c r="A834" s="566" t="s">
        <v>2788</v>
      </c>
      <c r="B834" s="566"/>
      <c r="C834" s="566"/>
      <c r="D834" s="566"/>
      <c r="E834" s="566"/>
      <c r="F834" s="566"/>
      <c r="G834" s="567" t="s">
        <v>3448</v>
      </c>
      <c r="H834" s="567" t="s">
        <v>335</v>
      </c>
      <c r="I834" s="677"/>
      <c r="J834" s="294" t="str">
        <f>IF(ISBLANK(HLOOKUP(CaseName,CaseData,MATCH($G834,cases!$G$4:$G$2494,0),FALSE)),"",HLOOKUP(CaseName,CaseData,MATCH($G834,cases!$G$4:$G$2494,0),FALSE))</f>
        <v/>
      </c>
      <c r="K834" s="576">
        <f>L835*L837*L836*AtefSP.sd2</f>
        <v>1.693668768049263E-2</v>
      </c>
      <c r="L834" s="298">
        <f t="shared" si="52"/>
        <v>1.693668768049263E-2</v>
      </c>
      <c r="M834" s="567" t="s">
        <v>335</v>
      </c>
      <c r="N834" s="566" t="s">
        <v>2784</v>
      </c>
      <c r="O834" s="604"/>
      <c r="P834" s="566"/>
    </row>
    <row r="835" spans="1:16" customFormat="1" ht="12.75" customHeight="1" x14ac:dyDescent="0.3">
      <c r="A835" s="566"/>
      <c r="B835" s="566" t="s">
        <v>1504</v>
      </c>
      <c r="C835" s="566"/>
      <c r="D835" s="566"/>
      <c r="E835" s="566"/>
      <c r="F835" s="566"/>
      <c r="G835" s="567" t="s">
        <v>3449</v>
      </c>
      <c r="H835" s="567" t="s">
        <v>1506</v>
      </c>
      <c r="I835" s="677"/>
      <c r="J835" s="294" t="str">
        <f>IF(ISBLANK(HLOOKUP(CaseName,CaseData,MATCH($G835,cases!$G$4:$G$2494,0),FALSE)),"",HLOOKUP(CaseName,CaseData,MATCH($G835,cases!$G$4:$G$2494,0),FALSE))</f>
        <v/>
      </c>
      <c r="K835" s="576">
        <f>(3/2)*((1-L841)/(2*RadFP.sd*L841))</f>
        <v>1464.8437499999995</v>
      </c>
      <c r="L835" s="298">
        <f t="shared" si="52"/>
        <v>1464.8437499999995</v>
      </c>
      <c r="M835" s="567" t="s">
        <v>1506</v>
      </c>
      <c r="N835" s="566"/>
      <c r="O835" s="604"/>
      <c r="P835" s="566"/>
    </row>
    <row r="836" spans="1:16" customFormat="1" ht="12.75" customHeight="1" x14ac:dyDescent="0.3">
      <c r="A836" s="566"/>
      <c r="B836" s="566" t="s">
        <v>1507</v>
      </c>
      <c r="C836" s="566"/>
      <c r="D836" s="566"/>
      <c r="E836" s="566"/>
      <c r="F836" s="566"/>
      <c r="G836" s="566" t="s">
        <v>3450</v>
      </c>
      <c r="H836" s="567" t="s">
        <v>866</v>
      </c>
      <c r="I836" s="677"/>
      <c r="J836" s="294" t="str">
        <f>IF(ISBLANK(HLOOKUP(CaseName,CaseData,MATCH($G836,cases!$G$4:$G$2494,0),FALSE)),"",HLOOKUP(CaseName,CaseData,MATCH($G836,cases!$G$4:$G$2494,0),FALSE))</f>
        <v/>
      </c>
      <c r="K836" s="627">
        <f>9*10^-6</f>
        <v>9.0000000000000002E-6</v>
      </c>
      <c r="L836" s="298">
        <f t="shared" si="52"/>
        <v>9.0000000000000002E-6</v>
      </c>
      <c r="M836" s="567" t="s">
        <v>866</v>
      </c>
      <c r="N836" s="566"/>
      <c r="O836" s="604"/>
      <c r="P836" s="566" t="s">
        <v>1509</v>
      </c>
    </row>
    <row r="837" spans="1:16" customFormat="1" ht="12.75" customHeight="1" x14ac:dyDescent="0.3">
      <c r="A837" s="566"/>
      <c r="B837" s="566" t="s">
        <v>1510</v>
      </c>
      <c r="C837" s="566"/>
      <c r="D837" s="566"/>
      <c r="E837" s="566"/>
      <c r="F837" s="566"/>
      <c r="G837" s="567" t="s">
        <v>3451</v>
      </c>
      <c r="H837" s="567" t="s">
        <v>291</v>
      </c>
      <c r="I837" s="677"/>
      <c r="J837" s="294" t="str">
        <f>IF(ISBLANK(HLOOKUP(CaseName,CaseData,MATCH($G837,cases!$G$4:$G$2494,0),FALSE)),"",HLOOKUP(CaseName,CaseData,MATCH($G837,cases!$G$4:$G$2494,0),FALSE))</f>
        <v/>
      </c>
      <c r="K837" s="576">
        <f>L838+L842+L843</f>
        <v>1.2846791248018117</v>
      </c>
      <c r="L837" s="298">
        <f t="shared" si="52"/>
        <v>1.2846791248018117</v>
      </c>
      <c r="M837" s="567" t="s">
        <v>291</v>
      </c>
      <c r="N837" s="566"/>
      <c r="O837" s="604"/>
      <c r="P837" s="566" t="s">
        <v>1509</v>
      </c>
    </row>
    <row r="838" spans="1:16" customFormat="1" ht="12.75" customHeight="1" x14ac:dyDescent="0.3">
      <c r="A838" s="566"/>
      <c r="B838" s="566"/>
      <c r="C838" s="566" t="s">
        <v>1512</v>
      </c>
      <c r="D838" s="566"/>
      <c r="E838" s="566"/>
      <c r="F838" s="566"/>
      <c r="G838" s="567" t="s">
        <v>3452</v>
      </c>
      <c r="H838" s="567" t="s">
        <v>291</v>
      </c>
      <c r="I838" s="677"/>
      <c r="J838" s="294" t="str">
        <f>IF(ISBLANK(HLOOKUP(CaseName,CaseData,MATCH($G838,cases!$G$4:$G$2494,0),FALSE)),"",HLOOKUP(CaseName,CaseData,MATCH($G838,cases!$G$4:$G$2494,0),FALSE))</f>
        <v/>
      </c>
      <c r="K838" s="576">
        <f>2.4*L846^(1/3)*L845^(-0.081)*L846^(-0.715)*L844^(0.053)</f>
        <v>1.284625407823248</v>
      </c>
      <c r="L838" s="298">
        <f t="shared" si="52"/>
        <v>1.284625407823248</v>
      </c>
      <c r="M838" s="567" t="s">
        <v>291</v>
      </c>
      <c r="N838" s="566"/>
      <c r="O838" s="604"/>
      <c r="P838" s="566" t="s">
        <v>1509</v>
      </c>
    </row>
    <row r="839" spans="1:16" customFormat="1" ht="12.75" customHeight="1" x14ac:dyDescent="0.3">
      <c r="A839" s="566"/>
      <c r="B839" s="566"/>
      <c r="C839" s="566"/>
      <c r="D839" s="566" t="s">
        <v>1514</v>
      </c>
      <c r="E839" s="566"/>
      <c r="F839" s="566"/>
      <c r="G839" s="566" t="s">
        <v>3453</v>
      </c>
      <c r="H839" s="567" t="s">
        <v>291</v>
      </c>
      <c r="I839" s="677"/>
      <c r="J839" s="294" t="str">
        <f>IF(ISBLANK(HLOOKUP(CaseName,CaseData,MATCH($G839,cases!$G$4:$G$2494,0),FALSE)),"",HLOOKUP(CaseName,CaseData,MATCH($G839,cases!$G$4:$G$2494,0),FALSE))</f>
        <v/>
      </c>
      <c r="K839" s="627">
        <f>(2*(1-L840^5))/(2-3*L840+3*L840^5-2*L840^6)</f>
        <v>5.0249997549306684</v>
      </c>
      <c r="L839" s="298">
        <f t="shared" si="52"/>
        <v>5.0249997549306684</v>
      </c>
      <c r="M839" s="567" t="s">
        <v>291</v>
      </c>
      <c r="N839" s="566"/>
      <c r="O839" s="604"/>
      <c r="P839" s="566" t="s">
        <v>1509</v>
      </c>
    </row>
    <row r="840" spans="1:16" customFormat="1" ht="12.75" customHeight="1" x14ac:dyDescent="0.3">
      <c r="A840" s="566"/>
      <c r="B840" s="566"/>
      <c r="C840" s="566"/>
      <c r="D840" s="566"/>
      <c r="E840" s="566" t="s">
        <v>1516</v>
      </c>
      <c r="F840" s="566"/>
      <c r="G840" s="566" t="s">
        <v>3454</v>
      </c>
      <c r="H840" s="567" t="s">
        <v>291</v>
      </c>
      <c r="I840" s="677"/>
      <c r="J840" s="294" t="str">
        <f>IF(ISBLANK(HLOOKUP(CaseName,CaseData,MATCH($G840,cases!$G$4:$G$2494,0),FALSE)),"",HLOOKUP(CaseName,CaseData,MATCH($G840,cases!$G$4:$G$2494,0),FALSE))</f>
        <v/>
      </c>
      <c r="K840" s="627">
        <f>(1-L841)^(1/3)</f>
        <v>0.58480354764257325</v>
      </c>
      <c r="L840" s="298">
        <f t="shared" si="52"/>
        <v>0.58480354764257325</v>
      </c>
      <c r="M840" s="567" t="s">
        <v>291</v>
      </c>
      <c r="N840" s="566"/>
      <c r="O840" s="604"/>
      <c r="P840" s="566" t="s">
        <v>1509</v>
      </c>
    </row>
    <row r="841" spans="1:16" customFormat="1" ht="12.75" customHeight="1" x14ac:dyDescent="0.3">
      <c r="A841" s="566"/>
      <c r="B841" s="566"/>
      <c r="C841" s="566"/>
      <c r="D841" s="566"/>
      <c r="E841" s="566"/>
      <c r="F841" s="566" t="s">
        <v>1518</v>
      </c>
      <c r="G841" s="566" t="s">
        <v>3455</v>
      </c>
      <c r="H841" s="567" t="s">
        <v>1520</v>
      </c>
      <c r="I841" s="677"/>
      <c r="J841" s="294" t="str">
        <f>IF(ISBLANK(HLOOKUP(CaseName,CaseData,MATCH($G841,cases!$G$4:$G$2494,0),FALSE)),"",HLOOKUP(CaseName,CaseData,MATCH($G841,cases!$G$4:$G$2494,0),FALSE))</f>
        <v/>
      </c>
      <c r="K841" s="576">
        <f>L676</f>
        <v>0.8</v>
      </c>
      <c r="L841" s="298">
        <f t="shared" si="52"/>
        <v>0.8</v>
      </c>
      <c r="M841" s="567" t="s">
        <v>1520</v>
      </c>
      <c r="N841" s="566" t="s">
        <v>1521</v>
      </c>
      <c r="O841" s="604"/>
      <c r="P841" s="566"/>
    </row>
    <row r="842" spans="1:16" customFormat="1" ht="12.75" customHeight="1" x14ac:dyDescent="0.3">
      <c r="A842" s="566"/>
      <c r="B842" s="566"/>
      <c r="C842" s="566" t="s">
        <v>1522</v>
      </c>
      <c r="D842" s="566"/>
      <c r="E842" s="566"/>
      <c r="F842" s="566"/>
      <c r="G842" s="567" t="s">
        <v>3456</v>
      </c>
      <c r="H842" s="567" t="s">
        <v>291</v>
      </c>
      <c r="I842" s="677"/>
      <c r="J842" s="294" t="str">
        <f>IF(ISBLANK(HLOOKUP(CaseName,CaseData,MATCH($G842,cases!$G$4:$G$2494,0),FALSE)),"",HLOOKUP(CaseName,CaseData,MATCH($G842,cases!$G$4:$G$2494,0),FALSE))</f>
        <v/>
      </c>
      <c r="K842" s="576">
        <f>0.55*L845^1.55*L846^-0.125*L844^0.125</f>
        <v>5.9722169185666262E-8</v>
      </c>
      <c r="L842" s="298">
        <f t="shared" si="52"/>
        <v>5.9722169185666262E-8</v>
      </c>
      <c r="M842" s="567" t="s">
        <v>291</v>
      </c>
      <c r="N842" s="566"/>
      <c r="O842" s="604"/>
      <c r="P842" s="566" t="s">
        <v>1509</v>
      </c>
    </row>
    <row r="843" spans="1:16" customFormat="1" ht="12.75" customHeight="1" x14ac:dyDescent="0.3">
      <c r="A843" s="566"/>
      <c r="B843" s="566"/>
      <c r="C843" s="566" t="s">
        <v>1524</v>
      </c>
      <c r="D843" s="566"/>
      <c r="E843" s="566"/>
      <c r="F843" s="566"/>
      <c r="G843" s="567" t="s">
        <v>3457</v>
      </c>
      <c r="H843" s="567" t="s">
        <v>291</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291</v>
      </c>
      <c r="N843" s="566"/>
      <c r="O843" s="604"/>
      <c r="P843" s="566" t="s">
        <v>1509</v>
      </c>
    </row>
    <row r="844" spans="1:16" customFormat="1" ht="12.75" customHeight="1" x14ac:dyDescent="0.3">
      <c r="A844" s="566"/>
      <c r="B844" s="566"/>
      <c r="C844" s="566"/>
      <c r="D844" s="566" t="s">
        <v>1526</v>
      </c>
      <c r="E844" s="566"/>
      <c r="F844" s="566"/>
      <c r="G844" s="566" t="s">
        <v>3458</v>
      </c>
      <c r="H844" s="567" t="s">
        <v>291</v>
      </c>
      <c r="I844" s="677"/>
      <c r="J844" s="294" t="str">
        <f>IF(ISBLANK(HLOOKUP(CaseName,CaseData,MATCH($G844,cases!$G$4:$G$2494,0),FALSE)),"",HLOOKUP(CaseName,CaseData,MATCH($G844,cases!$G$4:$G$2494,0),FALSE))</f>
        <v/>
      </c>
      <c r="K844" s="627">
        <f>AHamakerSP.w/(kboltz*L696)</f>
        <v>4.9096652891980099</v>
      </c>
      <c r="L844" s="298">
        <f t="shared" si="52"/>
        <v>4.9096652891980099</v>
      </c>
      <c r="M844" s="567" t="s">
        <v>291</v>
      </c>
      <c r="N844" s="566"/>
      <c r="O844" s="604"/>
      <c r="P844" s="566" t="s">
        <v>1509</v>
      </c>
    </row>
    <row r="845" spans="1:16" customFormat="1" ht="12.75" customHeight="1" x14ac:dyDescent="0.3">
      <c r="A845" s="566"/>
      <c r="B845" s="566"/>
      <c r="C845" s="566"/>
      <c r="D845" s="566" t="s">
        <v>1528</v>
      </c>
      <c r="E845" s="566"/>
      <c r="F845" s="566"/>
      <c r="G845" s="566" t="s">
        <v>3459</v>
      </c>
      <c r="H845" s="567" t="s">
        <v>1530</v>
      </c>
      <c r="I845" s="677"/>
      <c r="J845" s="294" t="str">
        <f>IF(ISBLANK(HLOOKUP(CaseName,CaseData,MATCH($G845,cases!$G$4:$G$2494,0),FALSE)),"",HLOOKUP(CaseName,CaseData,MATCH($G845,cases!$G$4:$G$2494,0),FALSE))</f>
        <v/>
      </c>
      <c r="K845" s="627">
        <f>RadS/RadFP.sd</f>
        <v>3.9062500000000001E-5</v>
      </c>
      <c r="L845" s="298">
        <f t="shared" si="52"/>
        <v>3.9062500000000001E-5</v>
      </c>
      <c r="M845" s="567" t="s">
        <v>1530</v>
      </c>
      <c r="N845" s="566"/>
      <c r="O845" s="604"/>
      <c r="P845" s="566" t="s">
        <v>1509</v>
      </c>
    </row>
    <row r="846" spans="1:16" customFormat="1" ht="12.75" customHeight="1" x14ac:dyDescent="0.3">
      <c r="A846" s="566"/>
      <c r="B846" s="566"/>
      <c r="C846" s="566"/>
      <c r="D846" s="566" t="s">
        <v>1531</v>
      </c>
      <c r="E846" s="566"/>
      <c r="F846" s="566"/>
      <c r="G846" s="566" t="s">
        <v>3460</v>
      </c>
      <c r="H846" s="567" t="s">
        <v>291</v>
      </c>
      <c r="I846" s="677"/>
      <c r="J846" s="294" t="str">
        <f>IF(ISBLANK(HLOOKUP(CaseName,CaseData,MATCH($G846,cases!$G$4:$G$2494,0),FALSE)),"",HLOOKUP(CaseName,CaseData,MATCH($G846,cases!$G$4:$G$2494,0),FALSE))</f>
        <v/>
      </c>
      <c r="K846" s="627">
        <f>(L836*2*RadFP.sd)/DiffS.wC</f>
        <v>55.295939834256309</v>
      </c>
      <c r="L846" s="298">
        <f t="shared" si="52"/>
        <v>55.295939834256309</v>
      </c>
      <c r="M846" s="567" t="s">
        <v>291</v>
      </c>
      <c r="N846" s="566"/>
      <c r="O846" s="604"/>
      <c r="P846" s="566" t="s">
        <v>1509</v>
      </c>
    </row>
    <row r="847" spans="1:16" customFormat="1" ht="12.75" customHeight="1" x14ac:dyDescent="0.3">
      <c r="A847" s="566"/>
      <c r="B847" s="566"/>
      <c r="C847" s="566"/>
      <c r="D847" s="566" t="s">
        <v>1533</v>
      </c>
      <c r="E847" s="566"/>
      <c r="F847" s="566"/>
      <c r="G847" s="567" t="s">
        <v>3461</v>
      </c>
      <c r="H847" s="567" t="s">
        <v>291</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291</v>
      </c>
      <c r="N847" s="566"/>
      <c r="O847" s="604"/>
      <c r="P847" s="566" t="s">
        <v>1509</v>
      </c>
    </row>
    <row r="848" spans="1:16" customFormat="1" ht="12.75" customHeight="1" x14ac:dyDescent="0.3">
      <c r="A848" s="410" t="s">
        <v>3462</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2804</v>
      </c>
      <c r="B849" s="566"/>
      <c r="C849" s="566"/>
      <c r="D849" s="566"/>
      <c r="E849" s="566"/>
      <c r="F849" s="566"/>
      <c r="G849" s="567" t="s">
        <v>3463</v>
      </c>
      <c r="H849" s="567" t="s">
        <v>335</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335</v>
      </c>
      <c r="N849" s="566"/>
      <c r="O849" s="604"/>
      <c r="P849" s="566"/>
    </row>
    <row r="850" spans="1:16" customFormat="1" ht="12.75" customHeight="1" x14ac:dyDescent="0.3">
      <c r="A850" s="566"/>
      <c r="B850" s="566" t="s">
        <v>1542</v>
      </c>
      <c r="C850" s="566"/>
      <c r="D850" s="566"/>
      <c r="E850" s="566"/>
      <c r="F850" s="566"/>
      <c r="G850" s="567" t="s">
        <v>3464</v>
      </c>
      <c r="H850" s="567" t="s">
        <v>708</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708</v>
      </c>
      <c r="N850" s="566"/>
      <c r="O850" s="604"/>
      <c r="P850" s="566"/>
    </row>
    <row r="851" spans="1:16" customFormat="1" ht="12.75" customHeight="1" x14ac:dyDescent="0.3">
      <c r="A851" s="566"/>
      <c r="B851" s="566" t="s">
        <v>727</v>
      </c>
      <c r="C851" s="566"/>
      <c r="D851" s="566"/>
      <c r="E851" s="566"/>
      <c r="F851" s="566"/>
      <c r="G851" s="567" t="s">
        <v>3465</v>
      </c>
      <c r="H851" s="567" t="s">
        <v>729</v>
      </c>
      <c r="I851" s="677"/>
      <c r="J851" s="294" t="str">
        <f>IF(ISBLANK(HLOOKUP(CaseName,CaseData,MATCH($G851,cases!$G$4:$G$2494,0),FALSE)),"",HLOOKUP(CaseName,CaseData,MATCH($G851,cases!$G$4:$G$2494,0),FALSE))</f>
        <v/>
      </c>
      <c r="K851" s="576">
        <v>100</v>
      </c>
      <c r="L851" s="298">
        <f>IF(ISBLANK(I851),IF(ISNUMBER(J851)=FALSE,K851/1000,J851/1000),I851/1000)</f>
        <v>0.1</v>
      </c>
      <c r="M851" s="567" t="s">
        <v>730</v>
      </c>
      <c r="N851" s="566" t="s">
        <v>731</v>
      </c>
      <c r="O851" s="604"/>
      <c r="P851" s="566"/>
    </row>
    <row r="852" spans="1:16" customFormat="1" ht="12.75" customHeight="1" x14ac:dyDescent="0.3">
      <c r="A852" s="566"/>
      <c r="B852" s="566" t="s">
        <v>1447</v>
      </c>
      <c r="C852" s="566"/>
      <c r="D852" s="566"/>
      <c r="E852" s="566"/>
      <c r="F852" s="566"/>
      <c r="G852" s="567" t="s">
        <v>3466</v>
      </c>
      <c r="H852" s="567" t="s">
        <v>335</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335</v>
      </c>
      <c r="N852" s="566"/>
      <c r="O852" s="604"/>
      <c r="P852" s="566"/>
    </row>
    <row r="853" spans="1:16" customFormat="1" ht="12.75" customHeight="1" x14ac:dyDescent="0.3">
      <c r="A853" s="566"/>
      <c r="B853" s="566" t="s">
        <v>1449</v>
      </c>
      <c r="C853" s="566"/>
      <c r="D853" s="566"/>
      <c r="E853" s="566"/>
      <c r="F853" s="566"/>
      <c r="G853" s="567" t="s">
        <v>3467</v>
      </c>
      <c r="H853" s="567" t="s">
        <v>335</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335</v>
      </c>
      <c r="N853" s="566"/>
      <c r="O853" s="604"/>
      <c r="P853" s="566"/>
    </row>
    <row r="854" spans="1:16" customFormat="1" ht="12.75" customHeight="1" x14ac:dyDescent="0.3">
      <c r="A854" s="566" t="s">
        <v>2811</v>
      </c>
      <c r="B854" s="566"/>
      <c r="C854" s="566"/>
      <c r="D854" s="566"/>
      <c r="E854" s="566"/>
      <c r="F854" s="566"/>
      <c r="G854" s="567" t="s">
        <v>3468</v>
      </c>
      <c r="H854" s="567" t="s">
        <v>335</v>
      </c>
      <c r="I854" s="677"/>
      <c r="J854" s="294" t="str">
        <f>IF(ISBLANK(HLOOKUP(CaseName,CaseData,MATCH($G854,cases!$G$4:$G$2494,0),FALSE)),"",HLOOKUP(CaseName,CaseData,MATCH($G854,cases!$G$4:$G$2494,0),FALSE))</f>
        <v/>
      </c>
      <c r="K854" s="576">
        <f>L855*L856*L857*AtefSP.s1</f>
        <v>7.1728089884129931E-3</v>
      </c>
      <c r="L854" s="298">
        <f t="shared" si="53"/>
        <v>7.1728089884129931E-3</v>
      </c>
      <c r="M854" s="567" t="s">
        <v>335</v>
      </c>
      <c r="N854" s="566"/>
      <c r="O854" s="604"/>
      <c r="P854" s="566"/>
    </row>
    <row r="855" spans="1:16" customFormat="1" ht="12.75" customHeight="1" x14ac:dyDescent="0.3">
      <c r="A855" s="566"/>
      <c r="B855" s="566" t="s">
        <v>1549</v>
      </c>
      <c r="C855" s="566"/>
      <c r="D855" s="566"/>
      <c r="E855" s="566"/>
      <c r="F855" s="566"/>
      <c r="G855" s="567" t="s">
        <v>3469</v>
      </c>
      <c r="H855" s="567" t="s">
        <v>1506</v>
      </c>
      <c r="I855" s="677"/>
      <c r="J855" s="294" t="str">
        <f>IF(ISBLANK(HLOOKUP(CaseName,CaseData,MATCH($G855,cases!$G$4:$G$2494,0),FALSE)),"",HLOOKUP(CaseName,CaseData,MATCH($G855,cases!$G$4:$G$2494,0),FALSE))</f>
        <v/>
      </c>
      <c r="K855" s="576">
        <f>(3/2)*(1-L861)/(2*RadFP.s*L861)</f>
        <v>8789.0625000000036</v>
      </c>
      <c r="L855" s="298">
        <f t="shared" si="53"/>
        <v>8789.0625000000036</v>
      </c>
      <c r="M855" s="567" t="s">
        <v>1506</v>
      </c>
      <c r="N855" s="566"/>
      <c r="O855" s="604"/>
      <c r="P855" s="566"/>
    </row>
    <row r="856" spans="1:16" customFormat="1" ht="12.75" customHeight="1" x14ac:dyDescent="0.3">
      <c r="A856" s="566"/>
      <c r="B856" s="566" t="s">
        <v>1551</v>
      </c>
      <c r="C856" s="566"/>
      <c r="D856" s="566"/>
      <c r="E856" s="566"/>
      <c r="F856" s="566"/>
      <c r="G856" s="566" t="s">
        <v>3470</v>
      </c>
      <c r="H856" s="567" t="s">
        <v>866</v>
      </c>
      <c r="I856" s="677"/>
      <c r="J856" s="294" t="str">
        <f>IF(ISBLANK(HLOOKUP(CaseName,CaseData,MATCH($G856,cases!$G$4:$G$2494,0),FALSE)),"",HLOOKUP(CaseName,CaseData,MATCH($G856,cases!$G$4:$G$2494,0),FALSE))</f>
        <v/>
      </c>
      <c r="K856" s="627">
        <f>9*10^-6</f>
        <v>9.0000000000000002E-6</v>
      </c>
      <c r="L856" s="298">
        <f t="shared" si="53"/>
        <v>9.0000000000000002E-6</v>
      </c>
      <c r="M856" s="567" t="s">
        <v>866</v>
      </c>
      <c r="N856" s="566"/>
      <c r="O856" s="604"/>
      <c r="P856" s="566" t="s">
        <v>1509</v>
      </c>
    </row>
    <row r="857" spans="1:16" customFormat="1" ht="12.75" customHeight="1" x14ac:dyDescent="0.3">
      <c r="A857" s="566"/>
      <c r="B857" s="566" t="s">
        <v>1510</v>
      </c>
      <c r="C857" s="566"/>
      <c r="D857" s="566"/>
      <c r="E857" s="566"/>
      <c r="F857" s="566"/>
      <c r="G857" s="567" t="s">
        <v>3471</v>
      </c>
      <c r="H857" s="567" t="s">
        <v>291</v>
      </c>
      <c r="I857" s="677"/>
      <c r="J857" s="294" t="str">
        <f>IF(ISBLANK(HLOOKUP(CaseName,CaseData,MATCH($G857,cases!$G$4:$G$2494,0),FALSE)),"",HLOOKUP(CaseName,CaseData,MATCH($G857,cases!$G$4:$G$2494,0),FALSE))</f>
        <v/>
      </c>
      <c r="K857" s="576">
        <f>L858+L862+L863</f>
        <v>1.133480926564028</v>
      </c>
      <c r="L857" s="298">
        <f t="shared" si="53"/>
        <v>1.133480926564028</v>
      </c>
      <c r="M857" s="567" t="s">
        <v>291</v>
      </c>
      <c r="N857" s="566"/>
      <c r="O857" s="604"/>
      <c r="P857" s="566" t="s">
        <v>1509</v>
      </c>
    </row>
    <row r="858" spans="1:16" customFormat="1" ht="12.75" customHeight="1" x14ac:dyDescent="0.3">
      <c r="A858" s="566"/>
      <c r="B858" s="566"/>
      <c r="C858" s="566" t="s">
        <v>1512</v>
      </c>
      <c r="D858" s="566"/>
      <c r="E858" s="566"/>
      <c r="F858" s="566"/>
      <c r="G858" s="567" t="s">
        <v>3472</v>
      </c>
      <c r="H858" s="567" t="s">
        <v>291</v>
      </c>
      <c r="I858" s="677"/>
      <c r="J858" s="294" t="str">
        <f>IF(ISBLANK(HLOOKUP(CaseName,CaseData,MATCH($G858,cases!$G$4:$G$2494,0),FALSE)),"",HLOOKUP(CaseName,CaseData,MATCH($G858,cases!$G$4:$G$2494,0),FALSE))</f>
        <v/>
      </c>
      <c r="K858" s="576">
        <f>2.4*L859^(1/3)*L864^(-0.081)*L865^-0.715*L866^0.053</f>
        <v>1.1334272095854643</v>
      </c>
      <c r="L858" s="298">
        <f t="shared" si="53"/>
        <v>1.1334272095854643</v>
      </c>
      <c r="M858" s="567" t="s">
        <v>291</v>
      </c>
      <c r="N858" s="566"/>
      <c r="O858" s="604"/>
      <c r="P858" s="566" t="s">
        <v>1509</v>
      </c>
    </row>
    <row r="859" spans="1:16" customFormat="1" ht="12.75" customHeight="1" x14ac:dyDescent="0.3">
      <c r="A859" s="566"/>
      <c r="B859" s="566"/>
      <c r="C859" s="566"/>
      <c r="D859" s="566" t="s">
        <v>1514</v>
      </c>
      <c r="E859" s="566"/>
      <c r="F859" s="566"/>
      <c r="G859" s="566" t="s">
        <v>3473</v>
      </c>
      <c r="H859" s="567" t="s">
        <v>291</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291</v>
      </c>
      <c r="N859" s="566"/>
      <c r="O859" s="604"/>
      <c r="P859" s="566" t="s">
        <v>1509</v>
      </c>
    </row>
    <row r="860" spans="1:16" customFormat="1" ht="12.75" customHeight="1" x14ac:dyDescent="0.3">
      <c r="A860" s="566"/>
      <c r="B860" s="566"/>
      <c r="C860" s="566"/>
      <c r="D860" s="566"/>
      <c r="E860" s="566" t="s">
        <v>1556</v>
      </c>
      <c r="F860" s="566"/>
      <c r="G860" s="566" t="s">
        <v>3474</v>
      </c>
      <c r="H860" s="567" t="s">
        <v>291</v>
      </c>
      <c r="I860" s="677"/>
      <c r="J860" s="294" t="str">
        <f>IF(ISBLANK(HLOOKUP(CaseName,CaseData,MATCH($G860,cases!$G$4:$G$2494,0),FALSE)),"",HLOOKUP(CaseName,CaseData,MATCH($G860,cases!$G$4:$G$2494,0),FALSE))</f>
        <v/>
      </c>
      <c r="K860" s="627">
        <f>(1-L861)^(1/3)</f>
        <v>0.84343266530174932</v>
      </c>
      <c r="L860" s="298">
        <f t="shared" si="53"/>
        <v>0.84343266530174932</v>
      </c>
      <c r="M860" s="567" t="s">
        <v>291</v>
      </c>
      <c r="N860" s="566"/>
      <c r="O860" s="604"/>
      <c r="P860" s="566" t="s">
        <v>1509</v>
      </c>
    </row>
    <row r="861" spans="1:16" customFormat="1" ht="12.75" customHeight="1" x14ac:dyDescent="0.3">
      <c r="A861" s="566"/>
      <c r="B861" s="566"/>
      <c r="C861" s="566"/>
      <c r="D861" s="566"/>
      <c r="E861" s="566"/>
      <c r="F861" s="566" t="s">
        <v>1558</v>
      </c>
      <c r="G861" s="566" t="s">
        <v>3475</v>
      </c>
      <c r="H861" s="567" t="s">
        <v>1520</v>
      </c>
      <c r="I861" s="677"/>
      <c r="J861" s="294" t="str">
        <f>IF(ISBLANK(HLOOKUP(CaseName,CaseData,MATCH($G861,cases!$G$4:$G$2494,0),FALSE)),"",HLOOKUP(CaseName,CaseData,MATCH($G861,cases!$G$4:$G$2494,0),FALSE))</f>
        <v/>
      </c>
      <c r="K861" s="576">
        <f>1-L675</f>
        <v>0.39999999999999991</v>
      </c>
      <c r="L861" s="298">
        <f t="shared" si="53"/>
        <v>0.39999999999999991</v>
      </c>
      <c r="M861" s="567" t="s">
        <v>1520</v>
      </c>
      <c r="N861" s="566" t="s">
        <v>1576</v>
      </c>
      <c r="O861" s="604"/>
      <c r="P861" s="566"/>
    </row>
    <row r="862" spans="1:16" customFormat="1" ht="12.75" customHeight="1" x14ac:dyDescent="0.3">
      <c r="A862" s="566"/>
      <c r="B862" s="566"/>
      <c r="C862" s="566" t="s">
        <v>1522</v>
      </c>
      <c r="D862" s="566"/>
      <c r="E862" s="566"/>
      <c r="F862" s="566"/>
      <c r="G862" s="567" t="s">
        <v>3476</v>
      </c>
      <c r="H862" s="567" t="s">
        <v>291</v>
      </c>
      <c r="I862" s="677"/>
      <c r="J862" s="294" t="str">
        <f>IF(ISBLANK(HLOOKUP(CaseName,CaseData,MATCH($G862,cases!$G$4:$G$2494,0),FALSE)),"",HLOOKUP(CaseName,CaseData,MATCH($G862,cases!$G$4:$G$2494,0),FALSE))</f>
        <v/>
      </c>
      <c r="K862" s="576">
        <f>0.55*L864^1.55*L865^-0.125*L866^0.125</f>
        <v>5.9722169185666262E-8</v>
      </c>
      <c r="L862" s="298">
        <f t="shared" si="53"/>
        <v>5.9722169185666262E-8</v>
      </c>
      <c r="M862" s="567" t="s">
        <v>291</v>
      </c>
      <c r="N862" s="566"/>
      <c r="O862" s="604"/>
      <c r="P862" s="566" t="s">
        <v>1509</v>
      </c>
    </row>
    <row r="863" spans="1:16" customFormat="1" ht="12.75" customHeight="1" x14ac:dyDescent="0.3">
      <c r="A863" s="566"/>
      <c r="B863" s="566"/>
      <c r="C863" s="566" t="s">
        <v>1524</v>
      </c>
      <c r="D863" s="566"/>
      <c r="E863" s="566"/>
      <c r="F863" s="566"/>
      <c r="G863" s="567" t="s">
        <v>3477</v>
      </c>
      <c r="H863" s="567" t="s">
        <v>291</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291</v>
      </c>
      <c r="N863" s="566"/>
      <c r="O863" s="604"/>
      <c r="P863" s="566" t="s">
        <v>1509</v>
      </c>
    </row>
    <row r="864" spans="1:16" customFormat="1" ht="12.75" customHeight="1" x14ac:dyDescent="0.3">
      <c r="A864" s="566"/>
      <c r="B864" s="566"/>
      <c r="C864" s="566"/>
      <c r="D864" s="566" t="s">
        <v>1528</v>
      </c>
      <c r="E864" s="566"/>
      <c r="F864" s="566"/>
      <c r="G864" s="566" t="s">
        <v>3478</v>
      </c>
      <c r="H864" s="567" t="s">
        <v>1530</v>
      </c>
      <c r="I864" s="677"/>
      <c r="J864" s="294" t="str">
        <f>IF(ISBLANK(HLOOKUP(CaseName,CaseData,MATCH($G864,cases!$G$4:$G$2494,0),FALSE)),"",HLOOKUP(CaseName,CaseData,MATCH($G864,cases!$G$4:$G$2494,0),FALSE))</f>
        <v/>
      </c>
      <c r="K864" s="627">
        <f>RadS/RadFP.s</f>
        <v>3.9062500000000001E-5</v>
      </c>
      <c r="L864" s="298">
        <f t="shared" si="53"/>
        <v>3.9062500000000001E-5</v>
      </c>
      <c r="M864" s="567" t="s">
        <v>1530</v>
      </c>
      <c r="N864" s="566"/>
      <c r="O864" s="604"/>
      <c r="P864" s="566" t="s">
        <v>1509</v>
      </c>
    </row>
    <row r="865" spans="1:16" customFormat="1" ht="12.75" customHeight="1" x14ac:dyDescent="0.3">
      <c r="A865" s="566"/>
      <c r="B865" s="566"/>
      <c r="C865" s="566"/>
      <c r="D865" s="566" t="s">
        <v>1531</v>
      </c>
      <c r="E865" s="566"/>
      <c r="F865" s="566"/>
      <c r="G865" s="566" t="s">
        <v>3479</v>
      </c>
      <c r="H865" s="567" t="s">
        <v>291</v>
      </c>
      <c r="I865" s="677"/>
      <c r="J865" s="294" t="str">
        <f>IF(ISBLANK(HLOOKUP(CaseName,CaseData,MATCH($G865,cases!$G$4:$G$2494,0),FALSE)),"",HLOOKUP(CaseName,CaseData,MATCH($G865,cases!$G$4:$G$2494,0),FALSE))</f>
        <v/>
      </c>
      <c r="K865" s="627">
        <f>(L856*2*RadFP.s)/(DiffS.wC)</f>
        <v>55.295939834256309</v>
      </c>
      <c r="L865" s="298">
        <f t="shared" si="53"/>
        <v>55.295939834256309</v>
      </c>
      <c r="M865" s="567" t="s">
        <v>291</v>
      </c>
      <c r="N865" s="566"/>
      <c r="O865" s="604"/>
      <c r="P865" s="566" t="s">
        <v>1509</v>
      </c>
    </row>
    <row r="866" spans="1:16" customFormat="1" ht="12.75" customHeight="1" x14ac:dyDescent="0.3">
      <c r="A866" s="566"/>
      <c r="B866" s="566"/>
      <c r="C866" s="566"/>
      <c r="D866" s="566" t="s">
        <v>1526</v>
      </c>
      <c r="E866" s="566"/>
      <c r="F866" s="566"/>
      <c r="G866" s="566" t="s">
        <v>3480</v>
      </c>
      <c r="H866" s="567" t="s">
        <v>291</v>
      </c>
      <c r="I866" s="677"/>
      <c r="J866" s="294" t="str">
        <f>IF(ISBLANK(HLOOKUP(CaseName,CaseData,MATCH($G866,cases!$G$4:$G$2494,0),FALSE)),"",HLOOKUP(CaseName,CaseData,MATCH($G866,cases!$G$4:$G$2494,0),FALSE))</f>
        <v/>
      </c>
      <c r="K866" s="627">
        <f>AHamakerSP.w/(kboltz*L696)</f>
        <v>4.9096652891980099</v>
      </c>
      <c r="L866" s="298">
        <f t="shared" si="53"/>
        <v>4.9096652891980099</v>
      </c>
      <c r="M866" s="567" t="s">
        <v>291</v>
      </c>
      <c r="N866" s="566"/>
      <c r="O866" s="604"/>
      <c r="P866" s="566" t="s">
        <v>1509</v>
      </c>
    </row>
    <row r="867" spans="1:16" customFormat="1" ht="12.75" customHeight="1" x14ac:dyDescent="0.3">
      <c r="A867" s="566"/>
      <c r="B867" s="566"/>
      <c r="C867" s="566"/>
      <c r="D867" s="566" t="s">
        <v>1533</v>
      </c>
      <c r="E867" s="566"/>
      <c r="F867" s="566"/>
      <c r="G867" s="567" t="s">
        <v>3481</v>
      </c>
      <c r="H867" s="567" t="s">
        <v>291</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291</v>
      </c>
      <c r="N867" s="566"/>
      <c r="O867" s="604"/>
      <c r="P867" s="566" t="s">
        <v>1509</v>
      </c>
    </row>
    <row r="868" spans="1:16" customFormat="1" ht="12.75" customHeight="1" x14ac:dyDescent="0.3">
      <c r="G868" s="172"/>
      <c r="H868" s="172"/>
      <c r="J868" s="294"/>
      <c r="K868" s="335"/>
      <c r="L868" s="332"/>
      <c r="O868" s="176"/>
    </row>
    <row r="869" spans="1:16" s="633" customFormat="1" ht="12.75" customHeight="1" x14ac:dyDescent="0.3">
      <c r="A869" s="632" t="s">
        <v>1598</v>
      </c>
      <c r="G869" s="632" t="s">
        <v>258</v>
      </c>
      <c r="H869" s="632" t="s">
        <v>274</v>
      </c>
      <c r="I869" s="633" t="s">
        <v>259</v>
      </c>
      <c r="J869" s="271" t="s">
        <v>2953</v>
      </c>
      <c r="K869" s="660" t="s">
        <v>260</v>
      </c>
      <c r="L869" s="180" t="s">
        <v>261</v>
      </c>
      <c r="N869" s="632" t="s">
        <v>262</v>
      </c>
      <c r="O869" s="395" t="s">
        <v>1383</v>
      </c>
      <c r="P869" s="633" t="s">
        <v>1384</v>
      </c>
    </row>
    <row r="870" spans="1:16" customFormat="1" ht="12.75" customHeight="1" x14ac:dyDescent="0.3">
      <c r="A870" t="s">
        <v>3482</v>
      </c>
      <c r="G870" s="172"/>
      <c r="H870" s="172"/>
      <c r="J870" s="294"/>
      <c r="K870" s="335"/>
      <c r="L870" s="332"/>
      <c r="O870" s="176"/>
    </row>
    <row r="871" spans="1:16" customFormat="1" ht="12.75" customHeight="1" x14ac:dyDescent="0.3">
      <c r="A871" s="566"/>
      <c r="B871" s="566" t="s">
        <v>1600</v>
      </c>
      <c r="C871" s="566"/>
      <c r="D871" s="566"/>
      <c r="E871" s="566"/>
      <c r="F871" s="566"/>
      <c r="G871" s="567" t="s">
        <v>3483</v>
      </c>
      <c r="H871" s="567" t="s">
        <v>813</v>
      </c>
      <c r="I871" s="677"/>
      <c r="J871" s="294" t="str">
        <f>IF(ISBLANK(HLOOKUP(CaseName,CaseData,MATCH($G871,cases!$G$4:$G$2494,0),FALSE)),"",HLOOKUP(CaseName,CaseData,MATCH($G871,cases!$G$4:$G$2494,0),FALSE))</f>
        <v/>
      </c>
      <c r="K871" s="625">
        <f>((7*10^-4)*(60*6*10^4*L873)^0.25)/2</f>
        <v>4.3892472255471467E-4</v>
      </c>
      <c r="L871" s="298">
        <f t="shared" ref="L871:L877" si="54">IF(ISBLANK(I871),IF(ISNUMBER(J871)=FALSE,K871,J871),I871)</f>
        <v>4.3892472255471467E-4</v>
      </c>
      <c r="M871" s="567" t="s">
        <v>813</v>
      </c>
      <c r="N871" s="566"/>
      <c r="O871" s="604"/>
      <c r="P871" s="566" t="s">
        <v>1602</v>
      </c>
    </row>
    <row r="872" spans="1:16" customFormat="1" ht="12.75" customHeight="1" x14ac:dyDescent="0.3">
      <c r="A872" s="566"/>
      <c r="B872" s="566" t="s">
        <v>1603</v>
      </c>
      <c r="C872" s="566"/>
      <c r="D872" s="566"/>
      <c r="E872" s="566"/>
      <c r="F872" s="566"/>
      <c r="G872" s="567" t="s">
        <v>3484</v>
      </c>
      <c r="H872" s="567" t="s">
        <v>291</v>
      </c>
      <c r="I872" s="677"/>
      <c r="J872" s="294" t="str">
        <f>IF(ISBLANK(HLOOKUP(CaseName,CaseData,MATCH($G872,cases!$G$4:$G$2494,0),FALSE)),"",HLOOKUP(CaseName,CaseData,MATCH($G872,cases!$G$4:$G$2494,0),FALSE))</f>
        <v/>
      </c>
      <c r="K872" s="576">
        <f>L731/(L731+L730)</f>
        <v>0.06</v>
      </c>
      <c r="L872" s="298">
        <f t="shared" si="54"/>
        <v>0.06</v>
      </c>
      <c r="M872" s="567" t="s">
        <v>291</v>
      </c>
      <c r="N872" s="566"/>
      <c r="O872" s="604"/>
      <c r="P872" s="566"/>
    </row>
    <row r="873" spans="1:16" customFormat="1" ht="12.75" customHeight="1" x14ac:dyDescent="0.3">
      <c r="A873" s="566"/>
      <c r="B873" s="566" t="s">
        <v>1606</v>
      </c>
      <c r="C873" s="566"/>
      <c r="D873" s="566"/>
      <c r="E873" s="566"/>
      <c r="F873" s="566"/>
      <c r="G873" s="567" t="s">
        <v>3485</v>
      </c>
      <c r="H873" s="567" t="s">
        <v>866</v>
      </c>
      <c r="I873" s="677"/>
      <c r="J873" s="294" t="str">
        <f>IF(ISBLANK(HLOOKUP(CaseName,CaseData,MATCH($G873,cases!$G$4:$G$2494,0),FALSE)),"",HLOOKUP(CaseName,CaseData,MATCH($G873,cases!$G$4:$G$2494,0),FALSE))</f>
        <v/>
      </c>
      <c r="K873" s="576">
        <f>L736/L872</f>
        <v>6.8704549298156603E-7</v>
      </c>
      <c r="L873" s="298">
        <f t="shared" si="54"/>
        <v>6.8704549298156603E-7</v>
      </c>
      <c r="M873" s="567" t="s">
        <v>866</v>
      </c>
      <c r="N873" s="566"/>
      <c r="O873" s="604"/>
      <c r="P873" s="566"/>
    </row>
    <row r="874" spans="1:16" customFormat="1" ht="12.75" customHeight="1" x14ac:dyDescent="0.3">
      <c r="A874" s="566"/>
      <c r="B874" s="566" t="s">
        <v>1610</v>
      </c>
      <c r="C874" s="566"/>
      <c r="D874" s="566"/>
      <c r="E874" s="566"/>
      <c r="F874" s="566"/>
      <c r="G874" s="567" t="s">
        <v>3486</v>
      </c>
      <c r="H874" s="567" t="s">
        <v>866</v>
      </c>
      <c r="I874" s="677"/>
      <c r="J874" s="294" t="str">
        <f>IF(ISBLANK(HLOOKUP(CaseName,CaseData,MATCH($G874,cases!$G$4:$G$2494,0),FALSE)),"",HLOOKUP(CaseName,CaseData,MATCH($G874,cases!$G$4:$G$2494,0),FALSE))</f>
        <v/>
      </c>
      <c r="K874" s="576">
        <f>((2*L871)^2*(Rho.w-Rho.a)*g*L875)/(18*DYNVISC.a)</f>
        <v>23.128908726669181</v>
      </c>
      <c r="L874" s="298">
        <f t="shared" si="54"/>
        <v>23.128908726669181</v>
      </c>
      <c r="M874" s="567" t="s">
        <v>866</v>
      </c>
      <c r="N874" s="566"/>
      <c r="O874" s="604"/>
      <c r="P874" s="566"/>
    </row>
    <row r="875" spans="1:16" customFormat="1" ht="12.75" customHeight="1" x14ac:dyDescent="0.3">
      <c r="A875" s="566"/>
      <c r="B875" s="566" t="s">
        <v>1612</v>
      </c>
      <c r="C875" s="566"/>
      <c r="D875" s="566"/>
      <c r="E875" s="566"/>
      <c r="F875" s="566"/>
      <c r="G875" s="567" t="s">
        <v>3487</v>
      </c>
      <c r="H875" s="567" t="s">
        <v>291</v>
      </c>
      <c r="I875" s="677"/>
      <c r="J875" s="294" t="str">
        <f>IF(ISBLANK(HLOOKUP(CaseName,CaseData,MATCH($G875,cases!$G$4:$G$2494,0),FALSE)),"",HLOOKUP(CaseName,CaseData,MATCH($G875,cases!$G$4:$G$2494,0),FALSE))</f>
        <v/>
      </c>
      <c r="K875" s="576">
        <v>1</v>
      </c>
      <c r="L875" s="298">
        <f t="shared" si="54"/>
        <v>1</v>
      </c>
      <c r="M875" s="567" t="s">
        <v>291</v>
      </c>
      <c r="N875" s="566"/>
      <c r="O875" s="604"/>
      <c r="P875" s="566"/>
    </row>
    <row r="876" spans="1:16" customFormat="1" ht="12.75" customHeight="1" x14ac:dyDescent="0.3">
      <c r="A876" s="566"/>
      <c r="B876" s="566" t="s">
        <v>1614</v>
      </c>
      <c r="C876" s="566"/>
      <c r="D876" s="566"/>
      <c r="E876" s="566"/>
      <c r="F876" s="566"/>
      <c r="G876" s="567" t="s">
        <v>3488</v>
      </c>
      <c r="H876" s="567" t="s">
        <v>291</v>
      </c>
      <c r="I876" s="677"/>
      <c r="J876" s="294" t="str">
        <f>IF(ISBLANK(HLOOKUP(CaseName,CaseData,MATCH($G876,cases!$G$4:$G$2494,0),FALSE)),"",HLOOKUP(CaseName,CaseData,MATCH($G876,cases!$G$4:$G$2494,0),FALSE))</f>
        <v/>
      </c>
      <c r="K876" s="576">
        <f>((1.2+(1/12)*LN(1+L877))/(1+LN(L877)))</f>
        <v>0.23159708950601954</v>
      </c>
      <c r="L876" s="298">
        <f t="shared" si="54"/>
        <v>0.23159708950601954</v>
      </c>
      <c r="M876" s="567" t="s">
        <v>291</v>
      </c>
      <c r="N876" s="566"/>
      <c r="O876" s="604"/>
      <c r="P876" s="566"/>
    </row>
    <row r="877" spans="1:16" customFormat="1" ht="12.75" customHeight="1" x14ac:dyDescent="0.3">
      <c r="A877" s="566"/>
      <c r="B877" s="566" t="s">
        <v>1616</v>
      </c>
      <c r="C877" s="566"/>
      <c r="D877" s="566"/>
      <c r="E877" s="566"/>
      <c r="F877" s="566"/>
      <c r="G877" s="567" t="s">
        <v>3489</v>
      </c>
      <c r="H877" s="567" t="s">
        <v>291</v>
      </c>
      <c r="I877" s="677"/>
      <c r="J877" s="294" t="str">
        <f>IF(ISBLANK(HLOOKUP(CaseName,CaseData,MATCH($G877,cases!$G$4:$G$2494,0),FALSE)),"",HLOOKUP(CaseName,CaseData,MATCH($G877,cases!$G$4:$G$2494,0),FALSE))</f>
        <v/>
      </c>
      <c r="K877" s="626">
        <f>((2*L871)*L874*Rho.a)/(2*DYNVISC.a)</f>
        <v>687.07271056144043</v>
      </c>
      <c r="L877" s="298">
        <f t="shared" si="54"/>
        <v>687.07271056144043</v>
      </c>
      <c r="M877" s="567" t="s">
        <v>2334</v>
      </c>
      <c r="N877" s="566"/>
      <c r="O877" s="604"/>
      <c r="P877" s="566"/>
    </row>
    <row r="878" spans="1:16" customFormat="1" ht="12.75" customHeight="1" x14ac:dyDescent="0.3">
      <c r="A878" t="s">
        <v>3490</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1619</v>
      </c>
      <c r="C879" s="566"/>
      <c r="D879" s="566"/>
      <c r="E879" s="566"/>
      <c r="F879" s="566"/>
      <c r="G879" s="566" t="s">
        <v>3491</v>
      </c>
      <c r="H879" s="566" t="s">
        <v>813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813</v>
      </c>
      <c r="N879" s="566"/>
      <c r="O879" s="604"/>
      <c r="P879" s="566"/>
    </row>
    <row r="880" spans="1:16" customFormat="1" ht="12.75" customHeight="1" x14ac:dyDescent="0.3">
      <c r="A880" s="566"/>
      <c r="B880" s="566" t="s">
        <v>1621</v>
      </c>
      <c r="C880" s="566"/>
      <c r="D880" s="566"/>
      <c r="E880" s="566"/>
      <c r="F880" s="566"/>
      <c r="G880" s="566" t="s">
        <v>3492</v>
      </c>
      <c r="H880" s="566" t="s">
        <v>282</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282</v>
      </c>
      <c r="N880" s="566"/>
      <c r="O880" s="604"/>
      <c r="P880" s="566"/>
    </row>
    <row r="881" spans="1:16" customFormat="1" ht="12.75" customHeight="1" x14ac:dyDescent="0.3">
      <c r="A881" s="566"/>
      <c r="B881" s="566"/>
      <c r="C881" s="566" t="s">
        <v>1623</v>
      </c>
      <c r="D881" s="566"/>
      <c r="E881" s="566"/>
      <c r="F881" s="566"/>
      <c r="G881" s="566" t="s">
        <v>3493</v>
      </c>
      <c r="H881" s="566" t="s">
        <v>857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857</v>
      </c>
      <c r="N881" s="566"/>
      <c r="O881" s="604"/>
      <c r="P881" s="566"/>
    </row>
    <row r="882" spans="1:16" customFormat="1" ht="12.75" customHeight="1" x14ac:dyDescent="0.3">
      <c r="A882" s="566"/>
      <c r="B882" s="566"/>
      <c r="C882" s="566" t="s">
        <v>1625</v>
      </c>
      <c r="D882" s="566"/>
      <c r="E882" s="566"/>
      <c r="F882" s="566"/>
      <c r="G882" s="566" t="s">
        <v>3494</v>
      </c>
      <c r="H882" s="566" t="s">
        <v>888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888</v>
      </c>
      <c r="N882" s="566"/>
      <c r="O882" s="604"/>
      <c r="P882" s="566"/>
    </row>
    <row r="883" spans="1:16" customFormat="1" ht="12.75" customHeight="1" x14ac:dyDescent="0.3">
      <c r="A883" t="s">
        <v>3495</v>
      </c>
      <c r="J883" s="294" t="str">
        <f>IF(ISBLANK(HLOOKUP(CaseName,CaseData,MATCH($G883,cases!$G$4:$G$2494,0),FALSE)),"",HLOOKUP(CaseName,CaseData,MATCH($G883,cases!$G$4:$G$2494,0),FALSE))</f>
        <v/>
      </c>
      <c r="K883" s="437"/>
      <c r="L883" s="332"/>
      <c r="O883" s="176"/>
    </row>
    <row r="884" spans="1:16" customFormat="1" ht="12.75" customHeight="1" x14ac:dyDescent="0.3">
      <c r="A884" s="566" t="s">
        <v>1628</v>
      </c>
      <c r="B884" s="566"/>
      <c r="C884" s="566"/>
      <c r="D884" s="566"/>
      <c r="E884" s="566"/>
      <c r="F884" s="566"/>
      <c r="G884" s="567" t="s">
        <v>3496</v>
      </c>
      <c r="H884" s="567" t="s">
        <v>335</v>
      </c>
      <c r="I884" s="677"/>
      <c r="J884" s="294" t="str">
        <f>IF(ISBLANK(HLOOKUP(CaseName,CaseData,MATCH($G884,cases!$G$4:$G$2494,0),FALSE)),"",HLOOKUP(CaseName,CaseData,MATCH($G884,cases!$G$4:$G$2494,0),FALSE))</f>
        <v/>
      </c>
      <c r="K884" s="576">
        <f>(3/2)*(L892*L873)/(2*L871)</f>
        <v>3.5588001934921768E-6</v>
      </c>
      <c r="L884" s="298">
        <f t="shared" ref="L884:L915" si="55">IF(ISBLANK(I884),IF(ISNUMBER(J884)=FALSE,K884,J884),I884)</f>
        <v>3.5588001934921768E-6</v>
      </c>
      <c r="M884" s="567" t="s">
        <v>335</v>
      </c>
      <c r="N884" s="566"/>
      <c r="O884" s="604" t="s">
        <v>2341</v>
      </c>
      <c r="P884" s="566" t="s">
        <v>1630</v>
      </c>
    </row>
    <row r="885" spans="1:16" customFormat="1" ht="12.75" customHeight="1" x14ac:dyDescent="0.3">
      <c r="A885" s="566"/>
      <c r="B885" s="566" t="s">
        <v>1631</v>
      </c>
      <c r="C885" s="566"/>
      <c r="D885" s="566"/>
      <c r="E885" s="566"/>
      <c r="F885" s="566"/>
      <c r="G885" s="567" t="s">
        <v>3497</v>
      </c>
      <c r="H885" s="567" t="s">
        <v>1633</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1633</v>
      </c>
      <c r="N885" s="566"/>
      <c r="O885" s="604"/>
      <c r="P885" s="566"/>
    </row>
    <row r="886" spans="1:16" customFormat="1" ht="12.75" customHeight="1" x14ac:dyDescent="0.3">
      <c r="A886" s="566"/>
      <c r="B886" s="566" t="s">
        <v>1634</v>
      </c>
      <c r="C886" s="566"/>
      <c r="D886" s="566"/>
      <c r="E886" s="566"/>
      <c r="F886" s="566"/>
      <c r="G886" s="567" t="s">
        <v>3498</v>
      </c>
      <c r="H886" s="567" t="s">
        <v>291</v>
      </c>
      <c r="I886" s="677"/>
      <c r="J886" s="294" t="str">
        <f>IF(ISBLANK(HLOOKUP(CaseName,CaseData,MATCH($G886,cases!$G$4:$G$2494,0),FALSE)),"",HLOOKUP(CaseName,CaseData,MATCH($G886,cases!$G$4:$G$2494,0),FALSE))</f>
        <v/>
      </c>
      <c r="K886" s="576">
        <f>(2*L885*(L874-L887))/(2*L871)</f>
        <v>3.8890853098528921E-3</v>
      </c>
      <c r="L886" s="298">
        <f t="shared" si="55"/>
        <v>3.8890853098528921E-3</v>
      </c>
      <c r="M886" s="567" t="s">
        <v>291</v>
      </c>
      <c r="N886" s="566"/>
      <c r="O886" s="604" t="s">
        <v>1636</v>
      </c>
      <c r="P886" s="566"/>
    </row>
    <row r="887" spans="1:16" customFormat="1" ht="12.75" customHeight="1" x14ac:dyDescent="0.3">
      <c r="A887" s="566"/>
      <c r="B887" s="566" t="s">
        <v>1637</v>
      </c>
      <c r="C887" s="566"/>
      <c r="D887" s="566"/>
      <c r="E887" s="566"/>
      <c r="F887" s="566"/>
      <c r="G887" s="567" t="s">
        <v>3499</v>
      </c>
      <c r="H887" s="567" t="s">
        <v>866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866</v>
      </c>
      <c r="N887" s="566"/>
      <c r="O887" s="604"/>
      <c r="P887" s="566"/>
    </row>
    <row r="888" spans="1:16" customFormat="1" ht="12.75" customHeight="1" x14ac:dyDescent="0.3">
      <c r="A888" s="566"/>
      <c r="B888" s="566" t="s">
        <v>1639</v>
      </c>
      <c r="C888" s="566"/>
      <c r="D888" s="566"/>
      <c r="E888" s="566"/>
      <c r="F888" s="566"/>
      <c r="G888" s="567" t="s">
        <v>3500</v>
      </c>
      <c r="H888" s="567" t="s">
        <v>291</v>
      </c>
      <c r="I888" s="677"/>
      <c r="J888" s="294" t="str">
        <f>IF(ISBLANK(HLOOKUP(CaseName,CaseData,MATCH($G888,cases!$G$4:$G$2494,0),FALSE)),"",HLOOKUP(CaseName,CaseData,MATCH($G888,cases!$G$4:$G$2494,0),FALSE))</f>
        <v/>
      </c>
      <c r="K888" s="576">
        <f>DYNVISC.a/(Rho.a*DiffS.aT)</f>
        <v>267.48403667914636</v>
      </c>
      <c r="L888" s="298">
        <f t="shared" si="55"/>
        <v>267.48403667914636</v>
      </c>
      <c r="M888" s="567" t="s">
        <v>291</v>
      </c>
      <c r="N888" s="566"/>
      <c r="O888" s="604"/>
      <c r="P888" s="566"/>
    </row>
    <row r="889" spans="1:16" customFormat="1" ht="12.75" customHeight="1" x14ac:dyDescent="0.3">
      <c r="A889" s="566"/>
      <c r="B889" s="566"/>
      <c r="C889" s="566" t="s">
        <v>1641</v>
      </c>
      <c r="D889" s="566"/>
      <c r="E889" s="566"/>
      <c r="F889" s="566"/>
      <c r="G889" s="567" t="s">
        <v>3501</v>
      </c>
      <c r="H889" s="567" t="s">
        <v>291</v>
      </c>
      <c r="I889" s="677"/>
      <c r="J889" s="294" t="str">
        <f>IF(ISBLANK(HLOOKUP(CaseName,CaseData,MATCH($G889,cases!$G$4:$G$2494,0),FALSE)),"",HLOOKUP(CaseName,CaseData,MATCH($G889,cases!$G$4:$G$2494,0),FALSE))</f>
        <v/>
      </c>
      <c r="K889" s="576">
        <f>(4/(L877*L888))*(1+0.4*(L877^0.5*L888^(1/3))+0.16*(L877^0.5*L888^0.5))</f>
        <v>2.985009228444812E-3</v>
      </c>
      <c r="L889" s="298">
        <f t="shared" si="55"/>
        <v>2.985009228444812E-3</v>
      </c>
      <c r="M889" s="567" t="s">
        <v>291</v>
      </c>
      <c r="N889" s="566"/>
      <c r="O889" s="604"/>
      <c r="P889" s="566"/>
    </row>
    <row r="890" spans="1:16" customFormat="1" ht="12.75" customHeight="1" x14ac:dyDescent="0.3">
      <c r="A890" s="566"/>
      <c r="B890" s="566"/>
      <c r="C890" s="566" t="s">
        <v>1643</v>
      </c>
      <c r="D890" s="566"/>
      <c r="E890" s="566"/>
      <c r="F890" s="566"/>
      <c r="G890" s="567" t="s">
        <v>3502</v>
      </c>
      <c r="H890" s="567" t="s">
        <v>291</v>
      </c>
      <c r="I890" s="677"/>
      <c r="J890" s="294" t="str">
        <f>IF(ISBLANK(HLOOKUP(CaseName,CaseData,MATCH($G890,cases!$G$4:$G$2494,0),FALSE)),"",HLOOKUP(CaseName,CaseData,MATCH($G890,cases!$G$4:$G$2494,0),FALSE))</f>
        <v/>
      </c>
      <c r="K890" s="576">
        <f>4*(RadS/L871)*((DYNVISC.a/DYNVISC.w)+(1+2*L877^0.5*(RadS/L871)))</f>
        <v>4.6416207984290662E-5</v>
      </c>
      <c r="L890" s="298">
        <f t="shared" si="55"/>
        <v>4.6416207984290662E-5</v>
      </c>
      <c r="M890" s="567" t="s">
        <v>291</v>
      </c>
      <c r="N890" s="566"/>
      <c r="O890" s="604"/>
      <c r="P890" s="566"/>
    </row>
    <row r="891" spans="1:16" customFormat="1" ht="12.75" customHeight="1" x14ac:dyDescent="0.3">
      <c r="A891" s="566"/>
      <c r="B891" s="566"/>
      <c r="C891" s="566" t="s">
        <v>1645</v>
      </c>
      <c r="D891" s="566"/>
      <c r="E891" s="566"/>
      <c r="F891" s="566"/>
      <c r="G891" s="567" t="s">
        <v>3503</v>
      </c>
      <c r="H891" s="567" t="s">
        <v>291</v>
      </c>
      <c r="I891" s="677"/>
      <c r="J891" s="294" t="str">
        <f>IF(ISBLANK(HLOOKUP(CaseName,CaseData,MATCH($G891,cases!$G$4:$G$2494,0),FALSE)),"",HLOOKUP(CaseName,CaseData,MATCH($G891,cases!$G$4:$G$2494,0),FALSE))</f>
        <v/>
      </c>
      <c r="K891" s="576">
        <f>IF(L886&gt;L876,((L886-L876)/(L886-L876+2/3))^(3/2),0)</f>
        <v>0</v>
      </c>
      <c r="L891" s="298">
        <f t="shared" si="55"/>
        <v>0</v>
      </c>
      <c r="M891" s="567" t="s">
        <v>291</v>
      </c>
      <c r="N891" s="566"/>
      <c r="O891" s="604"/>
      <c r="P891" s="566"/>
    </row>
    <row r="892" spans="1:16" customFormat="1" ht="12.75" customHeight="1" x14ac:dyDescent="0.3">
      <c r="A892" s="566"/>
      <c r="B892" s="566"/>
      <c r="C892" s="566" t="s">
        <v>1647</v>
      </c>
      <c r="D892" s="566"/>
      <c r="E892" s="566"/>
      <c r="F892" s="566"/>
      <c r="G892" s="567" t="s">
        <v>3504</v>
      </c>
      <c r="H892" s="567" t="s">
        <v>291</v>
      </c>
      <c r="I892" s="677"/>
      <c r="J892" s="294" t="str">
        <f>IF(ISBLANK(HLOOKUP(CaseName,CaseData,MATCH($G892,cases!$G$4:$G$2494,0),FALSE)),"",HLOOKUP(CaseName,CaseData,MATCH($G892,cases!$G$4:$G$2494,0),FALSE))</f>
        <v/>
      </c>
      <c r="K892" s="576">
        <f>L889+L890+L891</f>
        <v>3.0314254364291024E-3</v>
      </c>
      <c r="L892" s="298">
        <f t="shared" si="55"/>
        <v>3.0314254364291024E-3</v>
      </c>
      <c r="M892" s="567" t="s">
        <v>291</v>
      </c>
      <c r="N892" s="566"/>
      <c r="O892" s="604"/>
      <c r="P892" s="566"/>
    </row>
    <row r="893" spans="1:16" customFormat="1" ht="12.75" customHeight="1" x14ac:dyDescent="0.3">
      <c r="A893" s="566" t="s">
        <v>1649</v>
      </c>
      <c r="B893" s="566"/>
      <c r="C893" s="566"/>
      <c r="D893" s="566"/>
      <c r="E893" s="566"/>
      <c r="F893" s="566"/>
      <c r="G893" s="567" t="s">
        <v>3505</v>
      </c>
      <c r="H893" s="567" t="s">
        <v>335</v>
      </c>
      <c r="I893" s="677"/>
      <c r="J893" s="294" t="str">
        <f>IF(ISBLANK(HLOOKUP(CaseName,CaseData,MATCH($G893,cases!$G$4:$G$2494,0),FALSE)),"",HLOOKUP(CaseName,CaseData,MATCH($G893,cases!$G$4:$G$2494,0),FALSE))</f>
        <v/>
      </c>
      <c r="K893" s="576">
        <f>((3/2)*(L903*L873)/(2*L871))</f>
        <v>8.1410368822995822E-7</v>
      </c>
      <c r="L893" s="298">
        <f t="shared" si="55"/>
        <v>8.1410368822995822E-7</v>
      </c>
      <c r="M893" s="567" t="s">
        <v>335</v>
      </c>
      <c r="N893" s="566"/>
      <c r="O893" s="604"/>
      <c r="P893" s="566"/>
    </row>
    <row r="894" spans="1:16" customFormat="1" ht="12.75" customHeight="1" x14ac:dyDescent="0.3">
      <c r="A894" s="566"/>
      <c r="B894" s="566" t="s">
        <v>1651</v>
      </c>
      <c r="C894" s="566"/>
      <c r="D894" s="566"/>
      <c r="E894" s="566"/>
      <c r="F894" s="566"/>
      <c r="G894" s="567" t="s">
        <v>3506</v>
      </c>
      <c r="H894" s="567" t="s">
        <v>291</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291</v>
      </c>
      <c r="N894" s="566"/>
      <c r="O894" s="604"/>
      <c r="P894" s="566"/>
    </row>
    <row r="895" spans="1:16" customFormat="1" ht="12.75" customHeight="1" x14ac:dyDescent="0.3">
      <c r="A895" s="566"/>
      <c r="B895" s="566" t="s">
        <v>1653</v>
      </c>
      <c r="C895" s="566"/>
      <c r="D895" s="566"/>
      <c r="E895" s="566"/>
      <c r="F895" s="566"/>
      <c r="G895" s="567" t="s">
        <v>3507</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1631</v>
      </c>
      <c r="C896" s="566"/>
      <c r="D896" s="566"/>
      <c r="E896" s="566"/>
      <c r="F896" s="566"/>
      <c r="G896" s="567" t="s">
        <v>3508</v>
      </c>
      <c r="H896" s="567" t="s">
        <v>1633</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1633</v>
      </c>
      <c r="N896" s="566"/>
      <c r="O896" s="604"/>
      <c r="P896" s="566"/>
    </row>
    <row r="897" spans="1:16" customFormat="1" ht="12.75" customHeight="1" x14ac:dyDescent="0.3">
      <c r="A897" s="566"/>
      <c r="B897" s="566" t="s">
        <v>1656</v>
      </c>
      <c r="C897" s="566"/>
      <c r="D897" s="566"/>
      <c r="E897" s="566"/>
      <c r="F897" s="566"/>
      <c r="G897" s="567" t="s">
        <v>3509</v>
      </c>
      <c r="H897" s="567" t="s">
        <v>291</v>
      </c>
      <c r="I897" s="677"/>
      <c r="J897" s="294" t="str">
        <f>IF(ISBLANK(HLOOKUP(CaseName,CaseData,MATCH($G897,cases!$G$4:$G$2494,0),FALSE)),"",HLOOKUP(CaseName,CaseData,MATCH($G897,cases!$G$4:$G$2494,0),FALSE))</f>
        <v/>
      </c>
      <c r="K897" s="576">
        <f>(2*L896*(L874-L898))/(2*L871)</f>
        <v>8.2020776844770465E-3</v>
      </c>
      <c r="L897" s="298">
        <f t="shared" si="55"/>
        <v>8.2020776844770465E-3</v>
      </c>
      <c r="M897" s="567" t="s">
        <v>291</v>
      </c>
      <c r="N897" s="566"/>
      <c r="O897" s="604"/>
      <c r="P897" s="566"/>
    </row>
    <row r="898" spans="1:16" customFormat="1" ht="12.75" customHeight="1" x14ac:dyDescent="0.3">
      <c r="A898" s="566"/>
      <c r="B898" s="566" t="s">
        <v>1637</v>
      </c>
      <c r="C898" s="566"/>
      <c r="D898" s="566"/>
      <c r="E898" s="566"/>
      <c r="F898" s="566"/>
      <c r="G898" s="567" t="s">
        <v>3510</v>
      </c>
      <c r="H898" s="567" t="s">
        <v>866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866</v>
      </c>
      <c r="N898" s="566"/>
      <c r="O898" s="604"/>
      <c r="P898" s="566"/>
    </row>
    <row r="899" spans="1:16" customFormat="1" ht="12.75" customHeight="1" x14ac:dyDescent="0.3">
      <c r="A899" s="566"/>
      <c r="B899" s="566" t="s">
        <v>1639</v>
      </c>
      <c r="C899" s="566"/>
      <c r="D899" s="566"/>
      <c r="E899" s="566"/>
      <c r="F899" s="566"/>
      <c r="G899" s="567" t="s">
        <v>3511</v>
      </c>
      <c r="H899" s="567" t="s">
        <v>291</v>
      </c>
      <c r="I899" s="677"/>
      <c r="J899" s="294" t="str">
        <f>IF(ISBLANK(HLOOKUP(CaseName,CaseData,MATCH($G899,cases!$G$4:$G$2494,0),FALSE)),"",HLOOKUP(CaseName,CaseData,MATCH($G899,cases!$G$4:$G$2494,0),FALSE))</f>
        <v/>
      </c>
      <c r="K899" s="576">
        <f>DYNVISC.a/(Rho.a*L895)</f>
        <v>18110.647555948457</v>
      </c>
      <c r="L899" s="298">
        <f t="shared" si="55"/>
        <v>18110.647555948457</v>
      </c>
      <c r="M899" s="567" t="s">
        <v>291</v>
      </c>
      <c r="N899" s="566"/>
      <c r="O899" s="604"/>
      <c r="P899" s="566"/>
    </row>
    <row r="900" spans="1:16" customFormat="1" ht="12.75" customHeight="1" x14ac:dyDescent="0.3">
      <c r="A900" s="566"/>
      <c r="B900" s="566"/>
      <c r="C900" s="566" t="s">
        <v>1641</v>
      </c>
      <c r="D900" s="566"/>
      <c r="E900" s="566"/>
      <c r="F900" s="566"/>
      <c r="G900" s="567" t="s">
        <v>3512</v>
      </c>
      <c r="H900" s="567" t="s">
        <v>291</v>
      </c>
      <c r="I900" s="677"/>
      <c r="J900" s="294" t="str">
        <f>IF(ISBLANK(HLOOKUP(CaseName,CaseData,MATCH($G900,cases!$G$4:$G$2494,0),FALSE)),"",HLOOKUP(CaseName,CaseData,MATCH($G900,cases!$G$4:$G$2494,0),FALSE))</f>
        <v/>
      </c>
      <c r="K900" s="576">
        <f>(4/(L877*L899))*(1+0.4*(L877^0.5*L899^(1/3))+0.16*(L877^0.5*L899^0.5))</f>
        <v>2.7026325774742808E-4</v>
      </c>
      <c r="L900" s="298">
        <f t="shared" si="55"/>
        <v>2.7026325774742808E-4</v>
      </c>
      <c r="M900" s="567" t="s">
        <v>291</v>
      </c>
      <c r="N900" s="566"/>
      <c r="O900" s="604"/>
      <c r="P900" s="566"/>
    </row>
    <row r="901" spans="1:16" customFormat="1" ht="12.75" customHeight="1" x14ac:dyDescent="0.3">
      <c r="A901" s="566"/>
      <c r="B901" s="566"/>
      <c r="C901" s="566" t="s">
        <v>1643</v>
      </c>
      <c r="D901" s="566"/>
      <c r="E901" s="566"/>
      <c r="F901" s="566"/>
      <c r="G901" s="567" t="s">
        <v>3513</v>
      </c>
      <c r="H901" s="567" t="s">
        <v>291</v>
      </c>
      <c r="I901" s="677"/>
      <c r="J901" s="294" t="str">
        <f>IF(ISBLANK(HLOOKUP(CaseName,CaseData,MATCH($G901,cases!$G$4:$G$2494,0),FALSE)),"",HLOOKUP(CaseName,CaseData,MATCH($G901,cases!$G$4:$G$2494,0),FALSE))</f>
        <v/>
      </c>
      <c r="K901" s="576">
        <f>4*(L879/L871)*((DYNVISC.a/DYNVISC.w)+(1+2*L877^0.5*(L879/L871)))</f>
        <v>4.2319928418003798E-4</v>
      </c>
      <c r="L901" s="298">
        <f t="shared" si="55"/>
        <v>4.2319928418003798E-4</v>
      </c>
      <c r="M901" s="567" t="s">
        <v>291</v>
      </c>
      <c r="N901" s="566"/>
      <c r="O901" s="604"/>
      <c r="P901" s="566"/>
    </row>
    <row r="902" spans="1:16" customFormat="1" ht="12.75" customHeight="1" x14ac:dyDescent="0.3">
      <c r="A902" s="566"/>
      <c r="B902" s="566"/>
      <c r="C902" s="566" t="s">
        <v>1645</v>
      </c>
      <c r="D902" s="566"/>
      <c r="E902" s="566"/>
      <c r="F902" s="566"/>
      <c r="G902" s="567" t="s">
        <v>3514</v>
      </c>
      <c r="H902" s="567" t="s">
        <v>291</v>
      </c>
      <c r="I902" s="677"/>
      <c r="J902" s="294" t="str">
        <f>IF(ISBLANK(HLOOKUP(CaseName,CaseData,MATCH($G902,cases!$G$4:$G$2494,0),FALSE)),"",HLOOKUP(CaseName,CaseData,MATCH($G902,cases!$G$4:$G$2494,0),FALSE))</f>
        <v/>
      </c>
      <c r="K902" s="576">
        <f>IF(L897&gt;L876,((L897-L876)/(L897-L876+2/3))^(3/2),0)</f>
        <v>0</v>
      </c>
      <c r="L902" s="298">
        <f t="shared" si="55"/>
        <v>0</v>
      </c>
      <c r="M902" s="567" t="s">
        <v>291</v>
      </c>
      <c r="N902" s="566"/>
      <c r="O902" s="604"/>
      <c r="P902" s="566"/>
    </row>
    <row r="903" spans="1:16" customFormat="1" ht="12.75" customHeight="1" x14ac:dyDescent="0.3">
      <c r="A903" s="566"/>
      <c r="B903" s="566"/>
      <c r="C903" s="566" t="s">
        <v>1647</v>
      </c>
      <c r="D903" s="566"/>
      <c r="E903" s="566"/>
      <c r="F903" s="566"/>
      <c r="G903" s="567" t="s">
        <v>3515</v>
      </c>
      <c r="H903" s="567" t="s">
        <v>291</v>
      </c>
      <c r="I903" s="677"/>
      <c r="J903" s="294" t="str">
        <f>IF(ISBLANK(HLOOKUP(CaseName,CaseData,MATCH($G903,cases!$G$4:$G$2494,0),FALSE)),"",HLOOKUP(CaseName,CaseData,MATCH($G903,cases!$G$4:$G$2494,0),FALSE))</f>
        <v/>
      </c>
      <c r="K903" s="576">
        <f>L900+L901+L902</f>
        <v>6.9346254192746606E-4</v>
      </c>
      <c r="L903" s="298">
        <f t="shared" si="55"/>
        <v>6.9346254192746606E-4</v>
      </c>
      <c r="M903" s="567" t="s">
        <v>291</v>
      </c>
      <c r="N903" s="566"/>
      <c r="O903" s="604"/>
      <c r="P903" s="566"/>
    </row>
    <row r="904" spans="1:16" customFormat="1" ht="12.75" customHeight="1" x14ac:dyDescent="0.3">
      <c r="A904" s="566" t="s">
        <v>1664</v>
      </c>
      <c r="B904" s="566"/>
      <c r="C904" s="566"/>
      <c r="D904" s="566"/>
      <c r="E904" s="566"/>
      <c r="F904" s="566"/>
      <c r="G904" s="567" t="s">
        <v>3516</v>
      </c>
      <c r="H904" s="567" t="s">
        <v>335</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335</v>
      </c>
      <c r="N904" s="566" t="s">
        <v>1666</v>
      </c>
      <c r="O904" s="604"/>
      <c r="P904" s="566"/>
    </row>
    <row r="905" spans="1:16" customFormat="1" ht="12.75" customHeight="1" x14ac:dyDescent="0.3">
      <c r="A905" s="566" t="s">
        <v>2862</v>
      </c>
      <c r="B905" s="566"/>
      <c r="C905" s="566"/>
      <c r="D905" s="566"/>
      <c r="E905" s="566"/>
      <c r="F905" s="566"/>
      <c r="G905" s="567" t="s">
        <v>3517</v>
      </c>
      <c r="H905" s="567" t="s">
        <v>335</v>
      </c>
      <c r="I905" s="677"/>
      <c r="J905" s="294" t="str">
        <f>IF(ISBLANK(HLOOKUP(CaseName,CaseData,MATCH($G905,cases!$G$4:$G$2494,0),FALSE)),"",HLOOKUP(CaseName,CaseData,MATCH($G905,cases!$G$4:$G$2494,0),FALSE))</f>
        <v/>
      </c>
      <c r="K905" s="576">
        <f>(L906*L664*L662)/(L656)</f>
        <v>1.026756267809756E-6</v>
      </c>
      <c r="L905" s="298">
        <f t="shared" si="55"/>
        <v>1.026756267809756E-6</v>
      </c>
      <c r="M905" s="567" t="s">
        <v>335</v>
      </c>
      <c r="N905" s="566"/>
      <c r="O905" s="604"/>
      <c r="P905" s="566"/>
    </row>
    <row r="906" spans="1:16" customFormat="1" ht="12.75" customHeight="1" x14ac:dyDescent="0.3">
      <c r="A906" s="566"/>
      <c r="B906" s="566" t="s">
        <v>1669</v>
      </c>
      <c r="C906" s="566"/>
      <c r="D906" s="566"/>
      <c r="E906" s="566"/>
      <c r="F906" s="566"/>
      <c r="G906" s="567" t="s">
        <v>3518</v>
      </c>
      <c r="H906" s="567" t="s">
        <v>866</v>
      </c>
      <c r="I906" s="677"/>
      <c r="J906" s="294" t="str">
        <f>IF(ISBLANK(HLOOKUP(CaseName,CaseData,MATCH($G906,cases!$G$4:$G$2494,0),FALSE)),"",HLOOKUP(CaseName,CaseData,MATCH($G906,cases!$G$4:$G$2494,0),FALSE))</f>
        <v/>
      </c>
      <c r="K906" s="576">
        <f>1/(L907+L908)+L887</f>
        <v>3.4225198659429182E-3</v>
      </c>
      <c r="L906" s="298">
        <f t="shared" si="55"/>
        <v>3.4225198659429182E-3</v>
      </c>
      <c r="M906" s="567" t="s">
        <v>866</v>
      </c>
      <c r="N906" s="566"/>
      <c r="O906" s="604"/>
      <c r="P906" s="566"/>
    </row>
    <row r="907" spans="1:16" customFormat="1" ht="12.75" customHeight="1" x14ac:dyDescent="0.3">
      <c r="A907" s="566"/>
      <c r="B907" s="566" t="s">
        <v>1671</v>
      </c>
      <c r="C907" s="566"/>
      <c r="D907" s="566"/>
      <c r="E907" s="566"/>
      <c r="F907" s="566"/>
      <c r="G907" s="567" t="s">
        <v>3519</v>
      </c>
      <c r="H907" s="567" t="s">
        <v>1673</v>
      </c>
      <c r="I907" s="677"/>
      <c r="J907" s="294" t="str">
        <f>IF(ISBLANK(HLOOKUP(CaseName,CaseData,MATCH($G907,cases!$G$4:$G$2494,0),FALSE)),"",HLOOKUP(CaseName,CaseData,MATCH($G907,cases!$G$4:$G$2494,0),FALSE))</f>
        <v/>
      </c>
      <c r="K907" s="576">
        <v>74</v>
      </c>
      <c r="L907" s="298">
        <f t="shared" si="55"/>
        <v>74</v>
      </c>
      <c r="M907" s="567" t="s">
        <v>1673</v>
      </c>
      <c r="N907" s="566"/>
      <c r="O907" s="604" t="s">
        <v>1674</v>
      </c>
      <c r="P907" s="566" t="s">
        <v>1675</v>
      </c>
    </row>
    <row r="908" spans="1:16" customFormat="1" ht="12.75" customHeight="1" x14ac:dyDescent="0.3">
      <c r="A908" s="566"/>
      <c r="B908" s="566" t="s">
        <v>1676</v>
      </c>
      <c r="C908" s="566"/>
      <c r="D908" s="566"/>
      <c r="E908" s="566"/>
      <c r="F908" s="566"/>
      <c r="G908" s="567" t="s">
        <v>3520</v>
      </c>
      <c r="H908" s="567" t="s">
        <v>1673</v>
      </c>
      <c r="I908" s="677"/>
      <c r="J908" s="294" t="str">
        <f>IF(ISBLANK(HLOOKUP(CaseName,CaseData,MATCH($G908,cases!$G$4:$G$2494,0),FALSE)),"",HLOOKUP(CaseName,CaseData,MATCH($G908,cases!$G$4:$G$2494,0),FALSE))</f>
        <v/>
      </c>
      <c r="K908" s="576">
        <f>1/(L909*(L910+L911+L915))</f>
        <v>218.24420316875359</v>
      </c>
      <c r="L908" s="298">
        <f t="shared" si="55"/>
        <v>218.24420316875359</v>
      </c>
      <c r="M908" s="567" t="s">
        <v>1673</v>
      </c>
      <c r="N908" s="566"/>
      <c r="O908" s="604" t="s">
        <v>1678</v>
      </c>
      <c r="P908" s="566"/>
    </row>
    <row r="909" spans="1:16" customFormat="1" ht="12.75" customHeight="1" x14ac:dyDescent="0.3">
      <c r="A909" s="566"/>
      <c r="B909" s="566"/>
      <c r="C909" s="566" t="s">
        <v>1679</v>
      </c>
      <c r="D909" s="566"/>
      <c r="E909" s="566"/>
      <c r="F909" s="566"/>
      <c r="G909" s="567" t="s">
        <v>3521</v>
      </c>
      <c r="H909" s="567" t="s">
        <v>866</v>
      </c>
      <c r="I909" s="677"/>
      <c r="J909" s="294" t="str">
        <f>IF(ISBLANK(HLOOKUP(CaseName,CaseData,MATCH($G909,cases!$G$4:$G$2494,0),FALSE)),"",HLOOKUP(CaseName,CaseData,MATCH($G909,cases!$G$4:$G$2494,0),FALSE))</f>
        <v/>
      </c>
      <c r="K909" s="576">
        <v>0.19</v>
      </c>
      <c r="L909" s="298">
        <f t="shared" si="55"/>
        <v>0.19</v>
      </c>
      <c r="M909" s="567" t="s">
        <v>866</v>
      </c>
      <c r="N909" s="566"/>
      <c r="O909" s="604" t="s">
        <v>1681</v>
      </c>
      <c r="P909" s="566" t="s">
        <v>1682</v>
      </c>
    </row>
    <row r="910" spans="1:16" customFormat="1" ht="12.75" customHeight="1" x14ac:dyDescent="0.3">
      <c r="A910" s="566"/>
      <c r="B910" s="566"/>
      <c r="C910" s="566" t="s">
        <v>1641</v>
      </c>
      <c r="D910" s="566"/>
      <c r="E910" s="566"/>
      <c r="F910" s="566"/>
      <c r="G910" s="567" t="s">
        <v>3522</v>
      </c>
      <c r="H910" s="567" t="s">
        <v>291</v>
      </c>
      <c r="I910" s="677"/>
      <c r="J910" s="294" t="str">
        <f>IF(ISBLANK(HLOOKUP(CaseName,CaseData,MATCH($G910,cases!$G$4:$G$2494,0),FALSE)),"",HLOOKUP(CaseName,CaseData,MATCH($G910,cases!$G$4:$G$2494,0),FALSE))</f>
        <v/>
      </c>
      <c r="K910" s="576">
        <f>L888^(-2/3)</f>
        <v>2.4088037627323852E-2</v>
      </c>
      <c r="L910" s="298">
        <f t="shared" si="55"/>
        <v>2.4088037627323852E-2</v>
      </c>
      <c r="M910" s="567" t="s">
        <v>291</v>
      </c>
      <c r="N910" s="566"/>
      <c r="O910" s="604" t="s">
        <v>1678</v>
      </c>
      <c r="P910" s="566" t="s">
        <v>1684</v>
      </c>
    </row>
    <row r="911" spans="1:16" customFormat="1" ht="12.75" customHeight="1" x14ac:dyDescent="0.3">
      <c r="A911" s="566"/>
      <c r="B911" s="566"/>
      <c r="C911" s="566" t="s">
        <v>1643</v>
      </c>
      <c r="D911" s="566"/>
      <c r="E911" s="566"/>
      <c r="F911" s="566"/>
      <c r="G911" s="567" t="s">
        <v>3523</v>
      </c>
      <c r="H911" s="567" t="s">
        <v>291</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291</v>
      </c>
      <c r="N911" s="566"/>
      <c r="O911" s="604" t="s">
        <v>1678</v>
      </c>
      <c r="P911" s="566" t="s">
        <v>1684</v>
      </c>
    </row>
    <row r="912" spans="1:16" customFormat="1" ht="12.75" customHeight="1" x14ac:dyDescent="0.3">
      <c r="A912" s="566"/>
      <c r="B912" s="566"/>
      <c r="C912" s="566"/>
      <c r="D912" s="566" t="s">
        <v>1686</v>
      </c>
      <c r="E912" s="566"/>
      <c r="F912" s="566"/>
      <c r="G912" s="567" t="s">
        <v>3524</v>
      </c>
      <c r="H912" s="567" t="s">
        <v>813</v>
      </c>
      <c r="I912" s="677"/>
      <c r="J912" s="294" t="str">
        <f>IF(ISBLANK(HLOOKUP(CaseName,CaseData,MATCH($G912,cases!$G$4:$G$2494,0),FALSE)),"",HLOOKUP(CaseName,CaseData,MATCH($G912,cases!$G$4:$G$2494,0),FALSE))</f>
        <v/>
      </c>
      <c r="K912" s="576">
        <f>1*10^-5</f>
        <v>1.0000000000000001E-5</v>
      </c>
      <c r="L912" s="298">
        <f t="shared" si="55"/>
        <v>1.0000000000000001E-5</v>
      </c>
      <c r="M912" s="567" t="s">
        <v>813</v>
      </c>
      <c r="N912" s="566"/>
      <c r="O912" s="604" t="s">
        <v>1674</v>
      </c>
      <c r="P912" s="566" t="s">
        <v>1684</v>
      </c>
    </row>
    <row r="913" spans="1:16" customFormat="1" ht="12.75" customHeight="1" x14ac:dyDescent="0.3">
      <c r="A913" s="566"/>
      <c r="B913" s="566"/>
      <c r="C913" s="566"/>
      <c r="D913" s="566" t="s">
        <v>1688</v>
      </c>
      <c r="E913" s="566"/>
      <c r="F913" s="566"/>
      <c r="G913" s="567" t="s">
        <v>3525</v>
      </c>
      <c r="H913" s="567" t="s">
        <v>813</v>
      </c>
      <c r="I913" s="677"/>
      <c r="J913" s="294" t="str">
        <f>IF(ISBLANK(HLOOKUP(CaseName,CaseData,MATCH($G913,cases!$G$4:$G$2494,0),FALSE)),"",HLOOKUP(CaseName,CaseData,MATCH($G913,cases!$G$4:$G$2494,0),FALSE))</f>
        <v/>
      </c>
      <c r="K913" s="576">
        <f>0.0005</f>
        <v>5.0000000000000001E-4</v>
      </c>
      <c r="L913" s="298">
        <f t="shared" si="55"/>
        <v>5.0000000000000001E-4</v>
      </c>
      <c r="M913" s="567" t="s">
        <v>813</v>
      </c>
      <c r="N913" s="566"/>
      <c r="O913" s="604" t="s">
        <v>1674</v>
      </c>
      <c r="P913" s="566" t="s">
        <v>1684</v>
      </c>
    </row>
    <row r="914" spans="1:16" customFormat="1" ht="12.75" customHeight="1" x14ac:dyDescent="0.3">
      <c r="A914" s="566"/>
      <c r="B914" s="566"/>
      <c r="C914" s="566"/>
      <c r="D914" s="566" t="s">
        <v>1690</v>
      </c>
      <c r="E914" s="566"/>
      <c r="F914" s="566"/>
      <c r="G914" s="567" t="s">
        <v>3526</v>
      </c>
      <c r="H914" s="567" t="s">
        <v>291</v>
      </c>
      <c r="I914" s="677"/>
      <c r="J914" s="294" t="str">
        <f>IF(ISBLANK(HLOOKUP(CaseName,CaseData,MATCH($G914,cases!$G$4:$G$2494,0),FALSE)),"",HLOOKUP(CaseName,CaseData,MATCH($G914,cases!$G$4:$G$2494,0),FALSE))</f>
        <v/>
      </c>
      <c r="K914" s="576">
        <v>0.01</v>
      </c>
      <c r="L914" s="298">
        <f t="shared" si="55"/>
        <v>0.01</v>
      </c>
      <c r="M914" s="567" t="s">
        <v>291</v>
      </c>
      <c r="N914" s="566"/>
      <c r="O914" s="604" t="s">
        <v>1674</v>
      </c>
      <c r="P914" s="566" t="s">
        <v>1692</v>
      </c>
    </row>
    <row r="915" spans="1:16" customFormat="1" ht="12.75" customHeight="1" x14ac:dyDescent="0.3">
      <c r="A915" s="566"/>
      <c r="B915" s="566"/>
      <c r="C915" s="566" t="s">
        <v>1645</v>
      </c>
      <c r="D915" s="566"/>
      <c r="E915" s="566"/>
      <c r="F915" s="566"/>
      <c r="G915" s="567" t="s">
        <v>3527</v>
      </c>
      <c r="H915" s="567" t="s">
        <v>291</v>
      </c>
      <c r="I915" s="677"/>
      <c r="J915" s="294" t="str">
        <f>IF(ISBLANK(HLOOKUP(CaseName,CaseData,MATCH($G915,cases!$G$4:$G$2494,0),FALSE)),"",HLOOKUP(CaseName,CaseData,MATCH($G915,cases!$G$4:$G$2494,0),FALSE))</f>
        <v/>
      </c>
      <c r="K915" s="576">
        <f>(L886/(L886+0.8))^2</f>
        <v>2.3404678261349457E-5</v>
      </c>
      <c r="L915" s="298">
        <f t="shared" si="55"/>
        <v>2.3404678261349457E-5</v>
      </c>
      <c r="M915" s="567" t="s">
        <v>291</v>
      </c>
      <c r="N915" s="566"/>
      <c r="O915" s="604" t="s">
        <v>1678</v>
      </c>
      <c r="P915" s="566" t="s">
        <v>1684</v>
      </c>
    </row>
    <row r="916" spans="1:16" customFormat="1" ht="12.75" customHeight="1" x14ac:dyDescent="0.3">
      <c r="A916" s="566" t="s">
        <v>2874</v>
      </c>
      <c r="B916" s="566"/>
      <c r="C916" s="566"/>
      <c r="D916" s="566"/>
      <c r="E916" s="566"/>
      <c r="F916" s="566"/>
      <c r="G916" s="567" t="s">
        <v>3528</v>
      </c>
      <c r="H916" s="567" t="s">
        <v>335</v>
      </c>
      <c r="I916" s="677"/>
      <c r="J916" s="294" t="str">
        <f>IF(ISBLANK(HLOOKUP(CaseName,CaseData,MATCH($G916,cases!$G$4:$G$2494,0),FALSE)),"",HLOOKUP(CaseName,CaseData,MATCH($G916,cases!$G$4:$G$2494,0),FALSE))</f>
        <v/>
      </c>
      <c r="K916" s="576">
        <f>(L917*L664*L662)/(L656)</f>
        <v>8.9298489372522215E-8</v>
      </c>
      <c r="L916" s="298">
        <f t="shared" ref="L916:L947" si="56">IF(ISBLANK(I916),IF(ISNUMBER(J916)=FALSE,K916,J916),I916)</f>
        <v>8.9298489372522215E-8</v>
      </c>
      <c r="M916" s="567" t="s">
        <v>335</v>
      </c>
      <c r="N916" s="566"/>
      <c r="O916" s="604"/>
      <c r="P916" s="566"/>
    </row>
    <row r="917" spans="1:16" customFormat="1" ht="12.75" customHeight="1" x14ac:dyDescent="0.3">
      <c r="A917" s="566"/>
      <c r="B917" s="566" t="s">
        <v>1669</v>
      </c>
      <c r="C917" s="566"/>
      <c r="D917" s="566"/>
      <c r="E917" s="566"/>
      <c r="F917" s="566"/>
      <c r="G917" s="567" t="s">
        <v>3529</v>
      </c>
      <c r="H917" s="567" t="s">
        <v>866</v>
      </c>
      <c r="I917" s="677"/>
      <c r="J917" s="294" t="str">
        <f>IF(ISBLANK(HLOOKUP(CaseName,CaseData,MATCH($G917,cases!$G$4:$G$2494,0),FALSE)),"",HLOOKUP(CaseName,CaseData,MATCH($G917,cases!$G$4:$G$2494,0),FALSE))</f>
        <v/>
      </c>
      <c r="K917" s="576">
        <f>1/(L907+L918)+L898</f>
        <v>2.976615419432513E-4</v>
      </c>
      <c r="L917" s="298">
        <f t="shared" si="56"/>
        <v>2.976615419432513E-4</v>
      </c>
      <c r="M917" s="567" t="s">
        <v>866</v>
      </c>
      <c r="N917" s="566"/>
      <c r="O917" s="604"/>
      <c r="P917" s="566"/>
    </row>
    <row r="918" spans="1:16" customFormat="1" ht="12.75" customHeight="1" x14ac:dyDescent="0.3">
      <c r="A918" s="566"/>
      <c r="B918" s="566" t="s">
        <v>1676</v>
      </c>
      <c r="C918" s="566"/>
      <c r="D918" s="566"/>
      <c r="E918" s="566"/>
      <c r="F918" s="566"/>
      <c r="G918" s="567" t="s">
        <v>3530</v>
      </c>
      <c r="H918" s="567" t="s">
        <v>1673</v>
      </c>
      <c r="I918" s="677"/>
      <c r="J918" s="294" t="str">
        <f>IF(ISBLANK(HLOOKUP(CaseName,CaseData,MATCH($G918,cases!$G$4:$G$2494,0),FALSE)),"",HLOOKUP(CaseName,CaseData,MATCH($G918,cases!$G$4:$G$2494,0),FALSE))</f>
        <v/>
      </c>
      <c r="K918" s="576">
        <f>1/(L909*(L919+L920+L921))</f>
        <v>3302.8430396639997</v>
      </c>
      <c r="L918" s="298">
        <f t="shared" si="56"/>
        <v>3302.8430396639997</v>
      </c>
      <c r="M918" s="567" t="s">
        <v>1673</v>
      </c>
      <c r="N918" s="566"/>
      <c r="O918" s="604"/>
      <c r="P918" s="566"/>
    </row>
    <row r="919" spans="1:16" customFormat="1" ht="12.75" customHeight="1" x14ac:dyDescent="0.3">
      <c r="A919" s="566"/>
      <c r="B919" s="566"/>
      <c r="C919" s="566" t="s">
        <v>1641</v>
      </c>
      <c r="D919" s="566"/>
      <c r="E919" s="566"/>
      <c r="F919" s="566"/>
      <c r="G919" s="567" t="s">
        <v>3531</v>
      </c>
      <c r="H919" s="567" t="s">
        <v>291</v>
      </c>
      <c r="I919" s="677"/>
      <c r="J919" s="294" t="str">
        <f>IF(ISBLANK(HLOOKUP(CaseName,CaseData,MATCH($G919,cases!$G$4:$G$2494,0),FALSE)),"",HLOOKUP(CaseName,CaseData,MATCH($G919,cases!$G$4:$G$2494,0),FALSE))</f>
        <v/>
      </c>
      <c r="K919" s="576">
        <f>L899^(-2/3)</f>
        <v>1.4500312012130582E-3</v>
      </c>
      <c r="L919" s="298">
        <f t="shared" si="56"/>
        <v>1.4500312012130582E-3</v>
      </c>
      <c r="M919" s="567" t="s">
        <v>291</v>
      </c>
      <c r="N919" s="566"/>
      <c r="O919" s="604"/>
      <c r="P919" s="566" t="s">
        <v>1684</v>
      </c>
    </row>
    <row r="920" spans="1:16" customFormat="1" ht="12.75" customHeight="1" x14ac:dyDescent="0.3">
      <c r="A920" s="566"/>
      <c r="B920" s="566"/>
      <c r="C920" s="566" t="s">
        <v>1643</v>
      </c>
      <c r="D920" s="566"/>
      <c r="E920" s="566"/>
      <c r="F920" s="566"/>
      <c r="G920" s="567" t="s">
        <v>3532</v>
      </c>
      <c r="H920" s="567" t="s">
        <v>291</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291</v>
      </c>
      <c r="N920" s="566"/>
      <c r="O920" s="604"/>
      <c r="P920" s="566" t="s">
        <v>1684</v>
      </c>
    </row>
    <row r="921" spans="1:16" customFormat="1" ht="12.75" customHeight="1" x14ac:dyDescent="0.3">
      <c r="A921" s="566"/>
      <c r="B921" s="566"/>
      <c r="C921" s="566" t="s">
        <v>1645</v>
      </c>
      <c r="D921" s="566"/>
      <c r="E921" s="566"/>
      <c r="F921" s="566"/>
      <c r="G921" s="567" t="s">
        <v>3533</v>
      </c>
      <c r="H921" s="567" t="s">
        <v>291</v>
      </c>
      <c r="I921" s="677"/>
      <c r="J921" s="294" t="str">
        <f>IF(ISBLANK(HLOOKUP(CaseName,CaseData,MATCH($G921,cases!$G$4:$G$2494,0),FALSE)),"",HLOOKUP(CaseName,CaseData,MATCH($G921,cases!$G$4:$G$2494,0),FALSE))</f>
        <v/>
      </c>
      <c r="K921" s="576">
        <f>(L897/(L897+0.8))^2</f>
        <v>1.0299302915521741E-4</v>
      </c>
      <c r="L921" s="298">
        <f t="shared" si="56"/>
        <v>1.0299302915521741E-4</v>
      </c>
      <c r="M921" s="567" t="s">
        <v>291</v>
      </c>
      <c r="N921" s="566"/>
      <c r="O921" s="604"/>
      <c r="P921" s="566" t="s">
        <v>1684</v>
      </c>
    </row>
    <row r="922" spans="1:16" customFormat="1" ht="12.75" customHeight="1" x14ac:dyDescent="0.3">
      <c r="A922" s="566" t="s">
        <v>2881</v>
      </c>
      <c r="B922" s="566"/>
      <c r="C922" s="566"/>
      <c r="D922" s="566"/>
      <c r="E922" s="566"/>
      <c r="F922" s="566"/>
      <c r="G922" s="567" t="s">
        <v>3534</v>
      </c>
      <c r="H922" s="567" t="s">
        <v>335</v>
      </c>
      <c r="I922" s="677"/>
      <c r="J922" s="294" t="str">
        <f>IF(ISBLANK(HLOOKUP(CaseName,CaseData,MATCH($G922,cases!$G$4:$G$2494,0),FALSE)),"",HLOOKUP(CaseName,CaseData,MATCH($G922,cases!$G$4:$G$2494,0),FALSE))</f>
        <v/>
      </c>
      <c r="K922" s="576">
        <f>(L735*L664*L662)/(L656)</f>
        <v>3.0000009000002699E-7</v>
      </c>
      <c r="L922" s="298">
        <f t="shared" si="56"/>
        <v>3.0000009000002699E-7</v>
      </c>
      <c r="M922" s="567" t="s">
        <v>335</v>
      </c>
      <c r="N922" s="566" t="s">
        <v>2414</v>
      </c>
      <c r="O922" s="604"/>
      <c r="P922" s="566"/>
    </row>
    <row r="923" spans="1:16" customFormat="1" ht="12.75" customHeight="1" x14ac:dyDescent="0.3">
      <c r="A923" s="566" t="s">
        <v>2883</v>
      </c>
      <c r="B923" s="566"/>
      <c r="C923" s="566"/>
      <c r="D923" s="566"/>
      <c r="E923" s="566"/>
      <c r="F923" s="566"/>
      <c r="G923" s="567" t="s">
        <v>3535</v>
      </c>
      <c r="H923" s="567" t="s">
        <v>335</v>
      </c>
      <c r="I923" s="677"/>
      <c r="J923" s="294" t="str">
        <f>IF(ISBLANK(HLOOKUP(CaseName,CaseData,MATCH($G923,cases!$G$4:$G$2494,0),FALSE)),"",HLOOKUP(CaseName,CaseData,MATCH($G923,cases!$G$4:$G$2494,0),FALSE))</f>
        <v/>
      </c>
      <c r="K923" s="576">
        <f>(L924*L663*L662)/(L656)</f>
        <v>3.1668020744415197E-6</v>
      </c>
      <c r="L923" s="298">
        <f t="shared" si="56"/>
        <v>3.1668020744415197E-6</v>
      </c>
      <c r="M923" s="567" t="s">
        <v>335</v>
      </c>
      <c r="N923" s="566"/>
      <c r="O923" s="604"/>
      <c r="P923" s="566"/>
    </row>
    <row r="924" spans="1:16" customFormat="1" ht="12.75" customHeight="1" x14ac:dyDescent="0.3">
      <c r="A924" s="566"/>
      <c r="B924" s="566" t="s">
        <v>1669</v>
      </c>
      <c r="C924" s="566"/>
      <c r="D924" s="566"/>
      <c r="E924" s="566"/>
      <c r="F924" s="566"/>
      <c r="G924" s="567" t="s">
        <v>3536</v>
      </c>
      <c r="H924" s="567" t="s">
        <v>866</v>
      </c>
      <c r="I924" s="677"/>
      <c r="J924" s="294" t="str">
        <f>IF(ISBLANK(HLOOKUP(CaseName,CaseData,MATCH($G924,cases!$G$4:$G$2494,0),FALSE)),"",HLOOKUP(CaseName,CaseData,MATCH($G924,cases!$G$4:$G$2494,0),FALSE))</f>
        <v/>
      </c>
      <c r="K924" s="576">
        <f>1/(L925+L926)+L887</f>
        <v>4.5240016062869969E-3</v>
      </c>
      <c r="L924" s="298">
        <f t="shared" si="56"/>
        <v>4.5240016062869969E-3</v>
      </c>
      <c r="M924" s="567" t="s">
        <v>866</v>
      </c>
      <c r="N924" s="566"/>
      <c r="O924" s="604"/>
      <c r="P924" s="566"/>
    </row>
    <row r="925" spans="1:16" customFormat="1" ht="12.75" customHeight="1" x14ac:dyDescent="0.3">
      <c r="A925" s="566"/>
      <c r="B925" s="566"/>
      <c r="C925" s="566" t="s">
        <v>1765</v>
      </c>
      <c r="D925" s="566"/>
      <c r="E925" s="566"/>
      <c r="F925" s="566"/>
      <c r="G925" s="566" t="s">
        <v>3537</v>
      </c>
      <c r="H925" s="567" t="s">
        <v>1673</v>
      </c>
      <c r="I925" s="677"/>
      <c r="J925" s="294" t="str">
        <f>IF(ISBLANK(HLOOKUP(CaseName,CaseData,MATCH($G925,cases!$G$4:$G$2494,0),FALSE)),"",HLOOKUP(CaseName,CaseData,MATCH($G925,cases!$G$4:$G$2494,0),FALSE))</f>
        <v/>
      </c>
      <c r="K925" s="576">
        <v>135</v>
      </c>
      <c r="L925" s="298">
        <f t="shared" si="56"/>
        <v>135</v>
      </c>
      <c r="M925" s="567" t="s">
        <v>1673</v>
      </c>
      <c r="N925" s="566"/>
      <c r="O925" s="604"/>
      <c r="P925" s="566" t="s">
        <v>1675</v>
      </c>
    </row>
    <row r="926" spans="1:16" customFormat="1" ht="12.75" customHeight="1" x14ac:dyDescent="0.3">
      <c r="A926" s="566"/>
      <c r="B926" s="566"/>
      <c r="C926" s="566" t="s">
        <v>2887</v>
      </c>
      <c r="D926" s="566"/>
      <c r="E926" s="566"/>
      <c r="F926" s="566"/>
      <c r="G926" s="567" t="s">
        <v>3538</v>
      </c>
      <c r="H926" s="567" t="s">
        <v>1673</v>
      </c>
      <c r="I926" s="677"/>
      <c r="J926" s="294" t="str">
        <f>IF(ISBLANK(HLOOKUP(CaseName,CaseData,MATCH($G926,cases!$G$4:$G$2494,0),FALSE)),"",HLOOKUP(CaseName,CaseData,MATCH($G926,cases!$G$4:$G$2494,0),FALSE))</f>
        <v/>
      </c>
      <c r="K926" s="576">
        <f>1/(L927*(L928+L929))</f>
        <v>86.078627439773982</v>
      </c>
      <c r="L926" s="298">
        <f t="shared" si="56"/>
        <v>86.078627439773982</v>
      </c>
      <c r="M926" s="567" t="s">
        <v>1673</v>
      </c>
      <c r="N926" s="566"/>
      <c r="O926" s="604"/>
      <c r="P926" s="566"/>
    </row>
    <row r="927" spans="1:16" customFormat="1" ht="12.75" customHeight="1" x14ac:dyDescent="0.3">
      <c r="A927" s="566"/>
      <c r="B927" s="566"/>
      <c r="C927" s="566" t="s">
        <v>1753</v>
      </c>
      <c r="D927" s="566"/>
      <c r="E927" s="566"/>
      <c r="F927" s="566"/>
      <c r="G927" s="567" t="s">
        <v>3539</v>
      </c>
      <c r="H927" s="567" t="s">
        <v>866</v>
      </c>
      <c r="I927" s="677"/>
      <c r="J927" s="294" t="str">
        <f>IF(ISBLANK(HLOOKUP(CaseName,CaseData,MATCH($G927,cases!$G$4:$G$2494,0),FALSE)),"",HLOOKUP(CaseName,CaseData,MATCH($G927,cases!$G$4:$G$2494,0),FALSE))</f>
        <v/>
      </c>
      <c r="K927" s="576">
        <v>0.19</v>
      </c>
      <c r="L927" s="298">
        <f t="shared" si="56"/>
        <v>0.19</v>
      </c>
      <c r="M927" s="567" t="s">
        <v>866</v>
      </c>
      <c r="N927" s="566"/>
      <c r="O927" s="604" t="s">
        <v>1681</v>
      </c>
      <c r="P927" s="566" t="s">
        <v>1682</v>
      </c>
    </row>
    <row r="928" spans="1:16" customFormat="1" ht="12.75" customHeight="1" x14ac:dyDescent="0.3">
      <c r="A928" s="566"/>
      <c r="B928" s="566"/>
      <c r="C928" s="566"/>
      <c r="D928" s="566" t="s">
        <v>1641</v>
      </c>
      <c r="E928" s="566"/>
      <c r="F928" s="566"/>
      <c r="G928" s="567" t="s">
        <v>3540</v>
      </c>
      <c r="H928" s="567" t="s">
        <v>291</v>
      </c>
      <c r="I928" s="677"/>
      <c r="J928" s="294" t="str">
        <f>IF(ISBLANK(HLOOKUP(CaseName,CaseData,MATCH($G928,cases!$G$4:$G$2494,0),FALSE)),"",HLOOKUP(CaseName,CaseData,MATCH($G928,cases!$G$4:$G$2494,0),FALSE))</f>
        <v/>
      </c>
      <c r="K928" s="576">
        <f>L888^-(1/2)</f>
        <v>6.1143608480737896E-2</v>
      </c>
      <c r="L928" s="298">
        <f t="shared" si="56"/>
        <v>6.1143608480737896E-2</v>
      </c>
      <c r="M928" s="567" t="s">
        <v>291</v>
      </c>
      <c r="N928" s="566"/>
      <c r="O928" s="604"/>
      <c r="P928" s="566"/>
    </row>
    <row r="929" spans="1:18" customFormat="1" ht="12.75" customHeight="1" x14ac:dyDescent="0.3">
      <c r="A929" s="566"/>
      <c r="B929" s="566"/>
      <c r="C929" s="566"/>
      <c r="D929" s="566" t="s">
        <v>1645</v>
      </c>
      <c r="E929" s="566"/>
      <c r="F929" s="566"/>
      <c r="G929" s="567" t="s">
        <v>3541</v>
      </c>
      <c r="H929" s="567" t="s">
        <v>291</v>
      </c>
      <c r="I929" s="677"/>
      <c r="J929" s="294" t="str">
        <f>IF(ISBLANK(HLOOKUP(CaseName,CaseData,MATCH($G929,cases!$G$4:$G$2494,0),FALSE)),"",HLOOKUP(CaseName,CaseData,MATCH($G929,cases!$G$4:$G$2494,0),FALSE))</f>
        <v/>
      </c>
      <c r="K929" s="576">
        <f>10^(-3/L886)</f>
        <v>0</v>
      </c>
      <c r="L929" s="298">
        <f t="shared" si="56"/>
        <v>0</v>
      </c>
      <c r="M929" s="567" t="s">
        <v>291</v>
      </c>
      <c r="N929" s="566"/>
      <c r="O929" s="604"/>
      <c r="P929" s="566"/>
    </row>
    <row r="930" spans="1:18" customFormat="1" ht="12.75" customHeight="1" x14ac:dyDescent="0.3">
      <c r="A930" s="566" t="s">
        <v>2892</v>
      </c>
      <c r="B930" s="566"/>
      <c r="C930" s="566"/>
      <c r="D930" s="566"/>
      <c r="E930" s="566"/>
      <c r="F930" s="566"/>
      <c r="G930" s="566" t="s">
        <v>3542</v>
      </c>
      <c r="H930" s="567" t="s">
        <v>335</v>
      </c>
      <c r="I930" s="677"/>
      <c r="J930" s="294" t="str">
        <f>IF(ISBLANK(HLOOKUP(CaseName,CaseData,MATCH($G930,cases!$G$4:$G$2494,0),FALSE)),"",HLOOKUP(CaseName,CaseData,MATCH($G930,cases!$G$4:$G$2494,0),FALSE))</f>
        <v/>
      </c>
      <c r="K930" s="576">
        <f>L931*L663*L662/L656</f>
        <v>8.311476423739607E-7</v>
      </c>
      <c r="L930" s="298">
        <f t="shared" si="56"/>
        <v>8.311476423739607E-7</v>
      </c>
      <c r="M930" s="567" t="s">
        <v>335</v>
      </c>
      <c r="N930" s="566"/>
      <c r="O930" s="604"/>
      <c r="P930" s="566"/>
    </row>
    <row r="931" spans="1:18" customFormat="1" ht="12.75" customHeight="1" x14ac:dyDescent="0.3">
      <c r="A931" s="566"/>
      <c r="B931" s="566" t="s">
        <v>1669</v>
      </c>
      <c r="C931" s="566"/>
      <c r="D931" s="566"/>
      <c r="E931" s="566"/>
      <c r="F931" s="566"/>
      <c r="G931" s="567" t="s">
        <v>3543</v>
      </c>
      <c r="H931" s="567" t="s">
        <v>866</v>
      </c>
      <c r="I931" s="677"/>
      <c r="J931" s="294" t="str">
        <f>IF(ISBLANK(HLOOKUP(CaseName,CaseData,MATCH($G931,cases!$G$4:$G$2494,0),FALSE)),"",HLOOKUP(CaseName,CaseData,MATCH($G931,cases!$G$4:$G$2494,0),FALSE))</f>
        <v/>
      </c>
      <c r="K931" s="576">
        <f>1/(L925+L932)+L898</f>
        <v>1.1873534186138115E-3</v>
      </c>
      <c r="L931" s="298">
        <f t="shared" si="56"/>
        <v>1.1873534186138115E-3</v>
      </c>
      <c r="M931" s="567" t="s">
        <v>866</v>
      </c>
      <c r="N931" s="566"/>
      <c r="O931" s="604"/>
      <c r="P931" s="566"/>
    </row>
    <row r="932" spans="1:18" customFormat="1" ht="12.75" customHeight="1" x14ac:dyDescent="0.3">
      <c r="A932" s="566"/>
      <c r="B932" s="566"/>
      <c r="C932" s="566" t="s">
        <v>1751</v>
      </c>
      <c r="D932" s="566"/>
      <c r="E932" s="566"/>
      <c r="F932" s="566"/>
      <c r="G932" s="567" t="s">
        <v>3544</v>
      </c>
      <c r="H932" s="567" t="s">
        <v>1673</v>
      </c>
      <c r="I932" s="677"/>
      <c r="J932" s="294" t="str">
        <f>IF(ISBLANK(HLOOKUP(CaseName,CaseData,MATCH($G932,cases!$G$4:$G$2494,0),FALSE)),"",HLOOKUP(CaseName,CaseData,MATCH($G932,cases!$G$4:$G$2494,0),FALSE))</f>
        <v/>
      </c>
      <c r="K932" s="576">
        <f>1/(L927*(L933+L934))</f>
        <v>708.29371569949933</v>
      </c>
      <c r="L932" s="298">
        <f t="shared" si="56"/>
        <v>708.29371569949933</v>
      </c>
      <c r="M932" s="567" t="s">
        <v>1673</v>
      </c>
      <c r="N932" s="566"/>
      <c r="O932" s="566"/>
      <c r="P932" s="604"/>
    </row>
    <row r="933" spans="1:18" customFormat="1" ht="12.75" customHeight="1" x14ac:dyDescent="0.3">
      <c r="A933" s="566"/>
      <c r="B933" s="566"/>
      <c r="C933" s="566"/>
      <c r="D933" s="566" t="s">
        <v>1641</v>
      </c>
      <c r="E933" s="566"/>
      <c r="F933" s="566"/>
      <c r="G933" s="567" t="s">
        <v>3545</v>
      </c>
      <c r="H933" s="567" t="s">
        <v>291</v>
      </c>
      <c r="I933" s="677"/>
      <c r="J933" s="294" t="str">
        <f>IF(ISBLANK(HLOOKUP(CaseName,CaseData,MATCH($G933,cases!$G$4:$G$2494,0),FALSE)),"",HLOOKUP(CaseName,CaseData,MATCH($G933,cases!$G$4:$G$2494,0),FALSE))</f>
        <v/>
      </c>
      <c r="K933" s="576">
        <f>L899^-(1/2)</f>
        <v>7.4307561652428794E-3</v>
      </c>
      <c r="L933" s="298">
        <f t="shared" si="56"/>
        <v>7.4307561652428794E-3</v>
      </c>
      <c r="M933" s="567" t="s">
        <v>291</v>
      </c>
      <c r="N933" s="566"/>
      <c r="O933" s="566"/>
      <c r="P933" s="604"/>
    </row>
    <row r="934" spans="1:18" customFormat="1" ht="12.75" customHeight="1" x14ac:dyDescent="0.3">
      <c r="A934" s="566"/>
      <c r="B934" s="566"/>
      <c r="C934" s="566"/>
      <c r="D934" s="566" t="s">
        <v>1645</v>
      </c>
      <c r="E934" s="566"/>
      <c r="F934" s="566"/>
      <c r="G934" s="567" t="s">
        <v>3546</v>
      </c>
      <c r="H934" s="567" t="s">
        <v>291</v>
      </c>
      <c r="I934" s="677"/>
      <c r="J934" s="294" t="str">
        <f>IF(ISBLANK(HLOOKUP(CaseName,CaseData,MATCH($G934,cases!$G$4:$G$2494,0),FALSE)),"",HLOOKUP(CaseName,CaseData,MATCH($G934,cases!$G$4:$G$2494,0),FALSE))</f>
        <v/>
      </c>
      <c r="K934" s="576">
        <f>10^(-3/L897)</f>
        <v>0</v>
      </c>
      <c r="L934" s="298">
        <f t="shared" si="56"/>
        <v>0</v>
      </c>
      <c r="M934" s="567" t="s">
        <v>291</v>
      </c>
      <c r="N934" s="566"/>
      <c r="O934" s="566"/>
      <c r="P934" s="604"/>
    </row>
    <row r="935" spans="1:18" customFormat="1" ht="12.75" customHeight="1" x14ac:dyDescent="0.3">
      <c r="A935" s="566" t="s">
        <v>2898</v>
      </c>
      <c r="B935" s="566"/>
      <c r="C935" s="566"/>
      <c r="D935" s="566"/>
      <c r="E935" s="566"/>
      <c r="F935" s="566"/>
      <c r="G935" s="566" t="s">
        <v>3547</v>
      </c>
      <c r="H935" s="567" t="s">
        <v>335</v>
      </c>
      <c r="I935" s="677"/>
      <c r="J935" s="294" t="str">
        <f>IF(ISBLANK(HLOOKUP(CaseName,CaseData,MATCH($G935,cases!$G$4:$G$2494,0),FALSE)),"",HLOOKUP(CaseName,CaseData,MATCH($G935,cases!$G$4:$G$2494,0),FALSE))</f>
        <v/>
      </c>
      <c r="K935" s="576">
        <f>(L735*L663*L662)/L656</f>
        <v>7.0000021000006299E-7</v>
      </c>
      <c r="L935" s="298">
        <f t="shared" si="56"/>
        <v>7.0000021000006299E-7</v>
      </c>
      <c r="M935" s="567" t="s">
        <v>335</v>
      </c>
      <c r="N935" s="566"/>
      <c r="O935" s="604"/>
      <c r="P935" s="566"/>
    </row>
    <row r="936" spans="1:18" customFormat="1" ht="12.75" customHeight="1" x14ac:dyDescent="0.3">
      <c r="A936" s="566" t="s">
        <v>2900</v>
      </c>
      <c r="B936" s="566"/>
      <c r="C936" s="566"/>
      <c r="D936" s="566"/>
      <c r="E936" s="566"/>
      <c r="F936" s="566"/>
      <c r="G936" s="567" t="s">
        <v>3548</v>
      </c>
      <c r="H936" s="567" t="s">
        <v>335</v>
      </c>
      <c r="I936" s="677"/>
      <c r="J936" s="294" t="str">
        <f>IF(ISBLANK(HLOOKUP(CaseName,CaseData,MATCH($G936,cases!$G$4:$G$2494,0),FALSE)),"",HLOOKUP(CaseName,CaseData,MATCH($G936,cases!$G$4:$G$2494,0),FALSE))</f>
        <v/>
      </c>
      <c r="K936" s="576">
        <f>(L736*L664*L662)/(L657)</f>
        <v>4.1222741945716548E-5</v>
      </c>
      <c r="L936" s="298">
        <f t="shared" si="56"/>
        <v>4.1222741945716548E-5</v>
      </c>
      <c r="M936" s="567" t="s">
        <v>335</v>
      </c>
      <c r="N936" s="566"/>
      <c r="O936" s="604"/>
      <c r="P936" s="566"/>
    </row>
    <row r="937" spans="1:18" customFormat="1" ht="12.75" customHeight="1" x14ac:dyDescent="0.3">
      <c r="A937" s="566" t="s">
        <v>2902</v>
      </c>
      <c r="B937" s="566"/>
      <c r="C937" s="566"/>
      <c r="D937" s="566"/>
      <c r="E937" s="566"/>
      <c r="F937" s="566"/>
      <c r="G937" s="567" t="s">
        <v>3549</v>
      </c>
      <c r="H937" s="567" t="s">
        <v>335</v>
      </c>
      <c r="I937" s="677"/>
      <c r="J937" s="294" t="str">
        <f>IF(ISBLANK(HLOOKUP(CaseName,CaseData,MATCH($G937,cases!$G$4:$G$2494,0),FALSE)),"",HLOOKUP(CaseName,CaseData,MATCH($G937,cases!$G$4:$G$2494,0),FALSE))</f>
        <v/>
      </c>
      <c r="K937" s="576">
        <f>(L736*L664*L662)/(L657)</f>
        <v>4.1222741945716548E-5</v>
      </c>
      <c r="L937" s="298">
        <f t="shared" si="56"/>
        <v>4.1222741945716548E-5</v>
      </c>
      <c r="M937" s="567" t="s">
        <v>335</v>
      </c>
      <c r="N937" s="566"/>
      <c r="O937" s="604"/>
      <c r="P937" s="566"/>
    </row>
    <row r="938" spans="1:18" customFormat="1" ht="12.75" customHeight="1" x14ac:dyDescent="0.3">
      <c r="A938" s="566" t="s">
        <v>2904</v>
      </c>
      <c r="B938" s="566"/>
      <c r="C938" s="566"/>
      <c r="D938" s="566"/>
      <c r="E938" s="566"/>
      <c r="F938" s="566"/>
      <c r="G938" s="567" t="s">
        <v>3550</v>
      </c>
      <c r="H938" s="567" t="s">
        <v>335</v>
      </c>
      <c r="I938" s="677"/>
      <c r="J938" s="294" t="str">
        <f>IF(ISBLANK(HLOOKUP(CaseName,CaseData,MATCH($G938,cases!$G$4:$G$2494,0),FALSE)),"",HLOOKUP(CaseName,CaseData,MATCH($G938,cases!$G$4:$G$2494,0),FALSE))</f>
        <v/>
      </c>
      <c r="K938" s="576">
        <f>(L736*L664*L662)/(L657)</f>
        <v>4.1222741945716548E-5</v>
      </c>
      <c r="L938" s="298">
        <f t="shared" si="56"/>
        <v>4.1222741945716548E-5</v>
      </c>
      <c r="M938" s="567" t="s">
        <v>335</v>
      </c>
      <c r="N938" s="566"/>
      <c r="O938" s="604"/>
      <c r="P938" s="566"/>
    </row>
    <row r="939" spans="1:18" customFormat="1" ht="12.75" customHeight="1" x14ac:dyDescent="0.3">
      <c r="A939" s="566" t="s">
        <v>2906</v>
      </c>
      <c r="B939" s="566"/>
      <c r="C939" s="566"/>
      <c r="D939" s="566"/>
      <c r="E939" s="566"/>
      <c r="F939" s="566"/>
      <c r="G939" s="567" t="s">
        <v>3551</v>
      </c>
      <c r="H939" s="567" t="s">
        <v>335</v>
      </c>
      <c r="I939" s="677"/>
      <c r="J939" s="294" t="str">
        <f>IF(ISBLANK(HLOOKUP(CaseName,CaseData,MATCH($G939,cases!$G$4:$G$2494,0),FALSE)),"",HLOOKUP(CaseName,CaseData,MATCH($G939,cases!$G$4:$G$2494,0),FALSE))</f>
        <v/>
      </c>
      <c r="K939" s="576">
        <f>(L736*L663*L662)/(L657)</f>
        <v>9.6186397873338595E-5</v>
      </c>
      <c r="L939" s="298">
        <f t="shared" si="56"/>
        <v>9.6186397873338595E-5</v>
      </c>
      <c r="M939" s="567" t="s">
        <v>335</v>
      </c>
      <c r="N939" s="566"/>
      <c r="O939" s="604"/>
      <c r="P939" s="566"/>
    </row>
    <row r="940" spans="1:18" customFormat="1" ht="12.75" customHeight="1" x14ac:dyDescent="0.3">
      <c r="A940" s="566" t="s">
        <v>2908</v>
      </c>
      <c r="B940" s="566"/>
      <c r="C940" s="566"/>
      <c r="D940" s="566"/>
      <c r="E940" s="566"/>
      <c r="F940" s="566"/>
      <c r="G940" s="567" t="s">
        <v>3552</v>
      </c>
      <c r="H940" s="567" t="s">
        <v>335</v>
      </c>
      <c r="I940" s="677"/>
      <c r="J940" s="294" t="str">
        <f>IF(ISBLANK(HLOOKUP(CaseName,CaseData,MATCH($G940,cases!$G$4:$G$2494,0),FALSE)),"",HLOOKUP(CaseName,CaseData,MATCH($G940,cases!$G$4:$G$2494,0),FALSE))</f>
        <v/>
      </c>
      <c r="K940" s="576">
        <f>(L736*L663*L662)/(L657)</f>
        <v>9.6186397873338595E-5</v>
      </c>
      <c r="L940" s="298">
        <f t="shared" si="56"/>
        <v>9.6186397873338595E-5</v>
      </c>
      <c r="M940" s="567" t="s">
        <v>335</v>
      </c>
      <c r="N940" s="566"/>
      <c r="O940" s="604"/>
      <c r="P940" s="566"/>
    </row>
    <row r="941" spans="1:18" customFormat="1" ht="12.75" customHeight="1" x14ac:dyDescent="0.3">
      <c r="A941" s="566" t="s">
        <v>2910</v>
      </c>
      <c r="B941" s="566"/>
      <c r="C941" s="566"/>
      <c r="D941" s="566"/>
      <c r="E941" s="566"/>
      <c r="F941" s="566"/>
      <c r="G941" s="567" t="s">
        <v>3553</v>
      </c>
      <c r="H941" s="567" t="s">
        <v>335</v>
      </c>
      <c r="I941" s="677"/>
      <c r="J941" s="294" t="str">
        <f>IF(ISBLANK(HLOOKUP(CaseName,CaseData,MATCH($G941,cases!$G$4:$G$2494,0),FALSE)),"",HLOOKUP(CaseName,CaseData,MATCH($G941,cases!$G$4:$G$2494,0),FALSE))</f>
        <v/>
      </c>
      <c r="K941" s="576">
        <f>(L736*L663*L662)/(L657)</f>
        <v>9.6186397873338595E-5</v>
      </c>
      <c r="L941" s="298">
        <f t="shared" si="56"/>
        <v>9.6186397873338595E-5</v>
      </c>
      <c r="M941" s="567" t="s">
        <v>335</v>
      </c>
      <c r="N941" s="566"/>
      <c r="O941" s="604"/>
      <c r="P941" s="797"/>
      <c r="R941" s="649"/>
    </row>
    <row r="942" spans="1:18" customFormat="1" ht="12.75" customHeight="1" x14ac:dyDescent="0.3">
      <c r="A942" s="566" t="s">
        <v>2912</v>
      </c>
      <c r="B942" s="566"/>
      <c r="C942" s="566"/>
      <c r="D942" s="566"/>
      <c r="E942" s="566"/>
      <c r="F942" s="566"/>
      <c r="G942" s="567" t="s">
        <v>3554</v>
      </c>
      <c r="H942" s="567" t="s">
        <v>335</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335</v>
      </c>
      <c r="N942" s="566" t="s">
        <v>2914</v>
      </c>
      <c r="O942" s="604"/>
      <c r="P942" s="797"/>
      <c r="R942" s="649"/>
    </row>
    <row r="943" spans="1:18" customFormat="1" ht="12.75" customHeight="1" x14ac:dyDescent="0.3">
      <c r="A943" s="566" t="s">
        <v>2915</v>
      </c>
      <c r="B943" s="566"/>
      <c r="C943" s="566"/>
      <c r="D943" s="566"/>
      <c r="E943" s="566"/>
      <c r="F943" s="566"/>
      <c r="G943" s="567" t="s">
        <v>3555</v>
      </c>
      <c r="H943" s="567" t="s">
        <v>335</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335</v>
      </c>
      <c r="N943" s="566" t="s">
        <v>2914</v>
      </c>
      <c r="O943" s="604"/>
      <c r="P943" s="797"/>
      <c r="R943" s="649"/>
    </row>
    <row r="944" spans="1:18" customFormat="1" ht="12.75" customHeight="1" x14ac:dyDescent="0.3">
      <c r="A944" s="566" t="s">
        <v>2917</v>
      </c>
      <c r="B944" s="566"/>
      <c r="C944" s="566"/>
      <c r="D944" s="566"/>
      <c r="E944" s="566"/>
      <c r="F944" s="566"/>
      <c r="G944" s="567" t="s">
        <v>3556</v>
      </c>
      <c r="H944" s="567" t="s">
        <v>335</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335</v>
      </c>
      <c r="N944" s="566" t="s">
        <v>2914</v>
      </c>
      <c r="O944" s="604"/>
      <c r="P944" s="797"/>
      <c r="R944" s="649"/>
    </row>
    <row r="945" spans="1:20" customFormat="1" ht="12.75" customHeight="1" x14ac:dyDescent="0.3">
      <c r="A945" s="566" t="s">
        <v>2919</v>
      </c>
      <c r="B945" s="566"/>
      <c r="C945" s="566"/>
      <c r="D945" s="566"/>
      <c r="E945" s="566"/>
      <c r="F945" s="566"/>
      <c r="G945" s="567" t="s">
        <v>3557</v>
      </c>
      <c r="H945" s="567" t="s">
        <v>335</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335</v>
      </c>
      <c r="N945" s="566"/>
      <c r="O945" s="604"/>
      <c r="P945" s="797"/>
      <c r="R945" s="649"/>
    </row>
    <row r="946" spans="1:20" customFormat="1" ht="12.75" customHeight="1" x14ac:dyDescent="0.3">
      <c r="A946" s="566" t="s">
        <v>2921</v>
      </c>
      <c r="B946" s="566"/>
      <c r="C946" s="566"/>
      <c r="D946" s="566"/>
      <c r="E946" s="566"/>
      <c r="F946" s="566"/>
      <c r="G946" s="567" t="s">
        <v>3558</v>
      </c>
      <c r="H946" s="567" t="s">
        <v>335</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335</v>
      </c>
      <c r="N946" s="566"/>
      <c r="O946" s="604"/>
      <c r="P946" s="797"/>
      <c r="R946" s="649"/>
    </row>
    <row r="947" spans="1:20" customFormat="1" ht="12.75" customHeight="1" x14ac:dyDescent="0.3">
      <c r="A947" s="566" t="s">
        <v>2923</v>
      </c>
      <c r="B947" s="566"/>
      <c r="C947" s="566"/>
      <c r="D947" s="566"/>
      <c r="E947" s="566"/>
      <c r="F947" s="566"/>
      <c r="G947" s="567" t="s">
        <v>3559</v>
      </c>
      <c r="H947" s="567" t="s">
        <v>335</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335</v>
      </c>
      <c r="N947" s="566"/>
      <c r="O947" s="604"/>
      <c r="P947" s="797"/>
      <c r="R947" s="649"/>
    </row>
    <row r="948" spans="1:20" customFormat="1" ht="12.75" customHeight="1" x14ac:dyDescent="0.3">
      <c r="A948" s="566" t="s">
        <v>2925</v>
      </c>
      <c r="B948" s="566"/>
      <c r="C948" s="566"/>
      <c r="D948" s="566"/>
      <c r="E948" s="566"/>
      <c r="F948" s="566"/>
      <c r="G948" s="567" t="s">
        <v>3560</v>
      </c>
      <c r="H948" s="567" t="s">
        <v>335</v>
      </c>
      <c r="I948" s="677"/>
      <c r="J948" s="294" t="str">
        <f>IF(ISBLANK(HLOOKUP(CaseName,CaseData,MATCH($G948,cases!$G$4:$G$2494,0),FALSE)),"",HLOOKUP(CaseName,CaseData,MATCH($G948,cases!$G$4:$G$2494,0),FALSE))</f>
        <v/>
      </c>
      <c r="K948" s="576">
        <f>$L$752/$L$668</f>
        <v>9.6429477422628121E-9</v>
      </c>
      <c r="L948" s="298">
        <f t="shared" ref="L948:L953" si="57">IF(ISBLANK(I948),IF(ISNUMBER(J948)=FALSE,K948,J948),I948)</f>
        <v>9.6429477422628121E-9</v>
      </c>
      <c r="M948" s="567" t="s">
        <v>335</v>
      </c>
      <c r="N948" s="566" t="s">
        <v>1843</v>
      </c>
      <c r="O948" s="604"/>
      <c r="P948" s="566"/>
    </row>
    <row r="949" spans="1:20" customFormat="1" ht="12.75" customHeight="1" x14ac:dyDescent="0.3">
      <c r="A949" s="566" t="s">
        <v>2927</v>
      </c>
      <c r="B949" s="566"/>
      <c r="C949" s="566"/>
      <c r="D949" s="566"/>
      <c r="E949" s="566"/>
      <c r="F949" s="566"/>
      <c r="G949" s="567" t="s">
        <v>3561</v>
      </c>
      <c r="H949" s="567" t="s">
        <v>335</v>
      </c>
      <c r="I949" s="677"/>
      <c r="J949" s="294" t="str">
        <f>IF(ISBLANK(HLOOKUP(CaseName,CaseData,MATCH($G949,cases!$G$4:$G$2494,0),FALSE)),"",HLOOKUP(CaseName,CaseData,MATCH($G949,cases!$G$4:$G$2494,0),FALSE))</f>
        <v/>
      </c>
      <c r="K949" s="576">
        <f>$L$752/$L$668</f>
        <v>9.6429477422628121E-9</v>
      </c>
      <c r="L949" s="298">
        <f t="shared" si="57"/>
        <v>9.6429477422628121E-9</v>
      </c>
      <c r="M949" s="567" t="s">
        <v>335</v>
      </c>
      <c r="N949" s="566" t="s">
        <v>1843</v>
      </c>
      <c r="O949" s="604"/>
      <c r="P949" s="566"/>
    </row>
    <row r="950" spans="1:20" customFormat="1" ht="12.75" customHeight="1" x14ac:dyDescent="0.3">
      <c r="A950" s="566" t="s">
        <v>2929</v>
      </c>
      <c r="B950" s="566"/>
      <c r="C950" s="566"/>
      <c r="D950" s="566"/>
      <c r="E950" s="566"/>
      <c r="F950" s="566"/>
      <c r="G950" s="567" t="s">
        <v>3562</v>
      </c>
      <c r="H950" s="567" t="s">
        <v>335</v>
      </c>
      <c r="I950" s="677"/>
      <c r="J950" s="294" t="str">
        <f>IF(ISBLANK(HLOOKUP(CaseName,CaseData,MATCH($G950,cases!$G$4:$G$2494,0),FALSE)),"",HLOOKUP(CaseName,CaseData,MATCH($G950,cases!$G$4:$G$2494,0),FALSE))</f>
        <v/>
      </c>
      <c r="K950" s="576">
        <f>$L$752/$L$668</f>
        <v>9.6429477422628121E-9</v>
      </c>
      <c r="L950" s="298">
        <f t="shared" si="57"/>
        <v>9.6429477422628121E-9</v>
      </c>
      <c r="M950" s="567" t="s">
        <v>335</v>
      </c>
      <c r="N950" s="566" t="s">
        <v>1843</v>
      </c>
      <c r="O950" s="604"/>
      <c r="P950" s="566"/>
    </row>
    <row r="951" spans="1:20" customFormat="1" ht="12.75" customHeight="1" x14ac:dyDescent="0.3">
      <c r="A951" s="566" t="s">
        <v>1860</v>
      </c>
      <c r="B951" s="566"/>
      <c r="C951" s="566"/>
      <c r="D951" s="566"/>
      <c r="E951" s="566"/>
      <c r="F951" s="566"/>
      <c r="G951" s="567" t="s">
        <v>3563</v>
      </c>
      <c r="H951" s="567" t="s">
        <v>335</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335</v>
      </c>
      <c r="N951" s="566" t="s">
        <v>1862</v>
      </c>
      <c r="O951" s="679"/>
      <c r="P951" s="566"/>
    </row>
    <row r="952" spans="1:20" customFormat="1" ht="12.75" customHeight="1" x14ac:dyDescent="0.3">
      <c r="A952" s="566" t="s">
        <v>1867</v>
      </c>
      <c r="B952" s="566"/>
      <c r="C952" s="566"/>
      <c r="D952" s="566"/>
      <c r="E952" s="566"/>
      <c r="F952" s="566"/>
      <c r="G952" s="567" t="s">
        <v>3564</v>
      </c>
      <c r="H952" s="567" t="s">
        <v>335</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335</v>
      </c>
      <c r="N952" s="566" t="s">
        <v>1862</v>
      </c>
      <c r="O952" s="604"/>
      <c r="P952" s="566"/>
    </row>
    <row r="953" spans="1:20" customFormat="1" ht="12.75" customHeight="1" x14ac:dyDescent="0.3">
      <c r="A953" s="566" t="s">
        <v>1873</v>
      </c>
      <c r="B953" s="566"/>
      <c r="C953" s="566"/>
      <c r="D953" s="566"/>
      <c r="E953" s="566"/>
      <c r="F953" s="566"/>
      <c r="G953" s="567" t="s">
        <v>3565</v>
      </c>
      <c r="H953" s="567" t="s">
        <v>335</v>
      </c>
      <c r="I953" s="677"/>
      <c r="J953" s="294" t="str">
        <f>IF(ISBLANK(HLOOKUP(CaseName,CaseData,MATCH($G953,cases!$G$4:$G$2494,0),FALSE)),"",HLOOKUP(CaseName,CaseData,MATCH($G953,cases!$G$4:$G$2494,0),FALSE))</f>
        <v/>
      </c>
      <c r="K953" s="626">
        <f>(L763)/L669</f>
        <v>1.9025875190258751E-11</v>
      </c>
      <c r="L953" s="298">
        <f t="shared" si="57"/>
        <v>1.9025875190258751E-11</v>
      </c>
      <c r="M953" s="567" t="s">
        <v>335</v>
      </c>
      <c r="N953" s="566" t="s">
        <v>1875</v>
      </c>
      <c r="O953" s="604"/>
      <c r="P953" s="566"/>
    </row>
    <row r="954" spans="1:20" customFormat="1" ht="12.75" customHeight="1" x14ac:dyDescent="0.3">
      <c r="A954" s="172" t="s">
        <v>3566</v>
      </c>
      <c r="G954" s="172"/>
      <c r="H954" s="172"/>
      <c r="J954" s="418"/>
      <c r="K954" s="335"/>
      <c r="L954" s="185"/>
      <c r="N954" s="172"/>
      <c r="O954" s="176"/>
    </row>
    <row r="955" spans="1:20" customFormat="1" ht="12.75" customHeight="1" x14ac:dyDescent="0.3">
      <c r="A955" s="567" t="s">
        <v>1315</v>
      </c>
      <c r="B955" s="566"/>
      <c r="C955" s="566"/>
      <c r="D955" s="566"/>
      <c r="E955" s="566"/>
      <c r="F955" s="566"/>
      <c r="G955" s="567" t="s">
        <v>3567</v>
      </c>
      <c r="H955" s="567" t="s">
        <v>617</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1041</v>
      </c>
      <c r="N955" s="567"/>
      <c r="O955" s="604"/>
      <c r="P955" s="577"/>
      <c r="Q955" s="625"/>
      <c r="R955" s="386"/>
      <c r="S955" s="802"/>
      <c r="T955" s="386"/>
    </row>
    <row r="956" spans="1:20" customFormat="1" ht="12.75" customHeight="1" x14ac:dyDescent="0.3">
      <c r="A956" s="567" t="s">
        <v>1315</v>
      </c>
      <c r="B956" s="566"/>
      <c r="C956" s="566"/>
      <c r="D956" s="566"/>
      <c r="E956" s="566"/>
      <c r="F956" s="566"/>
      <c r="G956" s="567" t="s">
        <v>3568</v>
      </c>
      <c r="H956" s="567" t="s">
        <v>617</v>
      </c>
      <c r="I956" s="681"/>
      <c r="J956" s="294" t="str">
        <f>IF(ISBLANK(HLOOKUP(CaseName,CaseData,MATCH($G956,cases!$G$4:$G$2494,0),FALSE)),"",HLOOKUP(CaseName,CaseData,MATCH($G956,cases!$G$4:$G$2494,0),FALSE))</f>
        <v/>
      </c>
      <c r="K956" s="576">
        <f>L774+kdegA.a</f>
        <v>3.663258818281463E-10</v>
      </c>
      <c r="L956" s="298">
        <f t="shared" si="58"/>
        <v>3.663258818281463E-10</v>
      </c>
      <c r="M956" s="566" t="s">
        <v>1041</v>
      </c>
      <c r="N956" s="567"/>
      <c r="O956" s="604"/>
      <c r="P956" s="577"/>
      <c r="Q956" s="576"/>
      <c r="R956" s="386"/>
      <c r="S956" s="802"/>
      <c r="T956" s="386"/>
    </row>
    <row r="957" spans="1:20" customFormat="1" ht="12.75" customHeight="1" x14ac:dyDescent="0.3">
      <c r="A957" s="567" t="s">
        <v>1315</v>
      </c>
      <c r="B957" s="566"/>
      <c r="C957" s="566"/>
      <c r="D957" s="566"/>
      <c r="E957" s="566"/>
      <c r="F957" s="566"/>
      <c r="G957" s="567" t="s">
        <v>3569</v>
      </c>
      <c r="H957" s="567" t="s">
        <v>617</v>
      </c>
      <c r="I957" s="681"/>
      <c r="J957" s="294" t="str">
        <f>IF(ISBLANK(HLOOKUP(CaseName,CaseData,MATCH($G957,cases!$G$4:$G$2494,0),FALSE)),"",HLOOKUP(CaseName,CaseData,MATCH($G957,cases!$G$4:$G$2494,0),FALSE))</f>
        <v/>
      </c>
      <c r="K957" s="576">
        <f>L774+kdegP.a</f>
        <v>3.663258818281463E-10</v>
      </c>
      <c r="L957" s="298">
        <f t="shared" si="58"/>
        <v>3.663258818281463E-10</v>
      </c>
      <c r="M957" s="566" t="s">
        <v>1041</v>
      </c>
      <c r="N957" s="567"/>
      <c r="O957" s="604"/>
      <c r="P957" s="577"/>
      <c r="Q957" s="576"/>
      <c r="R957" s="386"/>
      <c r="S957" s="802"/>
      <c r="T957" s="386"/>
    </row>
    <row r="958" spans="1:20" customFormat="1" ht="12.75" customHeight="1" x14ac:dyDescent="0.3">
      <c r="A958" s="567" t="s">
        <v>1317</v>
      </c>
      <c r="B958" s="566"/>
      <c r="C958" s="566"/>
      <c r="D958" s="566"/>
      <c r="E958" s="566"/>
      <c r="F958" s="566"/>
      <c r="G958" s="567" t="s">
        <v>3570</v>
      </c>
      <c r="H958" s="567" t="s">
        <v>617</v>
      </c>
      <c r="I958" s="681"/>
      <c r="J958" s="294" t="str">
        <f>IF(ISBLANK(HLOOKUP(CaseName,CaseData,MATCH($G958,cases!$G$4:$G$2494,0),FALSE)),"",HLOOKUP(CaseName,CaseData,MATCH($G958,cases!$G$4:$G$2494,0),FALSE))</f>
        <v/>
      </c>
      <c r="K958" s="576">
        <f>kdegS.w2</f>
        <v>0</v>
      </c>
      <c r="L958" s="298">
        <f t="shared" si="58"/>
        <v>0</v>
      </c>
      <c r="M958" s="566" t="s">
        <v>1885</v>
      </c>
      <c r="N958" s="567"/>
      <c r="O958" s="604"/>
      <c r="P958" s="577"/>
      <c r="Q958" s="576"/>
      <c r="R958" s="386"/>
      <c r="S958" s="802"/>
      <c r="T958" s="386"/>
    </row>
    <row r="959" spans="1:20" customFormat="1" ht="12.75" customHeight="1" x14ac:dyDescent="0.3">
      <c r="A959" s="567" t="s">
        <v>1317</v>
      </c>
      <c r="B959" s="566"/>
      <c r="C959" s="566"/>
      <c r="D959" s="566"/>
      <c r="E959" s="566"/>
      <c r="F959" s="566"/>
      <c r="G959" s="567" t="s">
        <v>3571</v>
      </c>
      <c r="H959" s="567" t="s">
        <v>617</v>
      </c>
      <c r="I959" s="681"/>
      <c r="J959" s="294" t="str">
        <f>IF(ISBLANK(HLOOKUP(CaseName,CaseData,MATCH($G959,cases!$G$4:$G$2494,0),FALSE)),"",HLOOKUP(CaseName,CaseData,MATCH($G959,cases!$G$4:$G$2494,0),FALSE))</f>
        <v/>
      </c>
      <c r="K959" s="576">
        <f>kdegA.w2</f>
        <v>0</v>
      </c>
      <c r="L959" s="298">
        <f t="shared" si="58"/>
        <v>0</v>
      </c>
      <c r="M959" s="566" t="s">
        <v>1885</v>
      </c>
      <c r="N959" s="567"/>
      <c r="O959" s="604"/>
      <c r="P959" s="577"/>
      <c r="Q959" s="576"/>
      <c r="R959" s="386"/>
      <c r="S959" s="802"/>
      <c r="T959" s="386"/>
    </row>
    <row r="960" spans="1:20" customFormat="1" ht="12.75" customHeight="1" x14ac:dyDescent="0.3">
      <c r="A960" s="567" t="s">
        <v>1317</v>
      </c>
      <c r="B960" s="566"/>
      <c r="C960" s="566"/>
      <c r="D960" s="566"/>
      <c r="E960" s="566"/>
      <c r="F960" s="566"/>
      <c r="G960" s="567" t="s">
        <v>3572</v>
      </c>
      <c r="H960" s="567" t="s">
        <v>617</v>
      </c>
      <c r="I960" s="681"/>
      <c r="J960" s="294" t="str">
        <f>IF(ISBLANK(HLOOKUP(CaseName,CaseData,MATCH($G960,cases!$G$4:$G$2494,0),FALSE)),"",HLOOKUP(CaseName,CaseData,MATCH($G960,cases!$G$4:$G$2494,0),FALSE))</f>
        <v/>
      </c>
      <c r="K960" s="576">
        <f>kdegP.w2</f>
        <v>0</v>
      </c>
      <c r="L960" s="298">
        <f t="shared" si="58"/>
        <v>0</v>
      </c>
      <c r="M960" s="566" t="s">
        <v>1885</v>
      </c>
      <c r="N960" s="567"/>
      <c r="O960" s="604"/>
      <c r="P960" s="577"/>
      <c r="Q960" s="576"/>
      <c r="R960" s="386"/>
      <c r="S960" s="802"/>
      <c r="T960" s="386"/>
    </row>
    <row r="961" spans="1:20" customFormat="1" ht="12.75" customHeight="1" x14ac:dyDescent="0.3">
      <c r="A961" s="567" t="s">
        <v>1319</v>
      </c>
      <c r="B961" s="566"/>
      <c r="C961" s="566"/>
      <c r="D961" s="566"/>
      <c r="E961" s="566"/>
      <c r="F961" s="566"/>
      <c r="G961" s="567" t="s">
        <v>3573</v>
      </c>
      <c r="H961" s="567" t="s">
        <v>617</v>
      </c>
      <c r="I961" s="681"/>
      <c r="J961" s="294" t="str">
        <f>IF(ISBLANK(HLOOKUP(CaseName,CaseData,MATCH($G961,cases!$G$4:$G$2494,0),FALSE)),"",HLOOKUP(CaseName,CaseData,MATCH($G961,cases!$G$4:$G$2494,0),FALSE))</f>
        <v/>
      </c>
      <c r="K961" s="576">
        <f>kdegS.w3</f>
        <v>0</v>
      </c>
      <c r="L961" s="298">
        <f t="shared" si="58"/>
        <v>0</v>
      </c>
      <c r="M961" s="566" t="s">
        <v>1885</v>
      </c>
      <c r="N961" s="567"/>
      <c r="O961" s="604"/>
      <c r="P961" s="577"/>
      <c r="Q961" s="576"/>
      <c r="R961" s="386"/>
      <c r="S961" s="802"/>
      <c r="T961" s="386"/>
    </row>
    <row r="962" spans="1:20" customFormat="1" ht="12.75" customHeight="1" x14ac:dyDescent="0.3">
      <c r="A962" s="567" t="s">
        <v>1319</v>
      </c>
      <c r="B962" s="566"/>
      <c r="C962" s="566"/>
      <c r="D962" s="566"/>
      <c r="E962" s="566"/>
      <c r="F962" s="566"/>
      <c r="G962" s="567" t="s">
        <v>3574</v>
      </c>
      <c r="H962" s="567" t="s">
        <v>617</v>
      </c>
      <c r="I962" s="681"/>
      <c r="J962" s="294" t="str">
        <f>IF(ISBLANK(HLOOKUP(CaseName,CaseData,MATCH($G962,cases!$G$4:$G$2494,0),FALSE)),"",HLOOKUP(CaseName,CaseData,MATCH($G962,cases!$G$4:$G$2494,0),FALSE))</f>
        <v/>
      </c>
      <c r="K962" s="576">
        <f>kdegA.w3</f>
        <v>0</v>
      </c>
      <c r="L962" s="298">
        <f t="shared" si="58"/>
        <v>0</v>
      </c>
      <c r="M962" s="566" t="s">
        <v>1885</v>
      </c>
      <c r="N962" s="567"/>
      <c r="O962" s="604"/>
      <c r="P962" s="577"/>
      <c r="Q962" s="576"/>
      <c r="R962" s="386"/>
      <c r="S962" s="802"/>
      <c r="T962" s="386"/>
    </row>
    <row r="963" spans="1:20" customFormat="1" ht="12.75" customHeight="1" x14ac:dyDescent="0.3">
      <c r="A963" s="567" t="s">
        <v>1319</v>
      </c>
      <c r="B963" s="566"/>
      <c r="C963" s="566"/>
      <c r="D963" s="566"/>
      <c r="E963" s="566"/>
      <c r="F963" s="566"/>
      <c r="G963" s="567" t="s">
        <v>3575</v>
      </c>
      <c r="H963" s="567" t="s">
        <v>617</v>
      </c>
      <c r="I963" s="681"/>
      <c r="J963" s="294" t="str">
        <f>IF(ISBLANK(HLOOKUP(CaseName,CaseData,MATCH($G963,cases!$G$4:$G$2494,0),FALSE)),"",HLOOKUP(CaseName,CaseData,MATCH($G963,cases!$G$4:$G$2494,0),FALSE))</f>
        <v/>
      </c>
      <c r="K963" s="576">
        <f>kdegP.w3</f>
        <v>0</v>
      </c>
      <c r="L963" s="298">
        <f t="shared" si="58"/>
        <v>0</v>
      </c>
      <c r="M963" s="566" t="s">
        <v>1885</v>
      </c>
      <c r="N963" s="567"/>
      <c r="O963" s="604"/>
      <c r="P963" s="577"/>
      <c r="Q963" s="576"/>
      <c r="R963" s="386"/>
      <c r="S963" s="802"/>
      <c r="T963" s="386"/>
    </row>
    <row r="964" spans="1:20" customFormat="1" ht="12.75" customHeight="1" x14ac:dyDescent="0.3">
      <c r="A964" s="567" t="s">
        <v>1323</v>
      </c>
      <c r="B964" s="566"/>
      <c r="C964" s="566"/>
      <c r="D964" s="566"/>
      <c r="E964" s="566"/>
      <c r="F964" s="566"/>
      <c r="G964" s="567" t="s">
        <v>3576</v>
      </c>
      <c r="H964" s="567" t="s">
        <v>617</v>
      </c>
      <c r="I964" s="681"/>
      <c r="J964" s="294" t="str">
        <f>IF(ISBLANK(HLOOKUP(CaseName,CaseData,MATCH($G964,cases!$G$4:$G$2494,0),FALSE)),"",HLOOKUP(CaseName,CaseData,MATCH($G964,cases!$G$4:$G$2494,0),FALSE))</f>
        <v/>
      </c>
      <c r="K964" s="576">
        <f>L971+kdegS.sd2</f>
        <v>1.2683916793505895E-12</v>
      </c>
      <c r="L964" s="298">
        <f t="shared" si="58"/>
        <v>1.2683916793505895E-12</v>
      </c>
      <c r="M964" s="566" t="s">
        <v>1885</v>
      </c>
      <c r="N964" s="567"/>
      <c r="O964" s="604"/>
      <c r="P964" s="802"/>
      <c r="Q964" s="576"/>
      <c r="R964" s="386"/>
      <c r="S964" s="802"/>
      <c r="T964" s="386"/>
    </row>
    <row r="965" spans="1:20" customFormat="1" ht="12.75" customHeight="1" x14ac:dyDescent="0.3">
      <c r="A965" s="567" t="s">
        <v>1323</v>
      </c>
      <c r="B965" s="566"/>
      <c r="C965" s="566"/>
      <c r="D965" s="566"/>
      <c r="E965" s="566"/>
      <c r="F965" s="566"/>
      <c r="G965" s="567" t="s">
        <v>3577</v>
      </c>
      <c r="H965" s="567" t="s">
        <v>617</v>
      </c>
      <c r="I965" s="681"/>
      <c r="J965" s="294" t="str">
        <f>IF(ISBLANK(HLOOKUP(CaseName,CaseData,MATCH($G965,cases!$G$4:$G$2494,0),FALSE)),"",HLOOKUP(CaseName,CaseData,MATCH($G965,cases!$G$4:$G$2494,0),FALSE))</f>
        <v/>
      </c>
      <c r="K965" s="576">
        <f>L971+kdegA.sd2</f>
        <v>1.2683916793505895E-12</v>
      </c>
      <c r="L965" s="298">
        <f t="shared" si="58"/>
        <v>1.2683916793505895E-12</v>
      </c>
      <c r="M965" s="566" t="s">
        <v>1885</v>
      </c>
      <c r="N965" s="567"/>
      <c r="O965" s="604"/>
      <c r="P965" s="802"/>
      <c r="Q965" s="576"/>
      <c r="R965" s="386"/>
      <c r="S965" s="802"/>
      <c r="T965" s="386"/>
    </row>
    <row r="966" spans="1:20" customFormat="1" ht="12.75" customHeight="1" x14ac:dyDescent="0.3">
      <c r="A966" s="567" t="s">
        <v>1323</v>
      </c>
      <c r="B966" s="566"/>
      <c r="C966" s="566"/>
      <c r="D966" s="566"/>
      <c r="E966" s="566"/>
      <c r="F966" s="566"/>
      <c r="G966" s="567" t="s">
        <v>3578</v>
      </c>
      <c r="H966" s="567" t="s">
        <v>617</v>
      </c>
      <c r="I966" s="681"/>
      <c r="J966" s="294" t="str">
        <f>IF(ISBLANK(HLOOKUP(CaseName,CaseData,MATCH($G966,cases!$G$4:$G$2494,0),FALSE)),"",HLOOKUP(CaseName,CaseData,MATCH($G966,cases!$G$4:$G$2494,0),FALSE))</f>
        <v/>
      </c>
      <c r="K966" s="576">
        <f>L971+kdegP.sd2</f>
        <v>1.2683916793505895E-12</v>
      </c>
      <c r="L966" s="298">
        <f t="shared" si="58"/>
        <v>1.2683916793505895E-12</v>
      </c>
      <c r="M966" s="566" t="s">
        <v>1885</v>
      </c>
      <c r="N966" s="567"/>
      <c r="O966" s="604"/>
      <c r="P966" s="802"/>
      <c r="Q966" s="576"/>
      <c r="R966" s="386"/>
      <c r="S966" s="802"/>
      <c r="T966" s="386"/>
    </row>
    <row r="967" spans="1:20" customFormat="1" ht="12.75" customHeight="1" x14ac:dyDescent="0.3">
      <c r="A967" s="567" t="s">
        <v>1329</v>
      </c>
      <c r="B967" s="566"/>
      <c r="C967" s="566"/>
      <c r="D967" s="566"/>
      <c r="E967" s="566"/>
      <c r="F967" s="566"/>
      <c r="G967" s="567" t="s">
        <v>3579</v>
      </c>
      <c r="H967" s="567" t="s">
        <v>617</v>
      </c>
      <c r="I967" s="681"/>
      <c r="J967" s="294" t="str">
        <f>IF(ISBLANK(HLOOKUP(CaseName,CaseData,MATCH($G967,cases!$G$4:$G$2494,0),FALSE)),"",HLOOKUP(CaseName,CaseData,MATCH($G967,cases!$G$4:$G$2494,0),FALSE))</f>
        <v/>
      </c>
      <c r="K967" s="576">
        <f>L970+kdegS.s1</f>
        <v>1.7647916789232132E-9</v>
      </c>
      <c r="L967" s="298">
        <f t="shared" si="58"/>
        <v>1.7647916789232132E-9</v>
      </c>
      <c r="M967" s="566" t="s">
        <v>1885</v>
      </c>
      <c r="N967" s="567"/>
      <c r="O967" s="604"/>
      <c r="P967" s="802"/>
      <c r="Q967" s="576"/>
      <c r="R967" s="386"/>
      <c r="S967" s="802"/>
      <c r="T967" s="386"/>
    </row>
    <row r="968" spans="1:20" customFormat="1" ht="12.75" customHeight="1" x14ac:dyDescent="0.3">
      <c r="A968" s="567" t="s">
        <v>1329</v>
      </c>
      <c r="B968" s="566"/>
      <c r="C968" s="566"/>
      <c r="D968" s="566"/>
      <c r="E968" s="566"/>
      <c r="F968" s="566"/>
      <c r="G968" s="567" t="s">
        <v>3580</v>
      </c>
      <c r="H968" s="567" t="s">
        <v>617</v>
      </c>
      <c r="I968" s="681"/>
      <c r="J968" s="294" t="str">
        <f>IF(ISBLANK(HLOOKUP(CaseName,CaseData,MATCH($G968,cases!$G$4:$G$2494,0),FALSE)),"",HLOOKUP(CaseName,CaseData,MATCH($G968,cases!$G$4:$G$2494,0),FALSE))</f>
        <v/>
      </c>
      <c r="K968" s="576">
        <f>L970+kdegA.s1</f>
        <v>1.7647916789232132E-9</v>
      </c>
      <c r="L968" s="298">
        <f t="shared" si="58"/>
        <v>1.7647916789232132E-9</v>
      </c>
      <c r="M968" s="566" t="s">
        <v>1885</v>
      </c>
      <c r="N968" s="567"/>
      <c r="O968" s="604"/>
      <c r="P968" s="802"/>
      <c r="Q968" s="576"/>
      <c r="R968" s="386"/>
      <c r="S968" s="802"/>
      <c r="T968" s="386"/>
    </row>
    <row r="969" spans="1:20" customFormat="1" ht="12.75" customHeight="1" x14ac:dyDescent="0.3">
      <c r="A969" s="567" t="s">
        <v>1329</v>
      </c>
      <c r="B969" s="566"/>
      <c r="C969" s="566"/>
      <c r="D969" s="566"/>
      <c r="E969" s="566"/>
      <c r="F969" s="566"/>
      <c r="G969" s="567" t="s">
        <v>3581</v>
      </c>
      <c r="H969" s="567" t="s">
        <v>617</v>
      </c>
      <c r="I969" s="681"/>
      <c r="J969" s="294" t="str">
        <f>IF(ISBLANK(HLOOKUP(CaseName,CaseData,MATCH($G969,cases!$G$4:$G$2494,0),FALSE)),"",HLOOKUP(CaseName,CaseData,MATCH($G969,cases!$G$4:$G$2494,0),FALSE))</f>
        <v/>
      </c>
      <c r="K969" s="576">
        <f>kdegP.s1</f>
        <v>0</v>
      </c>
      <c r="L969" s="298">
        <f t="shared" si="58"/>
        <v>0</v>
      </c>
      <c r="M969" s="566" t="s">
        <v>1885</v>
      </c>
      <c r="N969" s="567"/>
      <c r="O969" s="604"/>
      <c r="P969" s="577"/>
      <c r="Q969" s="576"/>
      <c r="R969" s="386"/>
      <c r="S969" s="802"/>
      <c r="T969" s="386"/>
    </row>
    <row r="970" spans="1:20" customFormat="1" ht="12.75" customHeight="1" x14ac:dyDescent="0.3">
      <c r="A970" s="566"/>
      <c r="B970" s="566" t="s">
        <v>1912</v>
      </c>
      <c r="C970" s="566"/>
      <c r="D970" s="566"/>
      <c r="E970" s="566"/>
      <c r="F970" s="566"/>
      <c r="G970" s="567" t="s">
        <v>3582</v>
      </c>
      <c r="H970" s="567" t="s">
        <v>335</v>
      </c>
      <c r="I970" s="677"/>
      <c r="J970" s="294" t="str">
        <f>IF(ISBLANK(HLOOKUP(CaseName,CaseData,MATCH($G970,cases!$G$4:$G$2494,0),FALSE)),"",HLOOKUP(CaseName,CaseData,MATCH($G970,cases!$G$4:$G$2494,0),FALSE))</f>
        <v/>
      </c>
      <c r="K970" s="576">
        <f>(L785*L736*L786)/L669</f>
        <v>1.7647916789232132E-9</v>
      </c>
      <c r="L970" s="298">
        <f t="shared" si="58"/>
        <v>1.7647916789232132E-9</v>
      </c>
      <c r="M970" s="566" t="s">
        <v>1885</v>
      </c>
      <c r="N970" s="566" t="s">
        <v>1914</v>
      </c>
      <c r="O970" s="604"/>
      <c r="P970" s="566"/>
    </row>
    <row r="971" spans="1:20" s="487" customFormat="1" ht="12.75" customHeight="1" x14ac:dyDescent="0.3">
      <c r="A971" s="598"/>
      <c r="B971" s="598" t="s">
        <v>1919</v>
      </c>
      <c r="C971" s="598"/>
      <c r="D971" s="598"/>
      <c r="E971" s="598"/>
      <c r="F971" s="598"/>
      <c r="G971" s="601" t="s">
        <v>3583</v>
      </c>
      <c r="H971" s="601" t="s">
        <v>335</v>
      </c>
      <c r="I971" s="682"/>
      <c r="J971" s="798" t="str">
        <f>IF(ISBLANK(HLOOKUP(CaseName,CaseData,MATCH($G971,cases!$G$4:$G$2494,0),FALSE)),"",HLOOKUP(CaseName,CaseData,MATCH($G971,cases!$G$4:$G$2494,0),FALSE))</f>
        <v/>
      </c>
      <c r="K971" s="626">
        <f>L755/L669</f>
        <v>1.2683916793505895E-12</v>
      </c>
      <c r="L971" s="680">
        <f t="shared" si="58"/>
        <v>1.2683916793505895E-12</v>
      </c>
      <c r="M971" s="598" t="s">
        <v>1885</v>
      </c>
      <c r="N971" s="598" t="s">
        <v>1921</v>
      </c>
      <c r="O971" s="676"/>
      <c r="P971" s="598"/>
    </row>
    <row r="972" spans="1:20" ht="12.75" customHeight="1" x14ac:dyDescent="0.3">
      <c r="I972" s="14"/>
      <c r="O972" s="11"/>
      <c r="P972" s="11"/>
      <c r="Q972" s="11"/>
      <c r="R972" s="11"/>
      <c r="S972" s="11"/>
      <c r="T972" s="11"/>
    </row>
  </sheetData>
  <customSheetViews>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1"/>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3"/>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4"/>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3584</v>
      </c>
    </row>
    <row r="2" spans="2:160" ht="12.75" customHeight="1" x14ac:dyDescent="0.3">
      <c r="B2" s="100"/>
    </row>
    <row r="3" spans="2:160" ht="12.75" customHeight="1" x14ac:dyDescent="0.3">
      <c r="B3" s="177"/>
      <c r="C3" s="178"/>
      <c r="D3" s="187" t="s">
        <v>3585</v>
      </c>
      <c r="E3" s="187" t="s">
        <v>3586</v>
      </c>
      <c r="F3" s="187" t="s">
        <v>3587</v>
      </c>
      <c r="G3" s="187" t="s">
        <v>3588</v>
      </c>
      <c r="H3" s="187" t="s">
        <v>3589</v>
      </c>
      <c r="I3" s="187" t="s">
        <v>3590</v>
      </c>
      <c r="J3" s="187" t="s">
        <v>3591</v>
      </c>
      <c r="K3" s="187" t="s">
        <v>3592</v>
      </c>
      <c r="L3" s="187" t="s">
        <v>3593</v>
      </c>
      <c r="M3" s="187" t="s">
        <v>3594</v>
      </c>
      <c r="N3" s="187" t="s">
        <v>3595</v>
      </c>
      <c r="O3" s="187" t="s">
        <v>3596</v>
      </c>
      <c r="P3" s="187" t="s">
        <v>3597</v>
      </c>
      <c r="Q3" s="187" t="s">
        <v>3598</v>
      </c>
      <c r="R3" s="187" t="s">
        <v>3599</v>
      </c>
      <c r="S3" s="187" t="s">
        <v>3600</v>
      </c>
      <c r="T3" s="187" t="s">
        <v>3601</v>
      </c>
      <c r="U3" s="187" t="s">
        <v>3602</v>
      </c>
      <c r="V3" s="187" t="s">
        <v>3603</v>
      </c>
      <c r="W3" s="187" t="s">
        <v>3604</v>
      </c>
      <c r="X3" s="187" t="s">
        <v>3605</v>
      </c>
      <c r="Y3" s="187" t="s">
        <v>3606</v>
      </c>
      <c r="Z3" s="187" t="s">
        <v>3607</v>
      </c>
      <c r="AA3" s="187" t="s">
        <v>3608</v>
      </c>
      <c r="AB3" s="187" t="s">
        <v>3609</v>
      </c>
      <c r="AC3" s="187" t="s">
        <v>3610</v>
      </c>
      <c r="AD3" s="187" t="s">
        <v>3611</v>
      </c>
      <c r="AE3" s="187" t="s">
        <v>3612</v>
      </c>
      <c r="AF3" s="187" t="s">
        <v>3613</v>
      </c>
      <c r="AG3" s="187" t="s">
        <v>3614</v>
      </c>
      <c r="AH3" s="187" t="s">
        <v>3615</v>
      </c>
      <c r="AI3" s="187" t="s">
        <v>3616</v>
      </c>
      <c r="AJ3" s="187" t="s">
        <v>3617</v>
      </c>
      <c r="AK3" s="187" t="s">
        <v>3618</v>
      </c>
      <c r="AL3" s="187" t="s">
        <v>3619</v>
      </c>
      <c r="AM3" s="187" t="s">
        <v>3620</v>
      </c>
      <c r="AN3" s="187" t="s">
        <v>3621</v>
      </c>
      <c r="AO3" s="187" t="s">
        <v>3622</v>
      </c>
      <c r="AP3" s="187" t="s">
        <v>3623</v>
      </c>
      <c r="AQ3" s="187" t="s">
        <v>3624</v>
      </c>
      <c r="AR3" s="187" t="s">
        <v>3625</v>
      </c>
      <c r="AS3" s="187" t="s">
        <v>3626</v>
      </c>
      <c r="AT3" s="187" t="s">
        <v>3627</v>
      </c>
      <c r="AU3" s="187" t="s">
        <v>3628</v>
      </c>
      <c r="AV3" s="187" t="s">
        <v>3629</v>
      </c>
      <c r="AW3" s="187" t="s">
        <v>3630</v>
      </c>
      <c r="AX3" s="187" t="s">
        <v>3631</v>
      </c>
      <c r="AY3" s="187" t="s">
        <v>3632</v>
      </c>
      <c r="AZ3" s="187" t="s">
        <v>3633</v>
      </c>
      <c r="BA3" s="187" t="s">
        <v>3634</v>
      </c>
      <c r="BB3" s="187" t="s">
        <v>3635</v>
      </c>
      <c r="BC3" s="187" t="s">
        <v>3636</v>
      </c>
      <c r="BD3" s="187" t="s">
        <v>3637</v>
      </c>
      <c r="BE3" s="187" t="s">
        <v>3638</v>
      </c>
      <c r="BF3" s="187" t="s">
        <v>3639</v>
      </c>
      <c r="BG3" s="187" t="s">
        <v>3640</v>
      </c>
      <c r="BH3" s="187" t="s">
        <v>3641</v>
      </c>
      <c r="BI3" s="187" t="s">
        <v>3642</v>
      </c>
      <c r="BJ3" s="187" t="s">
        <v>3643</v>
      </c>
      <c r="BK3" s="187" t="s">
        <v>3644</v>
      </c>
      <c r="BL3" s="187" t="s">
        <v>3645</v>
      </c>
      <c r="BM3" s="187" t="s">
        <v>3646</v>
      </c>
      <c r="BN3" s="187" t="s">
        <v>3647</v>
      </c>
      <c r="BO3" s="187" t="s">
        <v>3648</v>
      </c>
      <c r="BP3" s="187" t="s">
        <v>3649</v>
      </c>
      <c r="BQ3" s="187" t="s">
        <v>3650</v>
      </c>
      <c r="BR3" s="187" t="s">
        <v>3651</v>
      </c>
      <c r="BS3" s="187" t="s">
        <v>3652</v>
      </c>
      <c r="BT3" s="187" t="s">
        <v>3653</v>
      </c>
      <c r="BU3" s="187" t="s">
        <v>3654</v>
      </c>
      <c r="BV3" s="187" t="s">
        <v>3655</v>
      </c>
      <c r="BW3" s="187" t="s">
        <v>3656</v>
      </c>
      <c r="BX3" s="187" t="s">
        <v>3657</v>
      </c>
      <c r="BY3" s="187" t="s">
        <v>3658</v>
      </c>
      <c r="BZ3" s="187" t="s">
        <v>3659</v>
      </c>
      <c r="CA3" s="187" t="s">
        <v>3660</v>
      </c>
      <c r="CB3" s="187" t="s">
        <v>3661</v>
      </c>
      <c r="CC3" s="187" t="s">
        <v>3662</v>
      </c>
      <c r="CD3" s="187" t="s">
        <v>3663</v>
      </c>
      <c r="CE3" s="187" t="s">
        <v>3664</v>
      </c>
      <c r="CF3" s="187" t="s">
        <v>3665</v>
      </c>
      <c r="CG3" s="187" t="s">
        <v>3666</v>
      </c>
      <c r="CH3" s="187" t="s">
        <v>3667</v>
      </c>
      <c r="CI3" s="187" t="s">
        <v>3668</v>
      </c>
      <c r="CJ3" s="187" t="s">
        <v>3669</v>
      </c>
      <c r="CK3" s="187" t="s">
        <v>3670</v>
      </c>
      <c r="CL3" s="187" t="s">
        <v>3671</v>
      </c>
      <c r="CM3" s="187" t="s">
        <v>3672</v>
      </c>
      <c r="CN3" s="187" t="s">
        <v>3673</v>
      </c>
      <c r="CO3" s="187" t="s">
        <v>3674</v>
      </c>
      <c r="CP3" s="187" t="s">
        <v>3675</v>
      </c>
      <c r="CQ3" s="187" t="s">
        <v>3676</v>
      </c>
      <c r="CR3" s="187" t="s">
        <v>3677</v>
      </c>
      <c r="CS3" s="187" t="s">
        <v>3678</v>
      </c>
      <c r="CT3" s="187" t="s">
        <v>3679</v>
      </c>
      <c r="CU3" s="187" t="s">
        <v>3680</v>
      </c>
      <c r="CV3" s="187" t="s">
        <v>3681</v>
      </c>
      <c r="CW3" s="187" t="s">
        <v>3682</v>
      </c>
      <c r="CX3" s="187" t="s">
        <v>3683</v>
      </c>
      <c r="CY3" s="187" t="s">
        <v>3684</v>
      </c>
      <c r="CZ3" s="187" t="s">
        <v>3685</v>
      </c>
      <c r="DA3" s="187" t="s">
        <v>3686</v>
      </c>
      <c r="DB3" s="187" t="s">
        <v>3687</v>
      </c>
      <c r="DC3" s="187" t="s">
        <v>3688</v>
      </c>
      <c r="DD3" s="187" t="s">
        <v>3689</v>
      </c>
      <c r="DE3" s="187" t="s">
        <v>3690</v>
      </c>
      <c r="DF3" s="187" t="s">
        <v>3691</v>
      </c>
      <c r="DG3" s="187" t="s">
        <v>3692</v>
      </c>
      <c r="DH3" s="187" t="s">
        <v>3693</v>
      </c>
      <c r="DI3" s="187" t="s">
        <v>3694</v>
      </c>
      <c r="DJ3" s="187" t="s">
        <v>3695</v>
      </c>
      <c r="DK3" s="187" t="s">
        <v>3696</v>
      </c>
      <c r="DL3" s="187" t="s">
        <v>3697</v>
      </c>
      <c r="DM3" s="187" t="s">
        <v>3698</v>
      </c>
      <c r="DN3" s="187" t="s">
        <v>3699</v>
      </c>
      <c r="DO3" s="187" t="s">
        <v>3700</v>
      </c>
      <c r="DP3" s="187" t="s">
        <v>3701</v>
      </c>
      <c r="DQ3" s="187" t="s">
        <v>3702</v>
      </c>
      <c r="DR3" s="187" t="s">
        <v>3703</v>
      </c>
      <c r="DS3" s="187" t="s">
        <v>3704</v>
      </c>
      <c r="DT3" s="187" t="s">
        <v>3705</v>
      </c>
      <c r="DU3" s="187" t="s">
        <v>3706</v>
      </c>
      <c r="DV3" s="187" t="s">
        <v>3707</v>
      </c>
      <c r="DW3" s="187" t="s">
        <v>3708</v>
      </c>
      <c r="DX3" s="187" t="s">
        <v>3709</v>
      </c>
      <c r="DY3" s="187" t="s">
        <v>3710</v>
      </c>
      <c r="DZ3" s="187" t="s">
        <v>3711</v>
      </c>
      <c r="EA3" s="187" t="s">
        <v>3712</v>
      </c>
      <c r="EB3" s="187" t="s">
        <v>3713</v>
      </c>
      <c r="EC3" s="187" t="s">
        <v>3714</v>
      </c>
      <c r="ED3" s="187" t="s">
        <v>3715</v>
      </c>
      <c r="EE3" s="187" t="s">
        <v>3716</v>
      </c>
      <c r="EF3" s="187" t="s">
        <v>3717</v>
      </c>
      <c r="EG3" s="187" t="s">
        <v>3718</v>
      </c>
      <c r="EH3" s="187" t="s">
        <v>3719</v>
      </c>
      <c r="EI3" s="187" t="s">
        <v>3720</v>
      </c>
      <c r="EJ3" s="187" t="s">
        <v>3721</v>
      </c>
      <c r="EK3" s="187" t="s">
        <v>3722</v>
      </c>
      <c r="EL3" s="187" t="s">
        <v>3723</v>
      </c>
      <c r="EM3" s="187" t="s">
        <v>3724</v>
      </c>
      <c r="EN3" s="187" t="s">
        <v>3725</v>
      </c>
      <c r="EO3" s="187" t="s">
        <v>3726</v>
      </c>
      <c r="EP3" s="187" t="s">
        <v>3727</v>
      </c>
      <c r="EQ3" s="187" t="s">
        <v>3728</v>
      </c>
      <c r="ER3" s="187" t="s">
        <v>3729</v>
      </c>
      <c r="ES3" s="187" t="s">
        <v>3730</v>
      </c>
      <c r="ET3" s="187" t="s">
        <v>3731</v>
      </c>
      <c r="EU3" s="187" t="s">
        <v>3732</v>
      </c>
      <c r="EV3" s="187" t="s">
        <v>3733</v>
      </c>
      <c r="EW3" s="187" t="s">
        <v>3734</v>
      </c>
      <c r="EX3" s="187" t="s">
        <v>3735</v>
      </c>
      <c r="EY3" s="187" t="s">
        <v>3736</v>
      </c>
      <c r="EZ3" s="187" t="s">
        <v>3737</v>
      </c>
      <c r="FA3" s="187" t="s">
        <v>3738</v>
      </c>
      <c r="FB3" s="194" t="s">
        <v>3739</v>
      </c>
    </row>
    <row r="4" spans="2:160" ht="12.75" customHeight="1" x14ac:dyDescent="0.3">
      <c r="B4" s="179" t="s">
        <v>3740</v>
      </c>
      <c r="C4" s="109" t="s">
        <v>3741</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3742</v>
      </c>
      <c r="C5" s="110" t="s">
        <v>3743</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3744</v>
      </c>
      <c r="C8" s="390" t="s">
        <v>586</v>
      </c>
      <c r="D8" s="391" t="s">
        <v>3745</v>
      </c>
      <c r="E8" s="391" t="s">
        <v>3746</v>
      </c>
      <c r="F8" s="391" t="s">
        <v>3747</v>
      </c>
      <c r="G8" s="391" t="s">
        <v>3748</v>
      </c>
      <c r="H8" s="391" t="s">
        <v>3749</v>
      </c>
      <c r="I8" s="391" t="s">
        <v>3750</v>
      </c>
      <c r="J8" s="391" t="s">
        <v>3751</v>
      </c>
      <c r="K8" s="391" t="s">
        <v>3752</v>
      </c>
      <c r="L8" s="391" t="s">
        <v>3753</v>
      </c>
      <c r="M8" s="391" t="s">
        <v>3754</v>
      </c>
      <c r="N8" s="391" t="s">
        <v>3755</v>
      </c>
      <c r="O8" s="391" t="s">
        <v>3756</v>
      </c>
      <c r="P8" s="391" t="s">
        <v>3757</v>
      </c>
      <c r="Q8" s="391" t="s">
        <v>3758</v>
      </c>
      <c r="R8" s="391" t="s">
        <v>3759</v>
      </c>
      <c r="S8" s="391" t="s">
        <v>3760</v>
      </c>
      <c r="T8" s="391" t="s">
        <v>3761</v>
      </c>
      <c r="U8" s="391" t="s">
        <v>3762</v>
      </c>
      <c r="V8" s="391" t="s">
        <v>3763</v>
      </c>
      <c r="W8" s="391" t="s">
        <v>3764</v>
      </c>
      <c r="X8" s="391" t="s">
        <v>3765</v>
      </c>
      <c r="Y8" s="391" t="s">
        <v>3766</v>
      </c>
      <c r="Z8" s="391" t="s">
        <v>3767</v>
      </c>
      <c r="AA8" s="391" t="s">
        <v>3768</v>
      </c>
      <c r="AB8" s="391" t="s">
        <v>3769</v>
      </c>
      <c r="AC8" s="391" t="s">
        <v>3770</v>
      </c>
      <c r="AD8" s="391" t="s">
        <v>3771</v>
      </c>
      <c r="AE8" s="391" t="s">
        <v>3772</v>
      </c>
      <c r="AF8" s="391" t="s">
        <v>3773</v>
      </c>
      <c r="AG8" s="391" t="s">
        <v>3774</v>
      </c>
      <c r="AH8" s="391" t="s">
        <v>3775</v>
      </c>
      <c r="AI8" s="391" t="s">
        <v>3776</v>
      </c>
      <c r="AJ8" s="391" t="s">
        <v>3777</v>
      </c>
      <c r="AK8" s="391" t="s">
        <v>3778</v>
      </c>
      <c r="AL8" s="391" t="s">
        <v>3779</v>
      </c>
      <c r="AM8" s="391" t="s">
        <v>3780</v>
      </c>
      <c r="AN8" s="391" t="s">
        <v>3781</v>
      </c>
      <c r="AO8" s="391" t="s">
        <v>3782</v>
      </c>
      <c r="AP8" s="391" t="s">
        <v>3783</v>
      </c>
      <c r="AQ8" s="391" t="s">
        <v>3784</v>
      </c>
      <c r="AR8" s="391" t="s">
        <v>3785</v>
      </c>
      <c r="AS8" s="391" t="s">
        <v>3786</v>
      </c>
      <c r="AT8" s="391" t="s">
        <v>3787</v>
      </c>
      <c r="AU8" s="391" t="s">
        <v>3788</v>
      </c>
      <c r="AV8" s="391" t="s">
        <v>3789</v>
      </c>
      <c r="AW8" s="391" t="s">
        <v>3790</v>
      </c>
      <c r="AX8" s="391" t="s">
        <v>3791</v>
      </c>
      <c r="AY8" s="391" t="s">
        <v>3792</v>
      </c>
      <c r="AZ8" s="391" t="s">
        <v>3793</v>
      </c>
      <c r="BA8" s="391" t="s">
        <v>3794</v>
      </c>
      <c r="BB8" s="391" t="s">
        <v>3795</v>
      </c>
      <c r="BC8" s="391" t="s">
        <v>3796</v>
      </c>
      <c r="BD8" s="391" t="s">
        <v>3797</v>
      </c>
      <c r="BE8" s="391" t="s">
        <v>3798</v>
      </c>
      <c r="BF8" s="391" t="s">
        <v>3799</v>
      </c>
      <c r="BG8" s="391" t="s">
        <v>3800</v>
      </c>
      <c r="BH8" s="391" t="s">
        <v>3801</v>
      </c>
      <c r="BI8" s="391" t="s">
        <v>3802</v>
      </c>
      <c r="BJ8" s="391" t="s">
        <v>3803</v>
      </c>
      <c r="BK8" s="391" t="s">
        <v>3804</v>
      </c>
      <c r="BL8" s="391" t="s">
        <v>3805</v>
      </c>
      <c r="BM8" s="391" t="s">
        <v>3806</v>
      </c>
      <c r="BN8" s="391" t="s">
        <v>3807</v>
      </c>
      <c r="BO8" s="391" t="s">
        <v>3808</v>
      </c>
      <c r="BP8" s="391" t="s">
        <v>3809</v>
      </c>
      <c r="BQ8" s="391" t="s">
        <v>3810</v>
      </c>
      <c r="BR8" s="391" t="s">
        <v>3811</v>
      </c>
      <c r="BS8" s="391" t="s">
        <v>3812</v>
      </c>
      <c r="BT8" s="391" t="s">
        <v>3813</v>
      </c>
      <c r="BU8" s="391" t="s">
        <v>3814</v>
      </c>
      <c r="BV8" s="391" t="s">
        <v>3815</v>
      </c>
      <c r="BW8" s="391" t="s">
        <v>3816</v>
      </c>
      <c r="BX8" s="391" t="s">
        <v>3817</v>
      </c>
      <c r="BY8" s="391" t="s">
        <v>3818</v>
      </c>
      <c r="BZ8" s="391" t="s">
        <v>3819</v>
      </c>
      <c r="CA8" s="391" t="s">
        <v>3820</v>
      </c>
      <c r="CB8" s="391" t="s">
        <v>3821</v>
      </c>
      <c r="CC8" s="391" t="s">
        <v>3822</v>
      </c>
      <c r="CD8" s="391" t="s">
        <v>3823</v>
      </c>
      <c r="CE8" s="391" t="s">
        <v>3824</v>
      </c>
      <c r="CF8" s="391" t="s">
        <v>3825</v>
      </c>
      <c r="CG8" s="391" t="s">
        <v>3826</v>
      </c>
      <c r="CH8" s="391" t="s">
        <v>3827</v>
      </c>
      <c r="CI8" s="391" t="s">
        <v>3828</v>
      </c>
      <c r="CJ8" s="391" t="s">
        <v>3829</v>
      </c>
      <c r="CK8" s="391" t="s">
        <v>3830</v>
      </c>
      <c r="CL8" s="391" t="s">
        <v>3831</v>
      </c>
      <c r="CM8" s="391" t="s">
        <v>3832</v>
      </c>
      <c r="CN8" s="391" t="s">
        <v>3833</v>
      </c>
      <c r="CO8" s="391" t="s">
        <v>3834</v>
      </c>
      <c r="CP8" s="391" t="s">
        <v>3835</v>
      </c>
      <c r="CQ8" s="391" t="s">
        <v>3836</v>
      </c>
      <c r="CR8" s="391" t="s">
        <v>3837</v>
      </c>
      <c r="CS8" s="391" t="s">
        <v>3838</v>
      </c>
      <c r="CT8" s="391" t="s">
        <v>3839</v>
      </c>
      <c r="CU8" s="391" t="s">
        <v>3840</v>
      </c>
      <c r="CV8" s="391" t="s">
        <v>3841</v>
      </c>
      <c r="CW8" s="391" t="s">
        <v>3842</v>
      </c>
      <c r="CX8" s="391" t="s">
        <v>3843</v>
      </c>
      <c r="CY8" s="391" t="s">
        <v>3844</v>
      </c>
      <c r="CZ8" s="391" t="s">
        <v>3845</v>
      </c>
      <c r="DA8" s="391" t="s">
        <v>3846</v>
      </c>
      <c r="DB8" s="391" t="s">
        <v>3847</v>
      </c>
      <c r="DC8" s="391" t="s">
        <v>3848</v>
      </c>
      <c r="DD8" s="391" t="s">
        <v>3849</v>
      </c>
      <c r="DE8" s="391" t="s">
        <v>3850</v>
      </c>
      <c r="DF8" s="391" t="s">
        <v>3851</v>
      </c>
      <c r="DG8" s="391" t="s">
        <v>3852</v>
      </c>
      <c r="DH8" s="391" t="s">
        <v>3853</v>
      </c>
      <c r="DI8" s="391" t="s">
        <v>3854</v>
      </c>
      <c r="DJ8" s="391" t="s">
        <v>3855</v>
      </c>
      <c r="DK8" s="391" t="s">
        <v>3856</v>
      </c>
      <c r="DL8" s="391" t="s">
        <v>3857</v>
      </c>
      <c r="DM8" s="391" t="s">
        <v>3858</v>
      </c>
      <c r="DN8" s="391" t="s">
        <v>3859</v>
      </c>
      <c r="DO8" s="391" t="s">
        <v>3860</v>
      </c>
      <c r="DP8" s="391" t="s">
        <v>3861</v>
      </c>
      <c r="DQ8" s="391" t="s">
        <v>3862</v>
      </c>
      <c r="DR8" s="391" t="s">
        <v>3863</v>
      </c>
      <c r="DS8" s="391" t="s">
        <v>3864</v>
      </c>
      <c r="DT8" s="391" t="s">
        <v>3865</v>
      </c>
      <c r="DU8" s="391" t="s">
        <v>3866</v>
      </c>
      <c r="DV8" s="391" t="s">
        <v>3867</v>
      </c>
      <c r="DW8" s="391" t="s">
        <v>3868</v>
      </c>
      <c r="DX8" s="391" t="s">
        <v>3869</v>
      </c>
      <c r="DY8" s="391" t="s">
        <v>3870</v>
      </c>
      <c r="DZ8" s="391" t="s">
        <v>3871</v>
      </c>
      <c r="EA8" s="391" t="s">
        <v>3872</v>
      </c>
      <c r="EB8" s="391" t="s">
        <v>3873</v>
      </c>
      <c r="EC8" s="391" t="s">
        <v>3874</v>
      </c>
      <c r="ED8" s="391" t="s">
        <v>3875</v>
      </c>
      <c r="EE8" s="391" t="s">
        <v>3876</v>
      </c>
      <c r="EF8" s="391" t="s">
        <v>3877</v>
      </c>
      <c r="EG8" s="391" t="s">
        <v>3878</v>
      </c>
      <c r="EH8" s="391" t="s">
        <v>3879</v>
      </c>
      <c r="EI8" s="391" t="s">
        <v>3880</v>
      </c>
      <c r="EJ8" s="391" t="s">
        <v>3881</v>
      </c>
      <c r="EK8" s="391" t="s">
        <v>3882</v>
      </c>
      <c r="EL8" s="391" t="s">
        <v>3883</v>
      </c>
      <c r="EM8" s="391" t="s">
        <v>3884</v>
      </c>
      <c r="EN8" s="391" t="s">
        <v>3885</v>
      </c>
      <c r="EO8" s="391" t="s">
        <v>3886</v>
      </c>
      <c r="EP8" s="391" t="s">
        <v>3887</v>
      </c>
      <c r="EQ8" s="391" t="s">
        <v>3888</v>
      </c>
      <c r="ER8" s="391" t="s">
        <v>3889</v>
      </c>
      <c r="ES8" s="391" t="s">
        <v>3890</v>
      </c>
      <c r="ET8" s="391" t="s">
        <v>3891</v>
      </c>
      <c r="EU8" s="391" t="s">
        <v>3892</v>
      </c>
      <c r="EV8" s="391" t="s">
        <v>3893</v>
      </c>
      <c r="EW8" s="391" t="s">
        <v>3894</v>
      </c>
      <c r="EX8" s="391" t="s">
        <v>3895</v>
      </c>
      <c r="EY8" s="391" t="s">
        <v>3896</v>
      </c>
      <c r="EZ8" s="391" t="s">
        <v>3897</v>
      </c>
      <c r="FA8" s="391" t="s">
        <v>3898</v>
      </c>
      <c r="FB8" s="194" t="s">
        <v>3899</v>
      </c>
    </row>
    <row r="9" spans="2:160" ht="12.75" customHeight="1" x14ac:dyDescent="0.3">
      <c r="B9" s="188" t="s">
        <v>3900</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3901</v>
      </c>
      <c r="C10" s="397"/>
      <c r="D10" s="185">
        <v>0</v>
      </c>
      <c r="E10" s="189">
        <f>-SUM(E9,E11:E163)-k.aRS</f>
        <v>-5.2829935429202704E-5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3902</v>
      </c>
      <c r="C11" s="397"/>
      <c r="D11" s="185">
        <v>0</v>
      </c>
      <c r="E11" s="185">
        <f>k.aRS.aRA</f>
        <v>3.8851272047932112E-5</v>
      </c>
      <c r="F11" s="189">
        <f>-SUM(F$9:F10,F12:F$163)-k.aRA</f>
        <v>-9.9019300206454925E-6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3903</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3904</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3905</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3906</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3907</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3908</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3909</v>
      </c>
      <c r="C18" s="336"/>
      <c r="D18" s="185">
        <v>0</v>
      </c>
      <c r="E18" s="185">
        <v>0</v>
      </c>
      <c r="F18" s="185">
        <f>k.aRA.w0RA</f>
        <v>3.1190908398264028E-9</v>
      </c>
      <c r="G18" s="184">
        <v>0</v>
      </c>
      <c r="H18" s="185">
        <v>0</v>
      </c>
      <c r="I18" s="185">
        <f>k.cwRA.w0RA</f>
        <v>1.8416810158380553E-7</v>
      </c>
      <c r="J18" s="185">
        <v>0</v>
      </c>
      <c r="K18" s="370">
        <v>0</v>
      </c>
      <c r="L18" s="184">
        <f>k.w0RS.w0RA</f>
        <v>5.250453258991406E-4</v>
      </c>
      <c r="M18" s="189">
        <f>-SUM(M$9:M17,M19:M$163)-k.w0RA</f>
        <v>-1.348879264915562E-7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3910</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-4.2850146005063029E-7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1.5854895991882292E-12</v>
      </c>
      <c r="AM19" s="337">
        <v>0</v>
      </c>
      <c r="AN19" s="185">
        <v>0</v>
      </c>
      <c r="AO19" s="185">
        <v>0</v>
      </c>
      <c r="AP19" s="184">
        <f>k.s2RP.w0RP</f>
        <v>3.9637239979705729E-13</v>
      </c>
      <c r="AQ19" s="337">
        <v>0</v>
      </c>
      <c r="AR19" s="185">
        <v>0</v>
      </c>
      <c r="AS19" s="185">
        <v>0</v>
      </c>
      <c r="AT19" s="184">
        <f>k.s3RP.w0RP</f>
        <v>1.5854895991882292E-12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3911</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3912</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3913</v>
      </c>
      <c r="C22" s="336"/>
      <c r="D22" s="337">
        <v>0</v>
      </c>
      <c r="E22" s="185">
        <v>0</v>
      </c>
      <c r="F22" s="185">
        <f>k.aRA.w1RA</f>
        <v>3.4309999238090437E-8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3914</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1.7440385591070524E-11</v>
      </c>
      <c r="AM23" s="337">
        <v>0</v>
      </c>
      <c r="AN23" s="185">
        <v>0</v>
      </c>
      <c r="AO23" s="185">
        <v>0</v>
      </c>
      <c r="AP23" s="184">
        <f>k.s2RP.w1RP</f>
        <v>4.3600963977676309E-12</v>
      </c>
      <c r="AQ23" s="337">
        <v>0</v>
      </c>
      <c r="AR23" s="185">
        <v>0</v>
      </c>
      <c r="AS23" s="185">
        <v>0</v>
      </c>
      <c r="AT23" s="184">
        <f>k.s3RP.w1RP</f>
        <v>1.7440385591070524E-11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3915</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8.9277819513144377E-9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3916</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3917</v>
      </c>
      <c r="C26" s="336"/>
      <c r="D26" s="185">
        <v>0</v>
      </c>
      <c r="E26" s="185">
        <v>0</v>
      </c>
      <c r="F26" s="185">
        <f>k.aRA.w2RA</f>
        <v>5.0710625145380868E-9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3918</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3919</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3920</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-4.7736770260051152E-3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3921</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3922</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3.7235136436629484E-3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3923</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3924</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-5.9779735006927652E-3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3925</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3926</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3.7235136436629484E-3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3927</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-9.8420751929050028E-9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3928</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-1.0081411518506708E-2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3929</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3930</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4.1372373818477203E-3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3931</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3932</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3933</v>
      </c>
      <c r="C42" s="336"/>
      <c r="D42" s="185">
        <v>0</v>
      </c>
      <c r="E42" s="185">
        <v>0</v>
      </c>
      <c r="F42" s="185">
        <f>k.aRA.s1RA</f>
        <v>7.3506754231704942E-8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3934</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-4.8700190258751899E-6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3935</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3936</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3937</v>
      </c>
      <c r="C46" s="336"/>
      <c r="D46" s="185">
        <v>0</v>
      </c>
      <c r="E46" s="185">
        <v>0</v>
      </c>
      <c r="F46" s="185">
        <f>k.aRA.s2RA</f>
        <v>1.6334834273712207E-7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3938</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-4.8700047564687979E-6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3939</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3940</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3941</v>
      </c>
      <c r="C50" s="336"/>
      <c r="D50" s="185">
        <v>0</v>
      </c>
      <c r="E50" s="185">
        <v>0</v>
      </c>
      <c r="F50" s="185">
        <f>k.aRA.s3RA</f>
        <v>2.7224723789520348E-8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3942</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-4.8700190258751899E-6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3943</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3944</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-4.5631383940278208E-5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3945</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3946</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3947</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3948</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3949</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3950</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-1.5576230199500867E-8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3951</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3952</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3953</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1.5854895991882296E-12</v>
      </c>
      <c r="CD62" s="185">
        <v>0</v>
      </c>
      <c r="CE62" s="185">
        <v>0</v>
      </c>
      <c r="CF62" s="185">
        <v>0</v>
      </c>
      <c r="CG62" s="184">
        <f>k.s2CP.w0CP</f>
        <v>3.9637239979705739E-13</v>
      </c>
      <c r="CH62" s="185">
        <v>0</v>
      </c>
      <c r="CI62" s="185">
        <v>0</v>
      </c>
      <c r="CJ62" s="185">
        <v>0</v>
      </c>
      <c r="CK62" s="184">
        <f>k.s3CP.w0CP</f>
        <v>1.5854895991882296E-12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3954</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-5.7445021412992142E-6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2.6099558929040355E-8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3955</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2.6060956790031634E-8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3956</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2.6060956790031634E-8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3957</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2.6060956790031634E-8</v>
      </c>
      <c r="BV66" s="184">
        <v>0</v>
      </c>
      <c r="BW66" s="184">
        <v>0</v>
      </c>
      <c r="BX66" s="184">
        <v>0</v>
      </c>
      <c r="BY66" s="184">
        <v>0</v>
      </c>
      <c r="BZ66" s="185">
        <v>0</v>
      </c>
      <c r="CA66" s="185">
        <v>0</v>
      </c>
      <c r="CB66" s="185">
        <v>0</v>
      </c>
      <c r="CC66" s="185">
        <f>k.s1CP.w1CP</f>
        <v>1.744038559107052E-11</v>
      </c>
      <c r="CD66" s="185">
        <v>0</v>
      </c>
      <c r="CE66" s="185">
        <v>0</v>
      </c>
      <c r="CF66" s="185">
        <v>0</v>
      </c>
      <c r="CG66" s="184">
        <f>k.s2CP.w1CP</f>
        <v>4.3600963977676301E-12</v>
      </c>
      <c r="CH66" s="185">
        <v>0</v>
      </c>
      <c r="CI66" s="185">
        <v>0</v>
      </c>
      <c r="CJ66" s="185">
        <v>0</v>
      </c>
      <c r="CK66" s="184">
        <f>k.s3CP.w1CP</f>
        <v>1.744038559107052E-11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3958</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-7.8406350647824503E-8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8.7703305340704523E-9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3959</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8.7317283950617312E-9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3960</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8.7317283950617312E-9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3961</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8.7317283950617312E-9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3962</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1.3178969925524387E-8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3963</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-1.6329259830334789E-2</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3964</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3965</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1.5279096469132487E-2</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3966</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5.6718578905727698E-6</v>
      </c>
      <c r="BG75" s="185">
        <v>0</v>
      </c>
      <c r="BH75" s="185">
        <v>0</v>
      </c>
      <c r="BI75" s="185">
        <v>0</v>
      </c>
      <c r="BJ75" s="190">
        <v>0</v>
      </c>
      <c r="BK75" s="190">
        <v>0</v>
      </c>
      <c r="BL75" s="185">
        <v>0</v>
      </c>
      <c r="BM75" s="185">
        <v>0</v>
      </c>
      <c r="BN75" s="185">
        <v>0</v>
      </c>
      <c r="BO75" s="185">
        <v>0</v>
      </c>
      <c r="BP75" s="185">
        <v>0</v>
      </c>
      <c r="BQ75" s="185">
        <v>0</v>
      </c>
      <c r="BR75" s="368">
        <f>-k.sd1C-SUM(BR9:BR70,BR76:BR163)</f>
        <v>-2.8973787324197976E-8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3967</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-1.7533555850928324E-2</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3968</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-1.6093518518518519E-7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3969</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1.5279096469132487E-2</v>
      </c>
      <c r="BT78" s="362">
        <v>0</v>
      </c>
      <c r="BU78" s="189">
        <f>-k.sd1CP-SUM(BU$9:BU77,BU79:BU$163)</f>
        <v>-1.6093518518518519E-7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3970</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4.6698403133765672E-8</v>
      </c>
      <c r="BK79" s="185">
        <v>0</v>
      </c>
      <c r="BL79" s="185">
        <v>0</v>
      </c>
      <c r="BM79" s="185">
        <v>0</v>
      </c>
      <c r="BN79" s="185">
        <v>0</v>
      </c>
      <c r="BO79" s="185">
        <v>0</v>
      </c>
      <c r="BP79" s="185">
        <v>0</v>
      </c>
      <c r="BQ79" s="185">
        <v>0</v>
      </c>
      <c r="BR79" s="190">
        <v>0</v>
      </c>
      <c r="BS79" s="190">
        <v>0</v>
      </c>
      <c r="BT79" s="185">
        <v>0</v>
      </c>
      <c r="BU79" s="185">
        <v>0</v>
      </c>
      <c r="BV79" s="368">
        <f>-k.sd2C-SUM(BV9:BV78,BV80:BV163)</f>
        <v>-9.6836638674078477E-9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3971</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-2.2920947832839312E-2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3972</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-1.1809645061728396E-5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3973</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1.6976773854591651E-2</v>
      </c>
      <c r="BX82" s="362">
        <v>0</v>
      </c>
      <c r="BY82" s="189">
        <f>-k.sd2CP-SUM(BY$9:BY81,BY83:BY$163)</f>
        <v>-1.1809645061728396E-5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3974</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3975</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3976</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3977</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-4.8700190258751899E-6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3978</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3979</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3980</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3981</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-4.8700047564687979E-6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3982</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3983</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3984</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3985</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-4.8700190258751899E-6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3986</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3987</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-4.6837239740762906E-5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3988</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-2.4999833132537979E-6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3989</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3990</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2.751759734750754E-6</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3991</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6.0989959224259974E-7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3992</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3993</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3994</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-5.9969928979032696E-3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3995</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5.9358764701560448E-3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3996</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1.9025875190258751E-11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3997</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-1.2706094362004774E-8</v>
      </c>
      <c r="CX106" s="379">
        <f>kdis.w3S.w3D</f>
        <v>1.1800000000000001E-5</v>
      </c>
      <c r="CY106" s="379">
        <f>kdis.w3A.w3D</f>
        <v>1.1800000000000001E-5</v>
      </c>
      <c r="CZ106" s="379">
        <f>kdis.w3P.w3D</f>
        <v>1.1800000000000001E-5</v>
      </c>
      <c r="DA106" s="184">
        <f>k.sdM.w3M</f>
        <v>9.6806799330891283E-9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3998</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-5.9967086313641726E-3</v>
      </c>
      <c r="CY107" s="185">
        <v>0</v>
      </c>
      <c r="CZ107" s="360">
        <v>0</v>
      </c>
      <c r="DA107" s="184">
        <v>0</v>
      </c>
      <c r="DB107" s="184">
        <f>k.sdMS.w3MS</f>
        <v>9.6420777940804072E-9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3999</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5.9358764701560448E-3</v>
      </c>
      <c r="CY108" s="189">
        <f>-k.w3MA-SUM(CY$9:CY107,CY109:CY$163)</f>
        <v>-1.1809609223027003E-5</v>
      </c>
      <c r="CZ108" s="360">
        <v>0</v>
      </c>
      <c r="DA108" s="185">
        <v>0</v>
      </c>
      <c r="DB108" s="184">
        <v>0</v>
      </c>
      <c r="DC108" s="184">
        <f>k.sdMA.w3MA</f>
        <v>9.6420777940804072E-9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4000</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9.6420777940804072E-9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4001</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3.1132268755843781E-9</v>
      </c>
      <c r="CX110" s="190">
        <v>0</v>
      </c>
      <c r="CY110" s="185">
        <v>0</v>
      </c>
      <c r="CZ110" s="185">
        <v>0</v>
      </c>
      <c r="DA110" s="368">
        <f>-k.sdM-SUM(DA9:DA109,DA111:DA163)</f>
        <v>-9.683663867407846E-9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4002</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-2.2920947832839315E-2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4003</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-1.1809645061728394E-5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4004</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1.6976773854591651E-2</v>
      </c>
      <c r="DC113" s="362">
        <v>0</v>
      </c>
      <c r="DD113" s="189">
        <f>-k.sdMP-SUM(DD$9:DD112,DD114:DD$163)</f>
        <v>-1.1809645061728394E-5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4005</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4006</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1.6732568691961274E-6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4007</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1.4249208123019974E-7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4008</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-4.8700190258751899E-6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4009</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4010</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-4.4492637204271688E-5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4011</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-1.8523430566423556E-6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4012</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4013</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1.7895702304868169E-6</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4014</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3.7733902939638414E-7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4015</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4016</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4017</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-5.5369000052520687E-3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4018</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5.4779595759837669E-3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4019</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1.9025875190258751E-11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4020</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-1.4049385850959639E-8</v>
      </c>
      <c r="DU129" s="379">
        <f>kdis.w3S.w3D</f>
        <v>1.1800000000000001E-5</v>
      </c>
      <c r="DV129" s="379">
        <f>kdis.w3A.w3D</f>
        <v>1.1800000000000001E-5</v>
      </c>
      <c r="DW129" s="379">
        <f>kdis.w3P.w3D</f>
        <v>1.1800000000000001E-5</v>
      </c>
      <c r="DX129" s="184">
        <f>k.sdA.w3A</f>
        <v>9.6815498812715332E-9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4021</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-5.5366416751752162E-3</v>
      </c>
      <c r="DV130" s="185">
        <v>0</v>
      </c>
      <c r="DW130" s="360">
        <v>0</v>
      </c>
      <c r="DX130" s="184">
        <v>0</v>
      </c>
      <c r="DY130" s="185">
        <f>k.sdAS.w3AS</f>
        <v>9.6429477422628121E-9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4022</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5.4779595759837669E-3</v>
      </c>
      <c r="DV131" s="189">
        <f>-k.w3AA-SUM(DV$9:DV130,DV132:DV$163)</f>
        <v>-1.181095251451596E-5</v>
      </c>
      <c r="DW131" s="360">
        <v>0</v>
      </c>
      <c r="DX131" s="185">
        <v>0</v>
      </c>
      <c r="DY131" s="184">
        <v>0</v>
      </c>
      <c r="DZ131" s="185">
        <f>k.sdAA.w3AA</f>
        <v>9.6429477422628121E-9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4023</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9.6429477422628121E-9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4024</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3.1132268755843781E-9</v>
      </c>
      <c r="DU133" s="184">
        <v>0</v>
      </c>
      <c r="DV133" s="185">
        <v>0</v>
      </c>
      <c r="DW133" s="185">
        <v>0</v>
      </c>
      <c r="DX133" s="368">
        <f>-k.sdA-SUM(DX9:DX132,DX134:DX163)</f>
        <v>-9.683663867404668E-9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4025</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-2.2535468121020814E-2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4026</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-1.1809645061728396E-5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4027</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1.7049211036945431E-2</v>
      </c>
      <c r="DZ136" s="362">
        <v>0</v>
      </c>
      <c r="EA136" s="189">
        <f>-k.sdAP-SUM(EA$9:EA135,EA137:EA$163)</f>
        <v>-1.1809645061728396E-5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4028</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4029</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1.2851527454845041E-6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-2.91231739225606E-2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4030</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1.0642732408461052E-7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4031</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7.2204634391916569E-3</v>
      </c>
      <c r="ED140" s="362">
        <v>0</v>
      </c>
      <c r="EE140" s="189">
        <f>-k.sAP-SUM(EE$9:EE139,EE141:EE$163)</f>
        <v>-4.8700190258751899E-6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4032</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3">
      <c r="B142" s="207" t="s">
        <v>4033</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-4.7662982807427094E-5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4034</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-2.1346399006235172E-6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4035</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4036</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3.5588001934921768E-6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4037</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8.1410368822995822E-7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4038</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4039</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3">
      <c r="B149" s="207" t="s">
        <v>4040</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-6.2688016352505623E-3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4041</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6.2064637258033E-3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4042</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1.9025875190258751E-11</v>
      </c>
    </row>
    <row r="152" spans="2:158" ht="12.75" customHeight="1" x14ac:dyDescent="0.3">
      <c r="B152" s="207" t="s">
        <v>4043</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-1.0688041313150692E-8</v>
      </c>
      <c r="ER152" s="379">
        <f>kdis.w3S.w3D</f>
        <v>1.1800000000000001E-5</v>
      </c>
      <c r="ES152" s="379">
        <f>kdis.w3A.w3D</f>
        <v>1.1800000000000001E-5</v>
      </c>
      <c r="ET152" s="379">
        <f>kdis.w3P.w3D</f>
        <v>1.1800000000000001E-5</v>
      </c>
      <c r="EU152" s="190">
        <f>k.sdT.w3T</f>
        <v>9.6815498812715332E-9</v>
      </c>
      <c r="EV152" s="190">
        <v>0</v>
      </c>
      <c r="EW152" s="190">
        <v>0</v>
      </c>
      <c r="EX152" s="190">
        <v>0</v>
      </c>
      <c r="EY152" s="190">
        <v>0</v>
      </c>
      <c r="EZ152" s="190">
        <v>0</v>
      </c>
      <c r="FA152" s="190">
        <v>0</v>
      </c>
      <c r="FB152" s="191">
        <v>0</v>
      </c>
    </row>
    <row r="153" spans="2:158" ht="12.75" customHeight="1" x14ac:dyDescent="0.3">
      <c r="B153" s="207" t="s">
        <v>4044</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-6.2685651539132053E-3</v>
      </c>
      <c r="ES153" s="185">
        <v>0</v>
      </c>
      <c r="ET153" s="360">
        <v>0</v>
      </c>
      <c r="EU153" s="190">
        <v>0</v>
      </c>
      <c r="EV153" s="185">
        <f>k.sdTS.w3TS</f>
        <v>9.6429477422628121E-9</v>
      </c>
      <c r="EW153" s="185">
        <v>0</v>
      </c>
      <c r="EX153" s="185">
        <v>0</v>
      </c>
      <c r="EY153" s="190">
        <v>0</v>
      </c>
      <c r="EZ153" s="190">
        <v>0</v>
      </c>
      <c r="FA153" s="190">
        <v>0</v>
      </c>
      <c r="FB153" s="191">
        <v>0</v>
      </c>
    </row>
    <row r="154" spans="2:158" ht="12.75" customHeight="1" x14ac:dyDescent="0.3">
      <c r="B154" s="207" t="s">
        <v>4045</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6.2064637258033E-3</v>
      </c>
      <c r="ES154" s="189">
        <f>-k.w3TA-SUM(ES$9:ES153,ES155:ES$163)</f>
        <v>-1.1807591169978146E-5</v>
      </c>
      <c r="ET154" s="360">
        <v>0</v>
      </c>
      <c r="EU154" s="185">
        <v>0</v>
      </c>
      <c r="EV154" s="185">
        <v>0</v>
      </c>
      <c r="EW154" s="185">
        <f>k.sdTA.w3TA</f>
        <v>9.6429477422628121E-9</v>
      </c>
      <c r="EX154" s="185">
        <v>0</v>
      </c>
      <c r="EY154" s="190">
        <v>0</v>
      </c>
      <c r="EZ154" s="190">
        <v>0</v>
      </c>
      <c r="FA154" s="190">
        <v>0</v>
      </c>
      <c r="FB154" s="191">
        <v>0</v>
      </c>
    </row>
    <row r="155" spans="2:158" ht="12.75" customHeight="1" x14ac:dyDescent="0.3">
      <c r="B155" s="207" t="s">
        <v>4046</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9.6429477422628121E-9</v>
      </c>
      <c r="EY155" s="190">
        <v>0</v>
      </c>
      <c r="EZ155" s="190">
        <v>0</v>
      </c>
      <c r="FA155" s="190">
        <v>0</v>
      </c>
      <c r="FB155" s="191">
        <v>0</v>
      </c>
    </row>
    <row r="156" spans="2:158" ht="12.75" customHeight="1" x14ac:dyDescent="0.3">
      <c r="B156" s="207" t="s">
        <v>4047</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3.1132268755843781E-9</v>
      </c>
      <c r="ER156" s="190">
        <v>0</v>
      </c>
      <c r="ES156" s="185">
        <v>0</v>
      </c>
      <c r="ET156" s="185">
        <v>0</v>
      </c>
      <c r="EU156" s="368">
        <f>-k.sdT-SUM(EU9:EU155,EU157:EU163)</f>
        <v>-9.6836638674137835E-9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3">
      <c r="B157" s="207" t="s">
        <v>4048</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-2.3151448913541952E-2</v>
      </c>
      <c r="EW157" s="185">
        <v>0</v>
      </c>
      <c r="EX157" s="360">
        <v>0</v>
      </c>
      <c r="EY157" s="190">
        <v>0</v>
      </c>
      <c r="EZ157" s="190">
        <v>0</v>
      </c>
      <c r="FA157" s="190">
        <v>0</v>
      </c>
      <c r="FB157" s="191">
        <v>0</v>
      </c>
    </row>
    <row r="158" spans="2:158" ht="12.75" customHeight="1" x14ac:dyDescent="0.3">
      <c r="B158" s="207" t="s">
        <v>4049</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-1.1809644216133943E-5</v>
      </c>
      <c r="EX158" s="360">
        <v>0</v>
      </c>
      <c r="EY158" s="185">
        <v>0</v>
      </c>
      <c r="EZ158" s="190">
        <v>0</v>
      </c>
      <c r="FA158" s="190">
        <v>0</v>
      </c>
      <c r="FB158" s="191">
        <v>0</v>
      </c>
    </row>
    <row r="159" spans="2:158" ht="12.75" customHeight="1" x14ac:dyDescent="0.3">
      <c r="B159" s="207" t="s">
        <v>4050</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1.693668768049263E-2</v>
      </c>
      <c r="EW159" s="362">
        <v>0</v>
      </c>
      <c r="EX159" s="189">
        <f>-k.sdTP-SUM(EX$9:EX158,EX160:EX$163)</f>
        <v>-1.1809644216133943E-5</v>
      </c>
      <c r="EY159" s="185">
        <v>0</v>
      </c>
      <c r="EZ159" s="185">
        <v>0</v>
      </c>
      <c r="FA159" s="190">
        <v>0</v>
      </c>
      <c r="FB159" s="191">
        <v>0</v>
      </c>
    </row>
    <row r="160" spans="2:158" ht="12.75" customHeight="1" x14ac:dyDescent="0.3">
      <c r="B160" s="207" t="s">
        <v>4051</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3">
      <c r="B161" s="207" t="s">
        <v>4052</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1.026756267809756E-6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-3.1989749045871534E-2</v>
      </c>
      <c r="FA161" s="185">
        <v>0</v>
      </c>
      <c r="FB161" s="192">
        <v>0</v>
      </c>
    </row>
    <row r="162" spans="2:160" ht="12.75" customHeight="1" x14ac:dyDescent="0.3">
      <c r="B162" s="207" t="s">
        <v>4053</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8.9298489372522215E-8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3">
      <c r="B163" s="354" t="s">
        <v>4054</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7.1728089884129931E-3</v>
      </c>
      <c r="FA163" s="182">
        <v>0</v>
      </c>
      <c r="FB163" s="400">
        <f>-k.sTP-SUM(FB$9:FB162)</f>
        <v>-4.8700190258751899E-6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4055</v>
      </c>
      <c r="C167" s="388"/>
      <c r="D167" s="187" t="s">
        <v>3585</v>
      </c>
      <c r="E167" s="187" t="s">
        <v>3586</v>
      </c>
      <c r="F167" s="187" t="s">
        <v>3587</v>
      </c>
      <c r="G167" s="187" t="s">
        <v>3588</v>
      </c>
      <c r="H167" s="187" t="s">
        <v>3589</v>
      </c>
      <c r="I167" s="187" t="s">
        <v>3590</v>
      </c>
      <c r="J167" s="187" t="s">
        <v>3591</v>
      </c>
      <c r="K167" s="187" t="s">
        <v>3592</v>
      </c>
      <c r="L167" s="187" t="s">
        <v>3593</v>
      </c>
      <c r="M167" s="187" t="s">
        <v>3594</v>
      </c>
      <c r="N167" s="187" t="s">
        <v>3595</v>
      </c>
      <c r="O167" s="187" t="s">
        <v>3596</v>
      </c>
      <c r="P167" s="187" t="s">
        <v>3597</v>
      </c>
      <c r="Q167" s="187" t="s">
        <v>3598</v>
      </c>
      <c r="R167" s="187" t="s">
        <v>3599</v>
      </c>
      <c r="S167" s="187" t="s">
        <v>3600</v>
      </c>
      <c r="T167" s="187" t="s">
        <v>3601</v>
      </c>
      <c r="U167" s="187" t="s">
        <v>3602</v>
      </c>
      <c r="V167" s="187" t="s">
        <v>3603</v>
      </c>
      <c r="W167" s="187" t="s">
        <v>3604</v>
      </c>
      <c r="X167" s="187" t="s">
        <v>3605</v>
      </c>
      <c r="Y167" s="187" t="s">
        <v>3606</v>
      </c>
      <c r="Z167" s="187" t="s">
        <v>3607</v>
      </c>
      <c r="AA167" s="187" t="s">
        <v>3608</v>
      </c>
      <c r="AB167" s="187" t="s">
        <v>3609</v>
      </c>
      <c r="AC167" s="187" t="s">
        <v>3610</v>
      </c>
      <c r="AD167" s="187" t="s">
        <v>3611</v>
      </c>
      <c r="AE167" s="187" t="s">
        <v>3612</v>
      </c>
      <c r="AF167" s="187" t="s">
        <v>3613</v>
      </c>
      <c r="AG167" s="187" t="s">
        <v>3614</v>
      </c>
      <c r="AH167" s="187" t="s">
        <v>3615</v>
      </c>
      <c r="AI167" s="187" t="s">
        <v>3616</v>
      </c>
      <c r="AJ167" s="187" t="s">
        <v>3617</v>
      </c>
      <c r="AK167" s="187" t="s">
        <v>3618</v>
      </c>
      <c r="AL167" s="187" t="s">
        <v>3619</v>
      </c>
      <c r="AM167" s="187" t="s">
        <v>3620</v>
      </c>
      <c r="AN167" s="187" t="s">
        <v>3621</v>
      </c>
      <c r="AO167" s="187" t="s">
        <v>3622</v>
      </c>
      <c r="AP167" s="187" t="s">
        <v>3623</v>
      </c>
      <c r="AQ167" s="187" t="s">
        <v>3624</v>
      </c>
      <c r="AR167" s="187" t="s">
        <v>3625</v>
      </c>
      <c r="AS167" s="187" t="s">
        <v>3626</v>
      </c>
      <c r="AT167" s="187" t="s">
        <v>3627</v>
      </c>
      <c r="AU167" s="187" t="s">
        <v>3628</v>
      </c>
      <c r="AV167" s="187" t="s">
        <v>3629</v>
      </c>
      <c r="AW167" s="187" t="s">
        <v>3630</v>
      </c>
      <c r="AX167" s="187" t="s">
        <v>3631</v>
      </c>
      <c r="AY167" s="187" t="s">
        <v>3632</v>
      </c>
      <c r="AZ167" s="187" t="s">
        <v>3633</v>
      </c>
      <c r="BA167" s="187" t="s">
        <v>3634</v>
      </c>
      <c r="BB167" s="187" t="s">
        <v>3635</v>
      </c>
      <c r="BC167" s="187" t="s">
        <v>3636</v>
      </c>
      <c r="BD167" s="187" t="s">
        <v>3637</v>
      </c>
      <c r="BE167" s="187" t="s">
        <v>3638</v>
      </c>
      <c r="BF167" s="187" t="s">
        <v>3639</v>
      </c>
      <c r="BG167" s="187" t="s">
        <v>3640</v>
      </c>
      <c r="BH167" s="187" t="s">
        <v>3641</v>
      </c>
      <c r="BI167" s="187" t="s">
        <v>3642</v>
      </c>
      <c r="BJ167" s="187" t="s">
        <v>3643</v>
      </c>
      <c r="BK167" s="187" t="s">
        <v>3644</v>
      </c>
      <c r="BL167" s="187" t="s">
        <v>3645</v>
      </c>
      <c r="BM167" s="187" t="s">
        <v>3646</v>
      </c>
      <c r="BN167" s="187" t="s">
        <v>3647</v>
      </c>
      <c r="BO167" s="187" t="s">
        <v>3648</v>
      </c>
      <c r="BP167" s="187" t="s">
        <v>3649</v>
      </c>
      <c r="BQ167" s="187" t="s">
        <v>3650</v>
      </c>
      <c r="BR167" s="187" t="s">
        <v>3651</v>
      </c>
      <c r="BS167" s="187" t="s">
        <v>3652</v>
      </c>
      <c r="BT167" s="187" t="s">
        <v>3653</v>
      </c>
      <c r="BU167" s="187" t="s">
        <v>3654</v>
      </c>
      <c r="BV167" s="187" t="s">
        <v>3655</v>
      </c>
      <c r="BW167" s="187" t="s">
        <v>3656</v>
      </c>
      <c r="BX167" s="187" t="s">
        <v>3657</v>
      </c>
      <c r="BY167" s="187" t="s">
        <v>3658</v>
      </c>
      <c r="BZ167" s="187" t="s">
        <v>3659</v>
      </c>
      <c r="CA167" s="187" t="s">
        <v>3660</v>
      </c>
      <c r="CB167" s="187" t="s">
        <v>3661</v>
      </c>
      <c r="CC167" s="187" t="s">
        <v>3662</v>
      </c>
      <c r="CD167" s="187" t="s">
        <v>3663</v>
      </c>
      <c r="CE167" s="187" t="s">
        <v>3664</v>
      </c>
      <c r="CF167" s="187" t="s">
        <v>3665</v>
      </c>
      <c r="CG167" s="187" t="s">
        <v>3666</v>
      </c>
      <c r="CH167" s="187" t="s">
        <v>3667</v>
      </c>
      <c r="CI167" s="187" t="s">
        <v>3668</v>
      </c>
      <c r="CJ167" s="187" t="s">
        <v>3669</v>
      </c>
      <c r="CK167" s="187" t="s">
        <v>3670</v>
      </c>
      <c r="CL167" s="187" t="s">
        <v>3671</v>
      </c>
      <c r="CM167" s="187" t="s">
        <v>3672</v>
      </c>
      <c r="CN167" s="187" t="s">
        <v>3673</v>
      </c>
      <c r="CO167" s="187" t="s">
        <v>3674</v>
      </c>
      <c r="CP167" s="187" t="s">
        <v>3675</v>
      </c>
      <c r="CQ167" s="187" t="s">
        <v>3676</v>
      </c>
      <c r="CR167" s="187" t="s">
        <v>3677</v>
      </c>
      <c r="CS167" s="187" t="s">
        <v>3678</v>
      </c>
      <c r="CT167" s="187" t="s">
        <v>3679</v>
      </c>
      <c r="CU167" s="187" t="s">
        <v>3680</v>
      </c>
      <c r="CV167" s="187" t="s">
        <v>3681</v>
      </c>
      <c r="CW167" s="187" t="s">
        <v>3682</v>
      </c>
      <c r="CX167" s="187" t="s">
        <v>3683</v>
      </c>
      <c r="CY167" s="187" t="s">
        <v>3684</v>
      </c>
      <c r="CZ167" s="187" t="s">
        <v>3685</v>
      </c>
      <c r="DA167" s="187" t="s">
        <v>3686</v>
      </c>
      <c r="DB167" s="187" t="s">
        <v>3687</v>
      </c>
      <c r="DC167" s="187" t="s">
        <v>3688</v>
      </c>
      <c r="DD167" s="187" t="s">
        <v>3689</v>
      </c>
      <c r="DE167" s="187" t="s">
        <v>3690</v>
      </c>
      <c r="DF167" s="187" t="s">
        <v>3691</v>
      </c>
      <c r="DG167" s="187" t="s">
        <v>3692</v>
      </c>
      <c r="DH167" s="187" t="s">
        <v>3693</v>
      </c>
      <c r="DI167" s="187" t="s">
        <v>3694</v>
      </c>
      <c r="DJ167" s="187" t="s">
        <v>3695</v>
      </c>
      <c r="DK167" s="187" t="s">
        <v>3696</v>
      </c>
      <c r="DL167" s="187" t="s">
        <v>3697</v>
      </c>
      <c r="DM167" s="187" t="s">
        <v>3698</v>
      </c>
      <c r="DN167" s="187" t="s">
        <v>3699</v>
      </c>
      <c r="DO167" s="187" t="s">
        <v>3700</v>
      </c>
      <c r="DP167" s="187" t="s">
        <v>3701</v>
      </c>
      <c r="DQ167" s="187" t="s">
        <v>3702</v>
      </c>
      <c r="DR167" s="187" t="s">
        <v>3703</v>
      </c>
      <c r="DS167" s="187" t="s">
        <v>3704</v>
      </c>
      <c r="DT167" s="187" t="s">
        <v>3705</v>
      </c>
      <c r="DU167" s="187" t="s">
        <v>3706</v>
      </c>
      <c r="DV167" s="187" t="s">
        <v>3707</v>
      </c>
      <c r="DW167" s="187" t="s">
        <v>3708</v>
      </c>
      <c r="DX167" s="187" t="s">
        <v>3709</v>
      </c>
      <c r="DY167" s="187" t="s">
        <v>3710</v>
      </c>
      <c r="DZ167" s="187" t="s">
        <v>3711</v>
      </c>
      <c r="EA167" s="187" t="s">
        <v>3712</v>
      </c>
      <c r="EB167" s="187" t="s">
        <v>3713</v>
      </c>
      <c r="EC167" s="187" t="s">
        <v>3714</v>
      </c>
      <c r="ED167" s="187" t="s">
        <v>3715</v>
      </c>
      <c r="EE167" s="187" t="s">
        <v>3716</v>
      </c>
      <c r="EF167" s="187" t="s">
        <v>3717</v>
      </c>
      <c r="EG167" s="187" t="s">
        <v>3718</v>
      </c>
      <c r="EH167" s="187" t="s">
        <v>3719</v>
      </c>
      <c r="EI167" s="187" t="s">
        <v>3720</v>
      </c>
      <c r="EJ167" s="187" t="s">
        <v>3721</v>
      </c>
      <c r="EK167" s="187" t="s">
        <v>3722</v>
      </c>
      <c r="EL167" s="187" t="s">
        <v>3723</v>
      </c>
      <c r="EM167" s="187" t="s">
        <v>3724</v>
      </c>
      <c r="EN167" s="187" t="s">
        <v>3725</v>
      </c>
      <c r="EO167" s="187" t="s">
        <v>3726</v>
      </c>
      <c r="EP167" s="187" t="s">
        <v>3727</v>
      </c>
      <c r="EQ167" s="187" t="s">
        <v>3728</v>
      </c>
      <c r="ER167" s="187" t="s">
        <v>3729</v>
      </c>
      <c r="ES167" s="187" t="s">
        <v>3730</v>
      </c>
      <c r="ET167" s="187" t="s">
        <v>3731</v>
      </c>
      <c r="EU167" s="187" t="s">
        <v>3732</v>
      </c>
      <c r="EV167" s="187" t="s">
        <v>3733</v>
      </c>
      <c r="EW167" s="187" t="s">
        <v>3734</v>
      </c>
      <c r="EX167" s="187" t="s">
        <v>3735</v>
      </c>
      <c r="EY167" s="187" t="s">
        <v>3736</v>
      </c>
      <c r="EZ167" s="187" t="s">
        <v>3737</v>
      </c>
      <c r="FA167" s="187" t="s">
        <v>3738</v>
      </c>
      <c r="FB167" s="194" t="s">
        <v>3739</v>
      </c>
      <c r="FC167" s="754"/>
      <c r="FD167" s="754"/>
    </row>
    <row r="168" spans="2:160" ht="12.75" customHeight="1" x14ac:dyDescent="0.3">
      <c r="B168" s="188" t="s">
        <v>4056</v>
      </c>
      <c r="C168" s="336">
        <f>SUM(D168:FB168)</f>
        <v>952718848120.37109</v>
      </c>
      <c r="D168" s="185">
        <f t="array" ref="D168:FB168">TRANSPOSE(MMULT(MINVERSE(D9:FB163),-TRANSPOSE(D5:FB5)))</f>
        <v>8.3085857938862955E-14</v>
      </c>
      <c r="E168" s="185">
        <v>55708.665744023885</v>
      </c>
      <c r="F168" s="185">
        <v>252517.76797547823</v>
      </c>
      <c r="G168" s="185">
        <v>101.56336303974356</v>
      </c>
      <c r="H168" s="185">
        <v>730.27312985853507</v>
      </c>
      <c r="I168" s="185">
        <v>596.71213471246108</v>
      </c>
      <c r="J168" s="185">
        <v>101.56333257073462</v>
      </c>
      <c r="K168" s="185">
        <v>17444527.05587057</v>
      </c>
      <c r="L168" s="185">
        <v>1.8737264394855517</v>
      </c>
      <c r="M168" s="185">
        <v>35406.202257430879</v>
      </c>
      <c r="N168" s="185">
        <v>61.422764870389926</v>
      </c>
      <c r="O168" s="185">
        <v>8014702.3043765025</v>
      </c>
      <c r="P168" s="185">
        <v>2075.1213747211464</v>
      </c>
      <c r="Q168" s="185">
        <v>10968728.66383419</v>
      </c>
      <c r="R168" s="185">
        <v>71150.579870178874</v>
      </c>
      <c r="S168" s="185">
        <v>902392.51208893233</v>
      </c>
      <c r="T168" s="185">
        <v>0.48657105152010016</v>
      </c>
      <c r="U168" s="185">
        <v>60701.937266438879</v>
      </c>
      <c r="V168" s="185">
        <v>324.40347492571209</v>
      </c>
      <c r="W168" s="185">
        <v>80719088.424071848</v>
      </c>
      <c r="X168" s="185">
        <v>2.0286025139677013E-9</v>
      </c>
      <c r="Y168" s="185">
        <v>128.78595977976863</v>
      </c>
      <c r="Z168" s="185">
        <v>133.91638940093867</v>
      </c>
      <c r="AA168" s="185">
        <v>1593312870.2475724</v>
      </c>
      <c r="AB168" s="185">
        <v>5.9801499020181736E-5</v>
      </c>
      <c r="AC168" s="185">
        <v>1111450.0698384708</v>
      </c>
      <c r="AD168" s="185">
        <v>4321425.0862692362</v>
      </c>
      <c r="AE168" s="185">
        <v>87163666.212015957</v>
      </c>
      <c r="AF168" s="185">
        <v>2.4944151243125999E-9</v>
      </c>
      <c r="AG168" s="185">
        <v>25.220056799638019</v>
      </c>
      <c r="AH168" s="185">
        <v>80.787479357707483</v>
      </c>
      <c r="AI168" s="185">
        <v>3252233573.7700438</v>
      </c>
      <c r="AJ168" s="185">
        <v>2.0896587883300541</v>
      </c>
      <c r="AK168" s="185">
        <v>15965.062199059448</v>
      </c>
      <c r="AL168" s="185">
        <v>3505.4508048911644</v>
      </c>
      <c r="AM168" s="185">
        <v>235402830764.35898</v>
      </c>
      <c r="AN168" s="185">
        <v>159.50950428832851</v>
      </c>
      <c r="AO168" s="185">
        <v>493107.27715912665</v>
      </c>
      <c r="AP168" s="185">
        <v>148115.72486155486</v>
      </c>
      <c r="AQ168" s="185">
        <v>1204530271.8622415</v>
      </c>
      <c r="AR168" s="185">
        <v>1.3757336000438756</v>
      </c>
      <c r="AS168" s="185">
        <v>5912.524149637884</v>
      </c>
      <c r="AT168" s="185">
        <v>1298.1710972681014</v>
      </c>
      <c r="AU168" s="185">
        <v>3.3206668613365093E-13</v>
      </c>
      <c r="AV168" s="185">
        <v>11501.450591857672</v>
      </c>
      <c r="AW168" s="185">
        <v>1118748.3702399321</v>
      </c>
      <c r="AX168" s="185">
        <v>35.536517486700802</v>
      </c>
      <c r="AY168" s="185">
        <v>150.77008593640969</v>
      </c>
      <c r="AZ168" s="185">
        <v>2643.6584386283021</v>
      </c>
      <c r="BA168" s="185">
        <v>35.536506825745562</v>
      </c>
      <c r="BB168" s="185">
        <v>1520374.7886667883</v>
      </c>
      <c r="BC168" s="185">
        <v>0.18797307918754014</v>
      </c>
      <c r="BD168" s="185">
        <v>18026.541434231429</v>
      </c>
      <c r="BE168" s="185">
        <v>9.2388896385799004</v>
      </c>
      <c r="BF168" s="185">
        <v>402516.49938632525</v>
      </c>
      <c r="BG168" s="185">
        <v>0.76939129835327025</v>
      </c>
      <c r="BH168" s="185">
        <v>121717.26959206437</v>
      </c>
      <c r="BI168" s="185">
        <v>30.517532427457262</v>
      </c>
      <c r="BJ168" s="185">
        <v>737945085.1980654</v>
      </c>
      <c r="BK168" s="185">
        <v>10.684071871738507</v>
      </c>
      <c r="BL168" s="185">
        <v>75842.377028089075</v>
      </c>
      <c r="BM168" s="185">
        <v>195.76053000818285</v>
      </c>
      <c r="BN168" s="185">
        <v>6975190.0946688894</v>
      </c>
      <c r="BO168" s="185">
        <v>5.9493971753628389E-11</v>
      </c>
      <c r="BP168" s="185">
        <v>65.579726159430479</v>
      </c>
      <c r="BQ168" s="185">
        <v>20.146155313175946</v>
      </c>
      <c r="BR168" s="185">
        <v>78860749.945158094</v>
      </c>
      <c r="BS168" s="185">
        <v>7.5596174919614919E-9</v>
      </c>
      <c r="BT168" s="185">
        <v>12369.897593218098</v>
      </c>
      <c r="BU168" s="185">
        <v>1858.996404573578</v>
      </c>
      <c r="BV168" s="185">
        <v>3558663839.0153828</v>
      </c>
      <c r="BW168" s="185">
        <v>1.2045311601733355E-9</v>
      </c>
      <c r="BX168" s="185">
        <v>1.575547205942464</v>
      </c>
      <c r="BY168" s="185">
        <v>2.4375853221278359</v>
      </c>
      <c r="BZ168" s="185">
        <v>2419999688.3317523</v>
      </c>
      <c r="CA168" s="185">
        <v>0.2098076594312957</v>
      </c>
      <c r="CB168" s="185">
        <v>14108.14646329572</v>
      </c>
      <c r="CC168" s="185">
        <v>381.28332778059138</v>
      </c>
      <c r="CD168" s="185">
        <v>11998340021.856388</v>
      </c>
      <c r="CE168" s="185">
        <v>0.74591324004384307</v>
      </c>
      <c r="CF168" s="185">
        <v>31842.898496410784</v>
      </c>
      <c r="CG168" s="185">
        <v>847.23459278616258</v>
      </c>
      <c r="CH168" s="185">
        <v>896296112.45053577</v>
      </c>
      <c r="CI168" s="185">
        <v>0.13812754897504645</v>
      </c>
      <c r="CJ168" s="185">
        <v>5225.1930598011086</v>
      </c>
      <c r="CK168" s="185">
        <v>141.20158774663287</v>
      </c>
      <c r="CL168" s="185">
        <v>1.6599962399833608E-11</v>
      </c>
      <c r="CM168" s="185">
        <v>339.39696954875291</v>
      </c>
      <c r="CN168" s="185">
        <v>697543.08286519686</v>
      </c>
      <c r="CO168" s="185">
        <v>1.3301418876796116</v>
      </c>
      <c r="CP168" s="185">
        <v>12.62258090764232</v>
      </c>
      <c r="CQ168" s="185">
        <v>5749.8838357868099</v>
      </c>
      <c r="CR168" s="185">
        <v>1.330141488637046</v>
      </c>
      <c r="CS168" s="185">
        <v>4035036651.3181973</v>
      </c>
      <c r="CT168" s="185">
        <v>0.20482726801052581</v>
      </c>
      <c r="CU168" s="185">
        <v>52255.978246234263</v>
      </c>
      <c r="CV168" s="185">
        <v>5.3377175121347573</v>
      </c>
      <c r="CW168" s="185">
        <v>121052195526.03058</v>
      </c>
      <c r="CX168" s="185">
        <v>8.5089947125481892E-6</v>
      </c>
      <c r="CY168" s="185">
        <v>1104.5041532973366</v>
      </c>
      <c r="CZ168" s="185">
        <v>0.24535595958291212</v>
      </c>
      <c r="DA168" s="185">
        <v>38917392594.448509</v>
      </c>
      <c r="DB168" s="185">
        <v>6.3954076660765829E-17</v>
      </c>
      <c r="DC168" s="185">
        <v>1.5296617648327567E-3</v>
      </c>
      <c r="DD168" s="185">
        <v>2.0367594399594763E-4</v>
      </c>
      <c r="DE168" s="185">
        <v>10436927252.547956</v>
      </c>
      <c r="DF168" s="185">
        <v>3.3464598082320877E-2</v>
      </c>
      <c r="DG168" s="185">
        <v>62430.954477757827</v>
      </c>
      <c r="DH168" s="185">
        <v>59.64589400336758</v>
      </c>
      <c r="DI168" s="185">
        <v>7.2296721834501068E-13</v>
      </c>
      <c r="DJ168" s="185">
        <v>2.8935362637321065</v>
      </c>
      <c r="DK168" s="185">
        <v>142902.18044439907</v>
      </c>
      <c r="DL168" s="185">
        <v>3.2708389873656249E-2</v>
      </c>
      <c r="DM168" s="185">
        <v>0.19595908321080197</v>
      </c>
      <c r="DN168" s="185">
        <v>2040.6019913982591</v>
      </c>
      <c r="DO168" s="185">
        <v>3.270838006113929E-2</v>
      </c>
      <c r="DP168" s="185">
        <v>3234976014.8902531</v>
      </c>
      <c r="DQ168" s="185">
        <v>1.9463578550224557E-3</v>
      </c>
      <c r="DR168" s="185">
        <v>10882.33824920091</v>
      </c>
      <c r="DS168" s="185">
        <v>6.7611758270220187E-2</v>
      </c>
      <c r="DT168" s="185">
        <v>79644275357.095428</v>
      </c>
      <c r="DU168" s="185">
        <v>9.4658245783678762E-8</v>
      </c>
      <c r="DV168" s="185">
        <v>248.54320626840672</v>
      </c>
      <c r="DW168" s="185">
        <v>3.2226909352522908E-3</v>
      </c>
      <c r="DX168" s="185">
        <v>25605050105.76115</v>
      </c>
      <c r="DY168" s="185">
        <v>7.2362642862480458E-19</v>
      </c>
      <c r="DZ168" s="185">
        <v>3.4421512892922617E-4</v>
      </c>
      <c r="EA168" s="185">
        <v>2.6752340539049344E-6</v>
      </c>
      <c r="EB168" s="185">
        <v>1402537726.2651315</v>
      </c>
      <c r="EC168" s="185">
        <v>1.9880767914422549E-4</v>
      </c>
      <c r="ED168" s="185">
        <v>7474.9271391831162</v>
      </c>
      <c r="EE168" s="185">
        <v>0.36843641514301517</v>
      </c>
      <c r="EF168" s="185">
        <v>3.703062605311908E-10</v>
      </c>
      <c r="EG168" s="185">
        <v>4.6783907018487536</v>
      </c>
      <c r="EH168" s="185">
        <v>214778.3902519898</v>
      </c>
      <c r="EI168" s="185">
        <v>1.1676060283986382E-2</v>
      </c>
      <c r="EJ168" s="185">
        <v>0.1211670326798923</v>
      </c>
      <c r="EK168" s="185">
        <v>1272.4908975231845</v>
      </c>
      <c r="EL168" s="185">
        <v>1.1676056781168297E-2</v>
      </c>
      <c r="EM168" s="185">
        <v>9295182769.8412094</v>
      </c>
      <c r="EN168" s="185">
        <v>4.2225355923536517E-3</v>
      </c>
      <c r="EO168" s="185">
        <v>25288.981482960924</v>
      </c>
      <c r="EP168" s="185">
        <v>0.10890329324718266</v>
      </c>
      <c r="EQ168" s="185">
        <v>299430945351.08704</v>
      </c>
      <c r="ER168" s="185">
        <v>1.5307817273792727E-7</v>
      </c>
      <c r="ES168" s="185">
        <v>487.87372825715778</v>
      </c>
      <c r="ET168" s="185">
        <v>4.8319193194336241E-3</v>
      </c>
      <c r="EU168" s="185">
        <v>96264851735.877472</v>
      </c>
      <c r="EV168" s="185">
        <v>1.1390889671909109E-18</v>
      </c>
      <c r="EW168" s="185">
        <v>6.7567137649391371E-4</v>
      </c>
      <c r="EX168" s="185">
        <v>4.0110939257163149E-6</v>
      </c>
      <c r="EY168" s="185">
        <v>2033117422.3322322</v>
      </c>
      <c r="EZ168" s="185">
        <v>3.0629825456983498E-4</v>
      </c>
      <c r="FA168" s="185">
        <v>13955.338224520727</v>
      </c>
      <c r="FB168" s="192">
        <v>0.5506838379961867</v>
      </c>
    </row>
    <row r="169" spans="2:160" ht="12.75" customHeight="1" x14ac:dyDescent="0.3">
      <c r="B169" s="188" t="s">
        <v>4057</v>
      </c>
      <c r="C169" s="336"/>
      <c r="D169" s="185">
        <f t="shared" ref="D169:AI169" si="0">D168*Molweight</f>
        <v>8.9624714958651481E-15</v>
      </c>
      <c r="E169" s="185">
        <f t="shared" si="0"/>
        <v>6009.2937738078572</v>
      </c>
      <c r="F169" s="185">
        <f t="shared" si="0"/>
        <v>27239.091631514839</v>
      </c>
      <c r="G169" s="185">
        <f t="shared" si="0"/>
        <v>10.955639971097138</v>
      </c>
      <c r="H169" s="185">
        <f t="shared" si="0"/>
        <v>78.774562517840181</v>
      </c>
      <c r="I169" s="185">
        <f t="shared" si="0"/>
        <v>64.367337971433187</v>
      </c>
      <c r="J169" s="185">
        <f t="shared" si="0"/>
        <v>10.955636684405144</v>
      </c>
      <c r="K169" s="185">
        <f t="shared" si="0"/>
        <v>1881741.1335167584</v>
      </c>
      <c r="L169" s="185">
        <f t="shared" si="0"/>
        <v>0.20211887102730647</v>
      </c>
      <c r="M169" s="185">
        <f t="shared" si="0"/>
        <v>3819.2670375090693</v>
      </c>
      <c r="N169" s="185">
        <f t="shared" si="0"/>
        <v>6.6256736465689618</v>
      </c>
      <c r="O169" s="185">
        <f t="shared" si="0"/>
        <v>864545.93757309334</v>
      </c>
      <c r="P169" s="185">
        <f t="shared" si="0"/>
        <v>223.84334269117008</v>
      </c>
      <c r="Q169" s="185">
        <f t="shared" si="0"/>
        <v>1183196.7609677941</v>
      </c>
      <c r="R169" s="185">
        <f t="shared" si="0"/>
        <v>7675.0130505961952</v>
      </c>
      <c r="S169" s="185">
        <f t="shared" si="0"/>
        <v>97341.080279033136</v>
      </c>
      <c r="T169" s="185">
        <f t="shared" si="0"/>
        <v>5.2486419327473208E-2</v>
      </c>
      <c r="U169" s="185">
        <f t="shared" si="0"/>
        <v>6547.9179729307625</v>
      </c>
      <c r="V169" s="185">
        <f t="shared" si="0"/>
        <v>34.993402840236563</v>
      </c>
      <c r="W169" s="185">
        <f t="shared" si="0"/>
        <v>8707168.06830463</v>
      </c>
      <c r="X169" s="185">
        <f t="shared" si="0"/>
        <v>2.1882535318169594E-10</v>
      </c>
      <c r="Y169" s="185">
        <f t="shared" si="0"/>
        <v>13.892141481443643</v>
      </c>
      <c r="Z169" s="185">
        <f t="shared" si="0"/>
        <v>14.445560924679254</v>
      </c>
      <c r="AA169" s="185">
        <f t="shared" si="0"/>
        <v>171870659.31360564</v>
      </c>
      <c r="AB169" s="185">
        <f t="shared" si="0"/>
        <v>6.4507876993070042E-6</v>
      </c>
      <c r="AC169" s="185">
        <f t="shared" si="0"/>
        <v>119892.11903347586</v>
      </c>
      <c r="AD169" s="185">
        <f t="shared" si="0"/>
        <v>466152.12405586254</v>
      </c>
      <c r="AE169" s="185">
        <f t="shared" si="0"/>
        <v>9402344.6742901616</v>
      </c>
      <c r="AF169" s="185">
        <f t="shared" si="0"/>
        <v>2.6907255945960018E-10</v>
      </c>
      <c r="AG169" s="185">
        <f t="shared" si="0"/>
        <v>2.7204875269769535</v>
      </c>
      <c r="AH169" s="185">
        <f t="shared" si="0"/>
        <v>8.7145453983159076</v>
      </c>
      <c r="AI169" s="185">
        <f t="shared" si="0"/>
        <v>350818435.60257465</v>
      </c>
      <c r="AJ169" s="185">
        <f t="shared" ref="AJ169:BO169" si="1">AJ168*Molweight</f>
        <v>0.22541149349716297</v>
      </c>
      <c r="AK169" s="185">
        <f t="shared" si="1"/>
        <v>1722.1512594125427</v>
      </c>
      <c r="AL169" s="185">
        <f t="shared" si="1"/>
        <v>378.1329783236099</v>
      </c>
      <c r="AM169" s="185">
        <f t="shared" si="1"/>
        <v>25392903354.551403</v>
      </c>
      <c r="AN169" s="185">
        <f t="shared" si="1"/>
        <v>17.206290227581999</v>
      </c>
      <c r="AO169" s="185">
        <f t="shared" si="1"/>
        <v>53191.481987154999</v>
      </c>
      <c r="AP169" s="185">
        <f t="shared" si="1"/>
        <v>15977.243240815924</v>
      </c>
      <c r="AQ169" s="185">
        <f t="shared" si="1"/>
        <v>129932680.42578</v>
      </c>
      <c r="AR169" s="185">
        <f t="shared" si="1"/>
        <v>0.14840038343673287</v>
      </c>
      <c r="AS169" s="185">
        <f t="shared" si="1"/>
        <v>637.78398002143854</v>
      </c>
      <c r="AT169" s="185">
        <f t="shared" si="1"/>
        <v>140.03371626231012</v>
      </c>
      <c r="AU169" s="185">
        <f t="shared" si="1"/>
        <v>3.5820033433236931E-14</v>
      </c>
      <c r="AV169" s="185">
        <f t="shared" si="1"/>
        <v>1240.6614753436872</v>
      </c>
      <c r="AW169" s="185">
        <f t="shared" si="1"/>
        <v>120679.38669778148</v>
      </c>
      <c r="AX169" s="185">
        <f t="shared" si="1"/>
        <v>3.833324141290416</v>
      </c>
      <c r="AY169" s="185">
        <f t="shared" si="1"/>
        <v>16.263569169960515</v>
      </c>
      <c r="AZ169" s="185">
        <f t="shared" si="1"/>
        <v>285.17143577483495</v>
      </c>
      <c r="BA169" s="185">
        <f t="shared" si="1"/>
        <v>3.8333229912931741</v>
      </c>
      <c r="BB169" s="185">
        <f t="shared" si="1"/>
        <v>164002.82845348647</v>
      </c>
      <c r="BC169" s="185">
        <f t="shared" si="1"/>
        <v>2.0276656051959958E-2</v>
      </c>
      <c r="BD169" s="185">
        <f t="shared" si="1"/>
        <v>1944.5230245105445</v>
      </c>
      <c r="BE169" s="185">
        <f t="shared" si="1"/>
        <v>0.99659902531361388</v>
      </c>
      <c r="BF169" s="185">
        <f t="shared" si="1"/>
        <v>43419.454788802905</v>
      </c>
      <c r="BG169" s="185">
        <f t="shared" si="1"/>
        <v>8.2994239353367263E-2</v>
      </c>
      <c r="BH169" s="185">
        <f t="shared" si="1"/>
        <v>13129.641870895985</v>
      </c>
      <c r="BI169" s="185">
        <f t="shared" si="1"/>
        <v>3.2919262229498152</v>
      </c>
      <c r="BJ169" s="185">
        <f t="shared" si="1"/>
        <v>79602136.340315327</v>
      </c>
      <c r="BK169" s="185">
        <f t="shared" si="1"/>
        <v>1.1524908328044328</v>
      </c>
      <c r="BL169" s="185">
        <f t="shared" si="1"/>
        <v>8181.1172100199692</v>
      </c>
      <c r="BM169" s="185">
        <f t="shared" si="1"/>
        <v>21.116688371982686</v>
      </c>
      <c r="BN169" s="185">
        <f t="shared" si="1"/>
        <v>752413.75551193312</v>
      </c>
      <c r="BO169" s="185">
        <f t="shared" si="1"/>
        <v>6.4176147330638947E-12</v>
      </c>
      <c r="BP169" s="185">
        <f t="shared" ref="BP169:CU169" si="2">BP168*Molweight</f>
        <v>7.0740850608177661</v>
      </c>
      <c r="BQ169" s="185">
        <f t="shared" si="2"/>
        <v>2.1731657736322894</v>
      </c>
      <c r="BR169" s="185">
        <f t="shared" si="2"/>
        <v>8506709.0965842046</v>
      </c>
      <c r="BS169" s="185">
        <f t="shared" si="2"/>
        <v>8.1545593885788619E-10</v>
      </c>
      <c r="BT169" s="185">
        <f t="shared" si="2"/>
        <v>1334.3408533804363</v>
      </c>
      <c r="BU169" s="185">
        <f t="shared" si="2"/>
        <v>200.52994216135187</v>
      </c>
      <c r="BV169" s="185">
        <f t="shared" si="2"/>
        <v>383873068.31458938</v>
      </c>
      <c r="BW169" s="185">
        <f t="shared" si="2"/>
        <v>1.2993277624789772E-10</v>
      </c>
      <c r="BX169" s="185">
        <f t="shared" si="2"/>
        <v>0.1699542771050136</v>
      </c>
      <c r="BY169" s="185">
        <f t="shared" si="2"/>
        <v>0.26294232869792966</v>
      </c>
      <c r="BZ169" s="185">
        <f t="shared" si="2"/>
        <v>261045366.38034615</v>
      </c>
      <c r="CA169" s="185">
        <f t="shared" si="2"/>
        <v>2.2631952222853868E-2</v>
      </c>
      <c r="CB169" s="185">
        <f t="shared" si="2"/>
        <v>1521.8457589957093</v>
      </c>
      <c r="CC169" s="185">
        <f t="shared" si="2"/>
        <v>41.129032567692391</v>
      </c>
      <c r="CD169" s="185">
        <f t="shared" si="2"/>
        <v>1294260938.1576486</v>
      </c>
      <c r="CE169" s="185">
        <f t="shared" si="2"/>
        <v>8.0461661203529364E-2</v>
      </c>
      <c r="CF169" s="185">
        <f t="shared" si="2"/>
        <v>3434.8934608078316</v>
      </c>
      <c r="CG169" s="185">
        <f t="shared" si="2"/>
        <v>91.391195523843365</v>
      </c>
      <c r="CH169" s="185">
        <f t="shared" si="2"/>
        <v>96683461.6500393</v>
      </c>
      <c r="CI169" s="185">
        <f t="shared" si="2"/>
        <v>1.4899818707938262E-2</v>
      </c>
      <c r="CJ169" s="185">
        <f t="shared" si="2"/>
        <v>563.64157536074561</v>
      </c>
      <c r="CK169" s="185">
        <f t="shared" si="2"/>
        <v>15.231415270229288</v>
      </c>
      <c r="CL169" s="185">
        <f t="shared" si="2"/>
        <v>1.7906379440700514E-12</v>
      </c>
      <c r="CM169" s="185">
        <f t="shared" si="2"/>
        <v>36.610751105223976</v>
      </c>
      <c r="CN169" s="185">
        <f t="shared" si="2"/>
        <v>75243.972348668787</v>
      </c>
      <c r="CO169" s="185">
        <f t="shared" si="2"/>
        <v>0.1434824054239997</v>
      </c>
      <c r="CP169" s="185">
        <f t="shared" si="2"/>
        <v>1.3615978025073772</v>
      </c>
      <c r="CQ169" s="185">
        <f t="shared" si="2"/>
        <v>620.23996936632318</v>
      </c>
      <c r="CR169" s="185">
        <f t="shared" si="2"/>
        <v>0.14348236237927817</v>
      </c>
      <c r="CS169" s="185">
        <f t="shared" si="2"/>
        <v>435259403.57769394</v>
      </c>
      <c r="CT169" s="185">
        <f t="shared" si="2"/>
        <v>2.2094717400295422E-2</v>
      </c>
      <c r="CU169" s="185">
        <f t="shared" si="2"/>
        <v>5636.8523734212904</v>
      </c>
      <c r="CV169" s="185">
        <f t="shared" ref="CV169:EA169" si="3">CV168*Molweight</f>
        <v>0.57577958803397633</v>
      </c>
      <c r="CW169" s="185">
        <f t="shared" si="3"/>
        <v>13057900331.39292</v>
      </c>
      <c r="CX169" s="185">
        <f t="shared" si="3"/>
        <v>9.1786525964257328E-7</v>
      </c>
      <c r="CY169" s="185">
        <f t="shared" si="3"/>
        <v>119.14286301618371</v>
      </c>
      <c r="CZ169" s="185">
        <f t="shared" si="3"/>
        <v>2.6466547360208731E-2</v>
      </c>
      <c r="DA169" s="185">
        <f t="shared" si="3"/>
        <v>4198019139.1631608</v>
      </c>
      <c r="DB169" s="185">
        <f t="shared" si="3"/>
        <v>6.8987262493968103E-18</v>
      </c>
      <c r="DC169" s="185">
        <f t="shared" si="3"/>
        <v>1.6500461457250948E-4</v>
      </c>
      <c r="DD169" s="185">
        <f t="shared" si="3"/>
        <v>2.1970524078842872E-5</v>
      </c>
      <c r="DE169" s="185">
        <f t="shared" si="3"/>
        <v>1125831342.7323482</v>
      </c>
      <c r="DF169" s="185">
        <f t="shared" si="3"/>
        <v>3.6098261951399532E-3</v>
      </c>
      <c r="DG169" s="185">
        <f t="shared" si="3"/>
        <v>6734.4270595157368</v>
      </c>
      <c r="DH169" s="185">
        <f t="shared" si="3"/>
        <v>6.4340025861432615</v>
      </c>
      <c r="DI169" s="185">
        <f t="shared" si="3"/>
        <v>7.7986473842876308E-14</v>
      </c>
      <c r="DJ169" s="185">
        <f t="shared" si="3"/>
        <v>0.31212575676878235</v>
      </c>
      <c r="DK169" s="185">
        <f t="shared" si="3"/>
        <v>15414.85820453733</v>
      </c>
      <c r="DL169" s="185">
        <f t="shared" si="3"/>
        <v>3.5282540156713E-3</v>
      </c>
      <c r="DM169" s="185">
        <f t="shared" si="3"/>
        <v>2.1138106305949211E-2</v>
      </c>
      <c r="DN169" s="185">
        <f t="shared" si="3"/>
        <v>220.11973681213021</v>
      </c>
      <c r="DO169" s="185">
        <f t="shared" si="3"/>
        <v>3.5282529571950953E-3</v>
      </c>
      <c r="DP169" s="185">
        <f t="shared" si="3"/>
        <v>348956862.72621161</v>
      </c>
      <c r="DQ169" s="185">
        <f t="shared" si="3"/>
        <v>2.0995362182127232E-4</v>
      </c>
      <c r="DR169" s="185">
        <f t="shared" si="3"/>
        <v>1173.8778269413021</v>
      </c>
      <c r="DS169" s="185">
        <f t="shared" si="3"/>
        <v>7.2932803646086524E-3</v>
      </c>
      <c r="DT169" s="185">
        <f t="shared" si="3"/>
        <v>8591227982.7698841</v>
      </c>
      <c r="DU169" s="185">
        <f t="shared" si="3"/>
        <v>1.0210784972685428E-8</v>
      </c>
      <c r="DV169" s="185">
        <f t="shared" si="3"/>
        <v>26.810355660173034</v>
      </c>
      <c r="DW169" s="185">
        <f t="shared" si="3"/>
        <v>3.4763167118566466E-4</v>
      </c>
      <c r="DX169" s="185">
        <f t="shared" si="3"/>
        <v>2762016754.9084554</v>
      </c>
      <c r="DY169" s="185">
        <f t="shared" si="3"/>
        <v>7.8057582855757681E-20</v>
      </c>
      <c r="DZ169" s="185">
        <f t="shared" si="3"/>
        <v>3.7130485957595628E-5</v>
      </c>
      <c r="EA169" s="185">
        <f t="shared" si="3"/>
        <v>2.8857749739472527E-7</v>
      </c>
      <c r="EB169" s="185">
        <f t="shared" ref="EB169:FB169" si="4">EB168*Molweight</f>
        <v>151291744.53221974</v>
      </c>
      <c r="EC169" s="185">
        <f t="shared" si="4"/>
        <v>2.1445384349287605E-5</v>
      </c>
      <c r="ED169" s="185">
        <f t="shared" si="4"/>
        <v>806.3203905036828</v>
      </c>
      <c r="EE169" s="185">
        <f t="shared" si="4"/>
        <v>3.974323610147705E-2</v>
      </c>
      <c r="EF169" s="185">
        <f t="shared" si="4"/>
        <v>3.9944936323499558E-11</v>
      </c>
      <c r="EG169" s="185">
        <f t="shared" si="4"/>
        <v>0.50465800500842506</v>
      </c>
      <c r="EH169" s="185">
        <f t="shared" si="4"/>
        <v>23168.144956482141</v>
      </c>
      <c r="EI169" s="185">
        <f t="shared" si="4"/>
        <v>1.259496622833611E-3</v>
      </c>
      <c r="EJ169" s="185">
        <f t="shared" si="4"/>
        <v>1.3070287815179984E-2</v>
      </c>
      <c r="EK169" s="185">
        <f t="shared" si="4"/>
        <v>137.26359311582593</v>
      </c>
      <c r="EL169" s="185">
        <f t="shared" si="4"/>
        <v>1.2594962449846243E-3</v>
      </c>
      <c r="EM169" s="185">
        <f t="shared" si="4"/>
        <v>1002671365.3827714</v>
      </c>
      <c r="EN169" s="185">
        <f t="shared" si="4"/>
        <v>4.5548491434718844E-4</v>
      </c>
      <c r="EO169" s="185">
        <f t="shared" si="4"/>
        <v>2727.9224325669952</v>
      </c>
      <c r="EP169" s="185">
        <f t="shared" si="4"/>
        <v>1.1747398242573594E-2</v>
      </c>
      <c r="EQ169" s="185">
        <f t="shared" si="4"/>
        <v>32299616075.021759</v>
      </c>
      <c r="ER169" s="185">
        <f t="shared" si="4"/>
        <v>1.6512542493240216E-8</v>
      </c>
      <c r="ES169" s="185">
        <f t="shared" si="4"/>
        <v>52.626939067099613</v>
      </c>
      <c r="ET169" s="185">
        <f t="shared" si="4"/>
        <v>5.2121913698730503E-4</v>
      </c>
      <c r="EU169" s="185">
        <f t="shared" si="4"/>
        <v>10384089556.749104</v>
      </c>
      <c r="EV169" s="185">
        <f t="shared" si="4"/>
        <v>1.2287352689088356E-19</v>
      </c>
      <c r="EW169" s="185">
        <f t="shared" si="4"/>
        <v>7.2884671382398477E-5</v>
      </c>
      <c r="EX169" s="185">
        <f t="shared" si="4"/>
        <v>4.3267670176701891E-7</v>
      </c>
      <c r="EY169" s="185">
        <f t="shared" si="4"/>
        <v>219312376.34697792</v>
      </c>
      <c r="EZ169" s="185">
        <f t="shared" si="4"/>
        <v>3.3040392720448103E-5</v>
      </c>
      <c r="FA169" s="185">
        <f t="shared" si="4"/>
        <v>1505.3623342790509</v>
      </c>
      <c r="FB169" s="185">
        <f t="shared" si="4"/>
        <v>5.940226560464866E-2</v>
      </c>
    </row>
    <row r="170" spans="2:160" ht="12.75" customHeight="1" x14ac:dyDescent="0.3">
      <c r="B170" s="188" t="s">
        <v>4058</v>
      </c>
      <c r="C170" s="188"/>
      <c r="D170" s="195">
        <f>D171*8.314*TEMP.R</f>
        <v>8.5756487602433668E-25</v>
      </c>
      <c r="E170" s="195"/>
      <c r="F170" s="195"/>
      <c r="G170" s="195"/>
      <c r="H170" s="195"/>
      <c r="I170" s="195"/>
      <c r="J170" s="195"/>
      <c r="K170" s="434">
        <f>K171*KawD.R*8.314*TEMP.R</f>
        <v>8.1816431616066438E-24</v>
      </c>
      <c r="L170" s="195"/>
      <c r="M170" s="195"/>
      <c r="N170" s="195"/>
      <c r="O170" s="195">
        <f>O171*KawD.R*8.314*TEMP.R</f>
        <v>1.1390814782941847E-23</v>
      </c>
      <c r="P170" s="195"/>
      <c r="Q170" s="195"/>
      <c r="R170" s="195"/>
      <c r="S170" s="195">
        <f>S171*KawD.R*8.314*TEMP.R</f>
        <v>2.4184441041960981E-24</v>
      </c>
      <c r="T170" s="195"/>
      <c r="U170" s="195"/>
      <c r="V170" s="195"/>
      <c r="W170" s="195"/>
      <c r="X170" s="195"/>
      <c r="Y170" s="195"/>
      <c r="Z170" s="195"/>
      <c r="AA170" s="195">
        <f>AA171*KawD.R/Ksdw1.R*8.314*TEMP.R</f>
        <v>9.534330803803104E-24</v>
      </c>
      <c r="AB170" s="195"/>
      <c r="AC170" s="195"/>
      <c r="AD170" s="195"/>
      <c r="AE170" s="195">
        <f>AE171*KawD.R/Ksdw2.R*8.314*TEMP.R</f>
        <v>3.2785103796959157E-24</v>
      </c>
      <c r="AF170" s="195"/>
      <c r="AG170" s="195"/>
      <c r="AH170" s="195"/>
      <c r="AI170" s="195">
        <f>AI171*KawD.R/Ks1w.R*8.314*TEMP.R</f>
        <v>9.911089449245216E-25</v>
      </c>
      <c r="AJ170" s="195"/>
      <c r="AK170" s="195"/>
      <c r="AL170" s="195"/>
      <c r="AM170" s="195">
        <f>AM171*KawD.R/Ks2w.R*8.314*TEMP.R</f>
        <v>8.0705637120255931E-24</v>
      </c>
      <c r="AN170" s="195"/>
      <c r="AO170" s="195"/>
      <c r="AP170" s="195"/>
      <c r="AQ170" s="195">
        <f>AQ171*KawD.R/Ks3w.R*8.314*TEMP.R</f>
        <v>9.9110838426837491E-25</v>
      </c>
      <c r="AR170" s="195"/>
      <c r="AS170" s="195"/>
      <c r="AT170" s="195"/>
      <c r="AU170" s="195">
        <f>AU171*8.314*TEMP.C</f>
        <v>1.0929318028621078E-25</v>
      </c>
      <c r="AV170" s="195"/>
      <c r="AW170" s="195"/>
      <c r="AX170" s="195"/>
      <c r="AY170" s="195"/>
      <c r="AZ170" s="195"/>
      <c r="BA170" s="195"/>
      <c r="BB170" s="195">
        <f>BB171*Kaw.C*8.314*TEMP.C</f>
        <v>4.6756691500738737E-26</v>
      </c>
      <c r="BC170" s="195"/>
      <c r="BD170" s="195"/>
      <c r="BE170" s="195"/>
      <c r="BF170" s="195">
        <f>BF171*Kaw.C*8.314*TEMP.C</f>
        <v>3.7511364374926933E-26</v>
      </c>
      <c r="BG170" s="195"/>
      <c r="BH170" s="195"/>
      <c r="BI170" s="195"/>
      <c r="BJ170" s="195">
        <f>BJ171*Kaw.C*8.314*TEMP.C</f>
        <v>2.6629420630951053E-26</v>
      </c>
      <c r="BK170" s="195"/>
      <c r="BL170" s="195"/>
      <c r="BM170" s="195"/>
      <c r="BN170" s="195"/>
      <c r="BO170" s="195"/>
      <c r="BP170" s="195"/>
      <c r="BQ170" s="195"/>
      <c r="BR170" s="195">
        <f>BR171*Kaw.C/Ksdw1.C*8.314*TEMP.C</f>
        <v>3.0942958430377276E-26</v>
      </c>
      <c r="BS170" s="195"/>
      <c r="BT170" s="195"/>
      <c r="BU170" s="195"/>
      <c r="BV170" s="195">
        <f>BV171*Kaw.C/Ksdw2.C*8.314*TEMP.C</f>
        <v>3.6045838848409972E-26</v>
      </c>
      <c r="BW170" s="195"/>
      <c r="BX170" s="195"/>
      <c r="BY170" s="195"/>
      <c r="BZ170" s="195">
        <f>BZ171*Kaw.C/Ks1w.C*8.314*TEMP.C</f>
        <v>4.8357824646840315E-26</v>
      </c>
      <c r="CA170" s="195"/>
      <c r="CB170" s="195"/>
      <c r="CC170" s="195"/>
      <c r="CD170" s="195">
        <f>CD171*Kaw.C/Ks2w.C*8.314*TEMP.C</f>
        <v>2.6972744204518137E-26</v>
      </c>
      <c r="CE170" s="195"/>
      <c r="CF170" s="195"/>
      <c r="CG170" s="195"/>
      <c r="CH170" s="195">
        <f>CH171*Kaw.C/Ks3w.C*8.314*TEMP.C</f>
        <v>4.8357820955752921E-26</v>
      </c>
      <c r="CI170" s="195"/>
      <c r="CJ170" s="195"/>
      <c r="CK170" s="195"/>
      <c r="CL170" s="195">
        <f>CL171*8.314*TEMP.M</f>
        <v>5.0706276102566379E-25</v>
      </c>
      <c r="CM170" s="195"/>
      <c r="CN170" s="195"/>
      <c r="CO170" s="195"/>
      <c r="CP170" s="195"/>
      <c r="CQ170" s="195"/>
      <c r="CR170" s="195"/>
      <c r="CS170" s="195">
        <f>CS171*Kaw.M*8.314*TEMP.M</f>
        <v>2.7881597472972984E-26</v>
      </c>
      <c r="CT170" s="195"/>
      <c r="CU170" s="195"/>
      <c r="CV170" s="195"/>
      <c r="CW170" s="195">
        <f>CW171*Kaw.M*8.314*TEMP.M</f>
        <v>2.7881849910613929E-26</v>
      </c>
      <c r="CX170" s="195"/>
      <c r="CY170" s="195"/>
      <c r="CZ170" s="195"/>
      <c r="DA170" s="195">
        <f>DA171*Kaw.M/Ksdw.M*8.314*TEMP.M</f>
        <v>3.7741087257842229E-26</v>
      </c>
      <c r="DB170" s="195"/>
      <c r="DC170" s="195"/>
      <c r="DD170" s="195"/>
      <c r="DE170" s="185">
        <f>DE171*Kaw.M/Kslw.M*8.314*TEMP.M</f>
        <v>5.0608668751209344E-27</v>
      </c>
      <c r="DF170" s="185"/>
      <c r="DG170" s="185"/>
      <c r="DH170" s="185"/>
      <c r="DI170" s="195">
        <f>DI171*8.314*TEMP.A</f>
        <v>3.7195943069918691E-26</v>
      </c>
      <c r="DJ170" s="195"/>
      <c r="DK170" s="195"/>
      <c r="DL170" s="195"/>
      <c r="DM170" s="195"/>
      <c r="DN170" s="195"/>
      <c r="DO170" s="195"/>
      <c r="DP170" s="195">
        <f>DP171*Kaw.A*8.314*TEMP.A</f>
        <v>6.987584086883921E-32</v>
      </c>
      <c r="DQ170" s="195"/>
      <c r="DR170" s="195"/>
      <c r="DS170" s="195"/>
      <c r="DT170" s="195">
        <f>DT171*Kaw.A*8.314*TEMP.A</f>
        <v>5.7344172830033721E-32</v>
      </c>
      <c r="DU170" s="195"/>
      <c r="DV170" s="195"/>
      <c r="DW170" s="195"/>
      <c r="DX170" s="195">
        <f>DX171*Kaw.A/Ksdw.A*8.314*TEMP.A</f>
        <v>7.7621514977103412E-32</v>
      </c>
      <c r="DY170" s="195"/>
      <c r="DZ170" s="195"/>
      <c r="EA170" s="195"/>
      <c r="EB170" s="185">
        <f>EB171*Kaw.A/Kslw.A*8.314*TEMP.A</f>
        <v>3.1889218858565031E-33</v>
      </c>
      <c r="EC170" s="185"/>
      <c r="ED170" s="185"/>
      <c r="EE170" s="185"/>
      <c r="EF170" s="195">
        <f>EF171*8.314*TEMP.T</f>
        <v>7.1957701784705322E-24</v>
      </c>
      <c r="EG170" s="195"/>
      <c r="EH170" s="195"/>
      <c r="EI170" s="195"/>
      <c r="EJ170" s="195"/>
      <c r="EK170" s="195"/>
      <c r="EL170" s="195"/>
      <c r="EM170" s="195">
        <f>EM171*Kaw.T*8.314*TEMP.T</f>
        <v>2.5803344050914316E-23</v>
      </c>
      <c r="EN170" s="195"/>
      <c r="EO170" s="195"/>
      <c r="EP170" s="195"/>
      <c r="EQ170" s="195">
        <f>EQ171*Kaw.T*8.314*TEMP.T</f>
        <v>2.7707254010658578E-23</v>
      </c>
      <c r="ER170" s="195"/>
      <c r="ES170" s="195"/>
      <c r="ET170" s="195"/>
      <c r="EU170" s="195">
        <f>EU171*Kaw.T/Ksdw.T*8.314*TEMP.T</f>
        <v>3.7504752898228416E-23</v>
      </c>
      <c r="EV170" s="195"/>
      <c r="EW170" s="195"/>
      <c r="EX170" s="195"/>
      <c r="EY170" s="195">
        <f>EY171*Kaw.T/Kslw.T*8.314*TEMP.T</f>
        <v>9.2414346057473117E-25</v>
      </c>
      <c r="EZ170" s="195"/>
      <c r="FA170" s="195"/>
      <c r="FB170" s="196"/>
    </row>
    <row r="171" spans="2:160" ht="12.75" customHeight="1" x14ac:dyDescent="0.3">
      <c r="B171" s="188" t="s">
        <v>4059</v>
      </c>
      <c r="C171" s="389"/>
      <c r="D171" s="185">
        <f>D168/D4</f>
        <v>3.6191960127467796E-28</v>
      </c>
      <c r="E171" s="185">
        <f t="shared" ref="E171:AI171" si="5">E168/E4</f>
        <v>2.4266534153691086E-10</v>
      </c>
      <c r="F171" s="185">
        <f t="shared" si="5"/>
        <v>1.0999601155675017E-9</v>
      </c>
      <c r="G171" s="185">
        <f>G168/G4</f>
        <v>4.4240708066716736E-13</v>
      </c>
      <c r="H171" s="185">
        <f t="shared" si="5"/>
        <v>1.0603495650426736E-5</v>
      </c>
      <c r="I171" s="185">
        <f t="shared" si="5"/>
        <v>8.6642028390201287E-6</v>
      </c>
      <c r="J171" s="185">
        <f t="shared" si="5"/>
        <v>1.4746898264834769E-6</v>
      </c>
      <c r="K171" s="32">
        <f t="shared" si="5"/>
        <v>3.0528113148480673E-4</v>
      </c>
      <c r="L171" s="185">
        <f t="shared" si="5"/>
        <v>3.2790417631107348E-11</v>
      </c>
      <c r="M171" s="185">
        <f t="shared" si="5"/>
        <v>6.1961241208261588E-7</v>
      </c>
      <c r="N171" s="185">
        <f t="shared" si="5"/>
        <v>1.07490510338872E-9</v>
      </c>
      <c r="O171" s="185">
        <f t="shared" si="5"/>
        <v>4.250247483034308E-4</v>
      </c>
      <c r="P171" s="185">
        <f t="shared" si="5"/>
        <v>1.1004500310739082E-7</v>
      </c>
      <c r="Q171" s="185">
        <f t="shared" si="5"/>
        <v>5.8167864039180043E-4</v>
      </c>
      <c r="R171" s="185">
        <f t="shared" si="5"/>
        <v>3.7731603935498243E-6</v>
      </c>
      <c r="S171" s="185">
        <f t="shared" si="5"/>
        <v>9.0239251208893125E-5</v>
      </c>
      <c r="T171" s="185">
        <f t="shared" si="5"/>
        <v>4.8657105152009959E-11</v>
      </c>
      <c r="U171" s="185">
        <f t="shared" si="5"/>
        <v>6.0701937266438808E-6</v>
      </c>
      <c r="V171" s="185">
        <f t="shared" si="5"/>
        <v>3.2440347492571172E-8</v>
      </c>
      <c r="W171" s="185">
        <f t="shared" si="5"/>
        <v>4.7086429204224434</v>
      </c>
      <c r="X171" s="185">
        <f t="shared" si="5"/>
        <v>1.1833588624740496E-16</v>
      </c>
      <c r="Y171" s="185">
        <f t="shared" si="5"/>
        <v>7.5125612739944661E-6</v>
      </c>
      <c r="Z171" s="185">
        <f t="shared" si="5"/>
        <v>7.8118382057102074E-6</v>
      </c>
      <c r="AA171" s="185">
        <f t="shared" si="5"/>
        <v>8.4494392421263296</v>
      </c>
      <c r="AB171" s="185">
        <f t="shared" si="5"/>
        <v>3.1713114354030783E-13</v>
      </c>
      <c r="AC171" s="185">
        <f t="shared" si="5"/>
        <v>5.8940902387225489E-3</v>
      </c>
      <c r="AD171" s="185">
        <f t="shared" si="5"/>
        <v>2.2916791414707444E-2</v>
      </c>
      <c r="AE171" s="185">
        <f t="shared" si="5"/>
        <v>2.9054555404005291</v>
      </c>
      <c r="AF171" s="185">
        <f t="shared" si="5"/>
        <v>8.3147170810419916E-17</v>
      </c>
      <c r="AG171" s="185">
        <f t="shared" si="5"/>
        <v>8.406685599879331E-7</v>
      </c>
      <c r="AH171" s="185">
        <f t="shared" si="5"/>
        <v>2.6929159785902467E-6</v>
      </c>
      <c r="AI171" s="185">
        <f t="shared" si="5"/>
        <v>1.0539711714119651</v>
      </c>
      <c r="AJ171" s="185">
        <f t="shared" ref="AJ171:BO171" si="6">AJ168/AJ4</f>
        <v>6.7720846951174815E-10</v>
      </c>
      <c r="AK171" s="185">
        <f t="shared" si="6"/>
        <v>5.1738950865394819E-6</v>
      </c>
      <c r="AL171" s="185">
        <f t="shared" si="6"/>
        <v>1.1360328240124718E-6</v>
      </c>
      <c r="AM171" s="185">
        <f t="shared" si="6"/>
        <v>8.5824485119204539</v>
      </c>
      <c r="AN171" s="185">
        <f t="shared" si="6"/>
        <v>5.8154870239725437E-9</v>
      </c>
      <c r="AO171" s="185">
        <f t="shared" si="6"/>
        <v>1.7977981842146341E-5</v>
      </c>
      <c r="AP171" s="185">
        <f t="shared" si="6"/>
        <v>5.4000862194497256E-6</v>
      </c>
      <c r="AQ171" s="185">
        <f t="shared" si="6"/>
        <v>1.0539705751955564</v>
      </c>
      <c r="AR171" s="185">
        <f t="shared" si="6"/>
        <v>1.2037744236285387E-9</v>
      </c>
      <c r="AS171" s="185">
        <f t="shared" si="6"/>
        <v>5.1734909652516813E-6</v>
      </c>
      <c r="AT171" s="185">
        <f t="shared" si="6"/>
        <v>1.1359068095271482E-6</v>
      </c>
      <c r="AU171" s="185">
        <f t="shared" si="6"/>
        <v>4.6125191617694435E-29</v>
      </c>
      <c r="AV171" s="185">
        <f t="shared" si="6"/>
        <v>1.5975905882270909E-12</v>
      </c>
      <c r="AW171" s="185">
        <f t="shared" si="6"/>
        <v>1.5539795199007451E-10</v>
      </c>
      <c r="AX171" s="185">
        <f t="shared" si="6"/>
        <v>4.9361430909690935E-15</v>
      </c>
      <c r="AY171" s="185">
        <f t="shared" si="6"/>
        <v>6.9808258345174391E-8</v>
      </c>
      <c r="AZ171" s="185">
        <f t="shared" si="6"/>
        <v>1.224043815548412E-6</v>
      </c>
      <c r="BA171" s="185">
        <f t="shared" si="6"/>
        <v>1.6453805367087222E-8</v>
      </c>
      <c r="BB171" s="185">
        <f t="shared" si="6"/>
        <v>1.7446294593748288E-6</v>
      </c>
      <c r="BC171" s="185">
        <f t="shared" si="6"/>
        <v>2.156990328730408E-13</v>
      </c>
      <c r="BD171" s="185">
        <f t="shared" si="6"/>
        <v>2.0685449055873394E-8</v>
      </c>
      <c r="BE171" s="185">
        <f t="shared" si="6"/>
        <v>1.0601622149702684E-11</v>
      </c>
      <c r="BF171" s="185">
        <f t="shared" si="6"/>
        <v>1.3996591557126538E-6</v>
      </c>
      <c r="BG171" s="185">
        <f t="shared" si="6"/>
        <v>2.6753824419809259E-12</v>
      </c>
      <c r="BH171" s="185">
        <f t="shared" si="6"/>
        <v>4.2324399385518961E-7</v>
      </c>
      <c r="BI171" s="185">
        <f t="shared" si="6"/>
        <v>1.0611774607244708E-10</v>
      </c>
      <c r="BJ171" s="185">
        <f t="shared" si="6"/>
        <v>9.9362188015606335E-7</v>
      </c>
      <c r="BK171" s="185">
        <f t="shared" si="6"/>
        <v>1.438579617082211E-14</v>
      </c>
      <c r="BL171" s="185">
        <f t="shared" si="6"/>
        <v>1.0211958419362402E-10</v>
      </c>
      <c r="BM171" s="185">
        <f t="shared" si="6"/>
        <v>2.6358593584896746E-13</v>
      </c>
      <c r="BN171" s="185">
        <f t="shared" si="6"/>
        <v>2.6680092774076031E-2</v>
      </c>
      <c r="BO171" s="185">
        <f t="shared" si="6"/>
        <v>2.2756436231010177E-19</v>
      </c>
      <c r="BP171" s="185">
        <f t="shared" ref="BP171:CU171" si="7">BP168/BP4</f>
        <v>2.5084236476499393E-7</v>
      </c>
      <c r="BQ171" s="185">
        <f t="shared" si="7"/>
        <v>7.7059017102242009E-8</v>
      </c>
      <c r="BR171" s="185">
        <f t="shared" si="7"/>
        <v>2.7422023905948879E-2</v>
      </c>
      <c r="BS171" s="185">
        <f t="shared" si="7"/>
        <v>2.6286842533016665E-18</v>
      </c>
      <c r="BT171" s="185">
        <f t="shared" si="7"/>
        <v>4.3013492485331468E-6</v>
      </c>
      <c r="BU171" s="185">
        <f t="shared" si="7"/>
        <v>6.4642352352394277E-7</v>
      </c>
      <c r="BV171" s="185">
        <f t="shared" si="7"/>
        <v>3.1944258233585689E-2</v>
      </c>
      <c r="BW171" s="185">
        <f t="shared" si="7"/>
        <v>1.0812444268864606E-20</v>
      </c>
      <c r="BX171" s="185">
        <f t="shared" si="7"/>
        <v>1.4142860658554302E-11</v>
      </c>
      <c r="BY171" s="185">
        <f t="shared" si="7"/>
        <v>2.1880924560155722E-11</v>
      </c>
      <c r="BZ171" s="185">
        <f t="shared" si="7"/>
        <v>5.1424975378308341E-2</v>
      </c>
      <c r="CA171" s="185">
        <f t="shared" si="7"/>
        <v>4.4584112024711113E-12</v>
      </c>
      <c r="CB171" s="185">
        <f t="shared" si="7"/>
        <v>2.9979800741573134E-7</v>
      </c>
      <c r="CC171" s="185">
        <f t="shared" si="7"/>
        <v>8.1022678795438066E-9</v>
      </c>
      <c r="CD171" s="185">
        <f t="shared" si="7"/>
        <v>2.8683521575517873E-2</v>
      </c>
      <c r="CE171" s="185">
        <f t="shared" si="7"/>
        <v>1.7831982153604367E-12</v>
      </c>
      <c r="CF171" s="185">
        <f t="shared" si="7"/>
        <v>7.6124402574441125E-8</v>
      </c>
      <c r="CG171" s="185">
        <f t="shared" si="7"/>
        <v>2.0254194894825983E-9</v>
      </c>
      <c r="CH171" s="185">
        <f t="shared" si="7"/>
        <v>5.142497145310948E-2</v>
      </c>
      <c r="CI171" s="185">
        <f t="shared" si="7"/>
        <v>7.9250653486704187E-12</v>
      </c>
      <c r="CJ171" s="185">
        <f t="shared" si="7"/>
        <v>2.9979534687771722E-7</v>
      </c>
      <c r="CK171" s="185">
        <f t="shared" si="7"/>
        <v>8.10143826145967E-9</v>
      </c>
      <c r="CL171" s="185">
        <f t="shared" si="7"/>
        <v>2.1399658197572634E-28</v>
      </c>
      <c r="CM171" s="185">
        <f t="shared" si="7"/>
        <v>4.3752985498979689E-15</v>
      </c>
      <c r="CN171" s="185">
        <f t="shared" si="7"/>
        <v>8.9922996160195648E-12</v>
      </c>
      <c r="CO171" s="185">
        <f t="shared" si="7"/>
        <v>1.7147377244000899E-17</v>
      </c>
      <c r="CP171" s="185">
        <f t="shared" si="7"/>
        <v>5.4240869243868359E-10</v>
      </c>
      <c r="CQ171" s="185">
        <f t="shared" si="7"/>
        <v>2.4707997483741078E-7</v>
      </c>
      <c r="CR171" s="185">
        <f t="shared" si="7"/>
        <v>5.7157906999292444E-11</v>
      </c>
      <c r="CS171" s="185">
        <f t="shared" si="7"/>
        <v>1.0403442751078938E-6</v>
      </c>
      <c r="CT171" s="185">
        <f t="shared" si="7"/>
        <v>5.2810146245171419E-17</v>
      </c>
      <c r="CU171" s="185">
        <f t="shared" si="7"/>
        <v>1.3473039406190356E-11</v>
      </c>
      <c r="CV171" s="185">
        <f t="shared" ref="CV171:EA171" si="8">CV168/CV4</f>
        <v>1.3762115033275909E-15</v>
      </c>
      <c r="CW171" s="185">
        <f t="shared" si="8"/>
        <v>1.0403536942975521E-6</v>
      </c>
      <c r="CX171" s="185">
        <f t="shared" si="8"/>
        <v>7.3128488463096645E-23</v>
      </c>
      <c r="CY171" s="185">
        <f t="shared" si="8"/>
        <v>9.4923926927271749E-15</v>
      </c>
      <c r="CZ171" s="185">
        <f t="shared" si="8"/>
        <v>2.1086522046195689E-18</v>
      </c>
      <c r="DA171" s="185">
        <f t="shared" si="8"/>
        <v>3.3446607872020258E-2</v>
      </c>
      <c r="DB171" s="185">
        <f t="shared" si="8"/>
        <v>5.4963777922647581E-29</v>
      </c>
      <c r="DC171" s="185">
        <f t="shared" si="8"/>
        <v>1.3146306526322075E-15</v>
      </c>
      <c r="DD171" s="185">
        <f t="shared" si="8"/>
        <v>1.7504434335530938E-16</v>
      </c>
      <c r="DE171" s="185">
        <f t="shared" si="8"/>
        <v>5.3818581862737974E-3</v>
      </c>
      <c r="DF171" s="185">
        <f t="shared" si="8"/>
        <v>1.7256201636907356E-14</v>
      </c>
      <c r="DG171" s="185">
        <f t="shared" si="8"/>
        <v>3.2192860532872044E-8</v>
      </c>
      <c r="DH171" s="185">
        <f t="shared" si="8"/>
        <v>3.0756728982783338E-11</v>
      </c>
      <c r="DI171" s="185">
        <f t="shared" si="8"/>
        <v>1.7010998476123323E-29</v>
      </c>
      <c r="DJ171" s="185">
        <f t="shared" si="8"/>
        <v>6.8083226630429318E-17</v>
      </c>
      <c r="DK171" s="185">
        <f t="shared" si="8"/>
        <v>3.3624052544721428E-12</v>
      </c>
      <c r="DL171" s="185">
        <f t="shared" si="8"/>
        <v>7.6960940438061537E-19</v>
      </c>
      <c r="DM171" s="185">
        <f t="shared" si="8"/>
        <v>1.5369344470474083E-11</v>
      </c>
      <c r="DN171" s="185">
        <f t="shared" si="8"/>
        <v>1.6004726302580706E-7</v>
      </c>
      <c r="DO171" s="185">
        <f t="shared" si="8"/>
        <v>2.565363911659314E-12</v>
      </c>
      <c r="DP171" s="185">
        <f t="shared" si="8"/>
        <v>1.2686180450550012E-6</v>
      </c>
      <c r="DQ171" s="185">
        <f t="shared" si="8"/>
        <v>7.6327759020488463E-19</v>
      </c>
      <c r="DR171" s="185">
        <f t="shared" si="8"/>
        <v>4.267583627137612E-12</v>
      </c>
      <c r="DS171" s="185">
        <f t="shared" si="8"/>
        <v>2.6514415007929487E-17</v>
      </c>
      <c r="DT171" s="185">
        <f t="shared" si="8"/>
        <v>1.0411016386548421E-6</v>
      </c>
      <c r="DU171" s="185">
        <f t="shared" si="8"/>
        <v>1.2373626899827289E-24</v>
      </c>
      <c r="DV171" s="185">
        <f t="shared" si="8"/>
        <v>3.2489308008942054E-15</v>
      </c>
      <c r="DW171" s="185">
        <f t="shared" si="8"/>
        <v>4.2126678892186809E-20</v>
      </c>
      <c r="DX171" s="185">
        <f t="shared" si="8"/>
        <v>3.3470653733021112E-2</v>
      </c>
      <c r="DY171" s="185">
        <f t="shared" si="8"/>
        <v>9.4591690016314324E-31</v>
      </c>
      <c r="DZ171" s="185">
        <f t="shared" si="8"/>
        <v>4.4995441690094922E-16</v>
      </c>
      <c r="EA171" s="185">
        <f t="shared" si="8"/>
        <v>3.4970379789606982E-18</v>
      </c>
      <c r="EB171" s="185">
        <f t="shared" ref="EB171:FB171" si="9">EB168/EB4</f>
        <v>1.6500443838413311E-3</v>
      </c>
      <c r="EC171" s="185">
        <f t="shared" si="9"/>
        <v>2.3389138722850059E-16</v>
      </c>
      <c r="ED171" s="185">
        <f t="shared" si="9"/>
        <v>8.7940319284507244E-9</v>
      </c>
      <c r="EE171" s="185">
        <f t="shared" si="9"/>
        <v>4.3345460605060607E-13</v>
      </c>
      <c r="EF171" s="185">
        <f t="shared" si="9"/>
        <v>2.9043636990047237E-27</v>
      </c>
      <c r="EG171" s="185">
        <f t="shared" si="9"/>
        <v>3.6693271414638316E-17</v>
      </c>
      <c r="EH171" s="185">
        <f t="shared" si="9"/>
        <v>1.6845368994943231E-12</v>
      </c>
      <c r="EI171" s="185">
        <f t="shared" si="9"/>
        <v>9.1576970876906015E-20</v>
      </c>
      <c r="EJ171" s="185">
        <f t="shared" si="9"/>
        <v>3.1677665105885754E-12</v>
      </c>
      <c r="EK171" s="185">
        <f t="shared" si="9"/>
        <v>3.326774586328283E-8</v>
      </c>
      <c r="EL171" s="185">
        <f t="shared" si="9"/>
        <v>3.0525647801271588E-13</v>
      </c>
      <c r="EM171" s="185">
        <f t="shared" si="9"/>
        <v>1.0414770610466343E-6</v>
      </c>
      <c r="EN171" s="185">
        <f t="shared" si="9"/>
        <v>4.7311323163626356E-19</v>
      </c>
      <c r="EO171" s="185">
        <f t="shared" si="9"/>
        <v>2.8334993258219526E-12</v>
      </c>
      <c r="EP171" s="185">
        <f t="shared" si="9"/>
        <v>1.220204966354988E-17</v>
      </c>
      <c r="EQ171" s="185">
        <f t="shared" si="9"/>
        <v>1.1183228584541067E-6</v>
      </c>
      <c r="ER171" s="185">
        <f t="shared" si="9"/>
        <v>5.7172053310150245E-25</v>
      </c>
      <c r="ES171" s="185">
        <f t="shared" si="9"/>
        <v>1.8221241018007763E-15</v>
      </c>
      <c r="ET171" s="185">
        <f t="shared" si="9"/>
        <v>1.8046384012823996E-20</v>
      </c>
      <c r="EU171" s="185">
        <f t="shared" si="9"/>
        <v>3.5953259285108299E-2</v>
      </c>
      <c r="EV171" s="185">
        <f t="shared" si="9"/>
        <v>4.2543005310584911E-31</v>
      </c>
      <c r="EW171" s="185">
        <f t="shared" si="9"/>
        <v>2.5235158785953826E-16</v>
      </c>
      <c r="EX171" s="185">
        <f t="shared" si="9"/>
        <v>1.4980742953188852E-18</v>
      </c>
      <c r="EY171" s="185">
        <f t="shared" si="9"/>
        <v>1.0630679332456114E-3</v>
      </c>
      <c r="EZ171" s="185">
        <f t="shared" si="9"/>
        <v>1.6015595010187445E-16</v>
      </c>
      <c r="FA171" s="185">
        <f t="shared" si="9"/>
        <v>7.2969088755663915E-9</v>
      </c>
      <c r="FB171" s="192">
        <f t="shared" si="9"/>
        <v>2.8793926169735244E-13</v>
      </c>
    </row>
    <row r="172" spans="2:160" ht="12.75" customHeight="1" x14ac:dyDescent="0.3">
      <c r="B172" s="197" t="s">
        <v>4060</v>
      </c>
      <c r="C172" s="441">
        <f>SUM(D172:FB172)</f>
        <v>0.99999999999999944</v>
      </c>
      <c r="D172" s="198">
        <f t="shared" ref="D172:AI172" si="10">D168/SUM($D$168:$FB$168)</f>
        <v>8.7209209834342953E-26</v>
      </c>
      <c r="E172" s="198">
        <f t="shared" si="10"/>
        <v>5.8473353239449484E-8</v>
      </c>
      <c r="F172" s="198">
        <f t="shared" si="10"/>
        <v>2.650496192803083E-7</v>
      </c>
      <c r="G172" s="198">
        <f t="shared" si="10"/>
        <v>1.0660370920562659E-10</v>
      </c>
      <c r="H172" s="198">
        <f t="shared" si="10"/>
        <v>7.6651483414996832E-10</v>
      </c>
      <c r="I172" s="198">
        <f t="shared" si="10"/>
        <v>6.2632552708463852E-10</v>
      </c>
      <c r="J172" s="198">
        <f t="shared" si="10"/>
        <v>1.0660367722451378E-10</v>
      </c>
      <c r="K172" s="198">
        <f t="shared" si="10"/>
        <v>1.8310257102908227E-5</v>
      </c>
      <c r="L172" s="198">
        <f t="shared" si="10"/>
        <v>1.9667149896134059E-12</v>
      </c>
      <c r="M172" s="198">
        <f t="shared" si="10"/>
        <v>3.7163327173892008E-8</v>
      </c>
      <c r="N172" s="198">
        <f t="shared" si="10"/>
        <v>6.4471029403450485E-11</v>
      </c>
      <c r="O172" s="198">
        <f t="shared" si="10"/>
        <v>8.4124527610520065E-6</v>
      </c>
      <c r="P172" s="198">
        <f t="shared" si="10"/>
        <v>2.1781046725538966E-9</v>
      </c>
      <c r="Q172" s="198">
        <f t="shared" si="10"/>
        <v>1.151308036518277E-5</v>
      </c>
      <c r="R172" s="198">
        <f t="shared" si="10"/>
        <v>7.4681612535064878E-8</v>
      </c>
      <c r="S172" s="198">
        <f t="shared" si="10"/>
        <v>9.4717608859032425E-7</v>
      </c>
      <c r="T172" s="198">
        <f t="shared" si="10"/>
        <v>5.1071840604398796E-13</v>
      </c>
      <c r="U172" s="198">
        <f t="shared" si="10"/>
        <v>6.3714428854009099E-8</v>
      </c>
      <c r="V172" s="198">
        <f t="shared" si="10"/>
        <v>3.4050284148962841E-10</v>
      </c>
      <c r="W172" s="198">
        <f t="shared" si="10"/>
        <v>8.4724983223879088E-5</v>
      </c>
      <c r="X172" s="198">
        <f t="shared" si="10"/>
        <v>2.1292771922902042E-21</v>
      </c>
      <c r="Y172" s="198">
        <f t="shared" si="10"/>
        <v>1.3517729814399262E-10</v>
      </c>
      <c r="Z172" s="198">
        <f t="shared" si="10"/>
        <v>1.4056233868485304E-10</v>
      </c>
      <c r="AA172" s="198">
        <f t="shared" si="10"/>
        <v>1.672385167346102E-3</v>
      </c>
      <c r="AB172" s="198">
        <f t="shared" si="10"/>
        <v>6.2769304016777594E-17</v>
      </c>
      <c r="AC172" s="198">
        <f t="shared" si="10"/>
        <v>1.1666086716256975E-6</v>
      </c>
      <c r="AD172" s="198">
        <f t="shared" si="10"/>
        <v>4.535887050828291E-6</v>
      </c>
      <c r="AE172" s="198">
        <f t="shared" si="10"/>
        <v>9.1489389953795984E-5</v>
      </c>
      <c r="AF172" s="198">
        <f t="shared" si="10"/>
        <v>2.618206965500743E-21</v>
      </c>
      <c r="AG172" s="198">
        <f t="shared" si="10"/>
        <v>2.6471667742687082E-11</v>
      </c>
      <c r="AH172" s="198">
        <f t="shared" si="10"/>
        <v>8.4796768235554429E-11</v>
      </c>
      <c r="AI172" s="198">
        <f t="shared" si="10"/>
        <v>3.4136341274095807E-3</v>
      </c>
      <c r="AJ172" s="198">
        <f t="shared" ref="AJ172:BO172" si="11">AJ168/SUM($D$168:$FB$168)</f>
        <v>2.1933635431405223E-12</v>
      </c>
      <c r="AK172" s="198">
        <f t="shared" si="11"/>
        <v>1.6757369952905922E-8</v>
      </c>
      <c r="AL172" s="198">
        <f t="shared" si="11"/>
        <v>3.6794179225141865E-9</v>
      </c>
      <c r="AM172" s="198">
        <f t="shared" si="11"/>
        <v>0.24708530877581319</v>
      </c>
      <c r="AN172" s="198">
        <f t="shared" si="11"/>
        <v>1.6742557849362009E-10</v>
      </c>
      <c r="AO172" s="198">
        <f t="shared" si="11"/>
        <v>5.1757900888807138E-7</v>
      </c>
      <c r="AP172" s="198">
        <f t="shared" si="11"/>
        <v>1.5546635311537492E-7</v>
      </c>
      <c r="AQ172" s="198">
        <f t="shared" si="11"/>
        <v>1.2643082208761503E-3</v>
      </c>
      <c r="AR172" s="198">
        <f t="shared" si="11"/>
        <v>1.4440079597019358E-12</v>
      </c>
      <c r="AS172" s="198">
        <f t="shared" si="11"/>
        <v>6.2059485453686195E-9</v>
      </c>
      <c r="AT172" s="198">
        <f t="shared" si="11"/>
        <v>1.3625962159028098E-9</v>
      </c>
      <c r="AU172" s="198">
        <f t="shared" si="11"/>
        <v>3.4854635949397744E-25</v>
      </c>
      <c r="AV172" s="198">
        <f t="shared" si="11"/>
        <v>1.2072240005064457E-8</v>
      </c>
      <c r="AW172" s="198">
        <f t="shared" si="11"/>
        <v>1.1742691691752738E-6</v>
      </c>
      <c r="AX172" s="198">
        <f t="shared" si="11"/>
        <v>3.7300109635503873E-11</v>
      </c>
      <c r="AY172" s="198">
        <f t="shared" si="11"/>
        <v>1.582524437654042E-10</v>
      </c>
      <c r="AZ172" s="198">
        <f t="shared" si="11"/>
        <v>2.7748568676309944E-9</v>
      </c>
      <c r="BA172" s="198">
        <f t="shared" si="11"/>
        <v>3.7300098445470986E-11</v>
      </c>
      <c r="BB172" s="198">
        <f t="shared" si="11"/>
        <v>1.5958273436768376E-6</v>
      </c>
      <c r="BC172" s="198">
        <f t="shared" si="11"/>
        <v>1.9730173236143503E-13</v>
      </c>
      <c r="BD172" s="198">
        <f t="shared" si="11"/>
        <v>1.8921155459237717E-8</v>
      </c>
      <c r="BE172" s="198">
        <f t="shared" si="11"/>
        <v>9.6973935771370548E-12</v>
      </c>
      <c r="BF172" s="198">
        <f t="shared" si="11"/>
        <v>4.2249242804469987E-7</v>
      </c>
      <c r="BG172" s="198">
        <f t="shared" si="11"/>
        <v>8.0757434354448888E-13</v>
      </c>
      <c r="BH172" s="198">
        <f t="shared" si="11"/>
        <v>1.2775780581249299E-7</v>
      </c>
      <c r="BI172" s="198">
        <f t="shared" si="11"/>
        <v>3.2032044382942162E-11</v>
      </c>
      <c r="BJ172" s="198">
        <f t="shared" si="11"/>
        <v>7.7456753023619185E-4</v>
      </c>
      <c r="BK172" s="198">
        <f t="shared" si="11"/>
        <v>1.1214296739082284E-11</v>
      </c>
      <c r="BL172" s="198">
        <f t="shared" si="11"/>
        <v>7.9606252335323568E-8</v>
      </c>
      <c r="BM172" s="198">
        <f t="shared" si="11"/>
        <v>2.0547565569254857E-10</v>
      </c>
      <c r="BN172" s="198">
        <f t="shared" si="11"/>
        <v>7.3213520530535472E-6</v>
      </c>
      <c r="BO172" s="198">
        <f t="shared" si="11"/>
        <v>6.2446514909413903E-23</v>
      </c>
      <c r="BP172" s="198">
        <f t="shared" ref="BP172:CU172" si="12">BP168/SUM($D$168:$FB$168)</f>
        <v>6.8834290713166216E-11</v>
      </c>
      <c r="BQ172" s="198">
        <f t="shared" si="12"/>
        <v>2.1145960692309702E-11</v>
      </c>
      <c r="BR172" s="198">
        <f t="shared" si="12"/>
        <v>8.2774419862421418E-5</v>
      </c>
      <c r="BS172" s="198">
        <f t="shared" si="12"/>
        <v>7.9347831806581133E-21</v>
      </c>
      <c r="BT172" s="198">
        <f t="shared" si="12"/>
        <v>1.298378594862776E-8</v>
      </c>
      <c r="BU172" s="198">
        <f t="shared" si="12"/>
        <v>1.9512539383903355E-9</v>
      </c>
      <c r="BV172" s="198">
        <f t="shared" si="12"/>
        <v>3.7352717919208879E-3</v>
      </c>
      <c r="BW172" s="198">
        <f t="shared" si="12"/>
        <v>1.2643091532719936E-21</v>
      </c>
      <c r="BX172" s="198">
        <f t="shared" si="12"/>
        <v>1.6537378357223407E-12</v>
      </c>
      <c r="BY172" s="198">
        <f t="shared" si="12"/>
        <v>2.5585568365074052E-12</v>
      </c>
      <c r="BZ172" s="198">
        <f t="shared" si="12"/>
        <v>2.5400984698751312E-3</v>
      </c>
      <c r="CA172" s="198">
        <f t="shared" si="12"/>
        <v>2.2021991046490516E-13</v>
      </c>
      <c r="CB172" s="198">
        <f t="shared" si="12"/>
        <v>1.4808299941929172E-8</v>
      </c>
      <c r="CC172" s="198">
        <f t="shared" si="12"/>
        <v>4.0020550504782101E-10</v>
      </c>
      <c r="CD172" s="198">
        <f t="shared" si="12"/>
        <v>1.259378886596821E-2</v>
      </c>
      <c r="CE172" s="198">
        <f t="shared" si="12"/>
        <v>7.8293112549989227E-13</v>
      </c>
      <c r="CF172" s="198">
        <f t="shared" si="12"/>
        <v>3.3423185191763518E-8</v>
      </c>
      <c r="CG172" s="198">
        <f t="shared" si="12"/>
        <v>8.8928081401735727E-10</v>
      </c>
      <c r="CH172" s="198">
        <f t="shared" si="12"/>
        <v>9.4077713925661032E-4</v>
      </c>
      <c r="CI172" s="198">
        <f t="shared" si="12"/>
        <v>1.4498248801056022E-13</v>
      </c>
      <c r="CJ172" s="198">
        <f t="shared" si="12"/>
        <v>5.4845068617147088E-9</v>
      </c>
      <c r="CK172" s="198">
        <f t="shared" si="12"/>
        <v>1.4820908395505236E-10</v>
      </c>
      <c r="CL172" s="198">
        <f t="shared" si="12"/>
        <v>1.7423778728198613E-23</v>
      </c>
      <c r="CM172" s="198">
        <f t="shared" si="12"/>
        <v>3.5624042729746839E-10</v>
      </c>
      <c r="CN172" s="198">
        <f t="shared" si="12"/>
        <v>7.3216047340869438E-7</v>
      </c>
      <c r="CO172" s="198">
        <f t="shared" si="12"/>
        <v>1.3961536399787434E-12</v>
      </c>
      <c r="CP172" s="198">
        <f t="shared" si="12"/>
        <v>1.3249009330030094E-11</v>
      </c>
      <c r="CQ172" s="198">
        <f t="shared" si="12"/>
        <v>6.0352367827411157E-9</v>
      </c>
      <c r="CR172" s="198">
        <f t="shared" si="12"/>
        <v>1.3961532211326521E-12</v>
      </c>
      <c r="CS172" s="198">
        <f t="shared" si="12"/>
        <v>4.2352858445898946E-3</v>
      </c>
      <c r="CT172" s="198">
        <f t="shared" si="12"/>
        <v>2.1499235416054972E-13</v>
      </c>
      <c r="CU172" s="198">
        <f t="shared" si="12"/>
        <v>5.4849317140445602E-8</v>
      </c>
      <c r="CV172" s="198">
        <f t="shared" ref="CV172:EA172" si="13">CV168/SUM($D$168:$FB$168)</f>
        <v>5.6026156327919781E-12</v>
      </c>
      <c r="CW172" s="198">
        <f t="shared" si="13"/>
        <v>0.12705972571536264</v>
      </c>
      <c r="CX172" s="198">
        <f t="shared" si="13"/>
        <v>8.9312757161629303E-18</v>
      </c>
      <c r="CY172" s="198">
        <f t="shared" si="13"/>
        <v>1.1593180459024447E-9</v>
      </c>
      <c r="CZ172" s="198">
        <f t="shared" si="13"/>
        <v>2.5753238751073041E-13</v>
      </c>
      <c r="DA172" s="198">
        <f t="shared" si="13"/>
        <v>4.0848769467749103E-2</v>
      </c>
      <c r="DB172" s="198">
        <f t="shared" si="13"/>
        <v>6.7127964128075652E-29</v>
      </c>
      <c r="DC172" s="198">
        <f t="shared" si="13"/>
        <v>1.6055752102004093E-15</v>
      </c>
      <c r="DD172" s="198">
        <f t="shared" si="13"/>
        <v>2.137838926959218E-16</v>
      </c>
      <c r="DE172" s="198">
        <f t="shared" si="13"/>
        <v>1.0954886925076667E-2</v>
      </c>
      <c r="DF172" s="198">
        <f t="shared" si="13"/>
        <v>3.5125365839401134E-14</v>
      </c>
      <c r="DG172" s="198">
        <f t="shared" si="13"/>
        <v>6.5529253043464512E-8</v>
      </c>
      <c r="DH172" s="198">
        <f t="shared" si="13"/>
        <v>6.2605976696108811E-11</v>
      </c>
      <c r="DI172" s="198">
        <f t="shared" si="13"/>
        <v>7.588463477670881E-25</v>
      </c>
      <c r="DJ172" s="198">
        <f t="shared" si="13"/>
        <v>3.0371355300053046E-12</v>
      </c>
      <c r="DK172" s="198">
        <f t="shared" si="13"/>
        <v>1.4999407299050739E-7</v>
      </c>
      <c r="DL172" s="198">
        <f t="shared" si="13"/>
        <v>3.4331628830674415E-14</v>
      </c>
      <c r="DM172" s="198">
        <f t="shared" si="13"/>
        <v>2.056840626144971E-13</v>
      </c>
      <c r="DN172" s="198">
        <f t="shared" si="13"/>
        <v>2.1418721750117402E-9</v>
      </c>
      <c r="DO172" s="198">
        <f t="shared" si="13"/>
        <v>3.4331618531185766E-14</v>
      </c>
      <c r="DP172" s="198">
        <f t="shared" si="13"/>
        <v>3.3955201172649946E-3</v>
      </c>
      <c r="DQ172" s="198">
        <f t="shared" si="13"/>
        <v>2.042950928138396E-15</v>
      </c>
      <c r="DR172" s="198">
        <f t="shared" si="13"/>
        <v>1.1422402601429359E-8</v>
      </c>
      <c r="DS172" s="198">
        <f t="shared" si="13"/>
        <v>7.0967167704944771E-14</v>
      </c>
      <c r="DT172" s="198">
        <f t="shared" si="13"/>
        <v>8.3596829761714536E-2</v>
      </c>
      <c r="DU172" s="198">
        <f t="shared" si="13"/>
        <v>9.9355907538127326E-20</v>
      </c>
      <c r="DV172" s="198">
        <f t="shared" si="13"/>
        <v>2.6087780960643341E-10</v>
      </c>
      <c r="DW172" s="198">
        <f t="shared" si="13"/>
        <v>3.3826253585833545E-15</v>
      </c>
      <c r="DX172" s="198">
        <f t="shared" si="13"/>
        <v>2.6875767343406316E-2</v>
      </c>
      <c r="DY172" s="198">
        <f t="shared" si="13"/>
        <v>7.595382730723284E-31</v>
      </c>
      <c r="DZ172" s="198">
        <f t="shared" si="13"/>
        <v>3.6129770037438825E-16</v>
      </c>
      <c r="EA172" s="198">
        <f t="shared" si="13"/>
        <v>2.8079995049777083E-18</v>
      </c>
      <c r="EB172" s="198">
        <f t="shared" ref="EB172:FB172" si="14">EB168/SUM($D$168:$FB$168)</f>
        <v>1.4721423104331491E-3</v>
      </c>
      <c r="EC172" s="198">
        <f t="shared" si="14"/>
        <v>2.0867402753336434E-16</v>
      </c>
      <c r="ED172" s="198">
        <f t="shared" si="14"/>
        <v>7.8458898487528383E-9</v>
      </c>
      <c r="EE172" s="198">
        <f t="shared" si="14"/>
        <v>3.8672103094203207E-13</v>
      </c>
      <c r="EF172" s="198">
        <f t="shared" si="14"/>
        <v>3.886836722730655E-22</v>
      </c>
      <c r="EG172" s="198">
        <f t="shared" si="14"/>
        <v>4.9105680139306567E-12</v>
      </c>
      <c r="EH172" s="198">
        <f t="shared" si="14"/>
        <v>2.2543732673676847E-7</v>
      </c>
      <c r="EI172" s="198">
        <f t="shared" si="14"/>
        <v>1.225551515751179E-14</v>
      </c>
      <c r="EJ172" s="198">
        <f t="shared" si="14"/>
        <v>1.2718026196179912E-13</v>
      </c>
      <c r="EK172" s="198">
        <f t="shared" si="14"/>
        <v>1.3356415694238599E-9</v>
      </c>
      <c r="EL172" s="198">
        <f t="shared" si="14"/>
        <v>1.2255511480857244E-14</v>
      </c>
      <c r="EM172" s="198">
        <f t="shared" si="14"/>
        <v>9.7564804015159053E-3</v>
      </c>
      <c r="EN172" s="198">
        <f t="shared" si="14"/>
        <v>4.4320899084597055E-15</v>
      </c>
      <c r="EO172" s="198">
        <f t="shared" si="14"/>
        <v>2.6544012992766772E-8</v>
      </c>
      <c r="EP172" s="198">
        <f t="shared" si="14"/>
        <v>1.1430790254862608E-13</v>
      </c>
      <c r="EQ172" s="198">
        <f t="shared" si="14"/>
        <v>0.31429098515457887</v>
      </c>
      <c r="ER172" s="198">
        <f t="shared" si="14"/>
        <v>1.6067507538025179E-19</v>
      </c>
      <c r="ES172" s="198">
        <f t="shared" si="14"/>
        <v>5.1208573150377883E-10</v>
      </c>
      <c r="ET172" s="198">
        <f t="shared" si="14"/>
        <v>5.0717158886554705E-15</v>
      </c>
      <c r="EU172" s="198">
        <f t="shared" si="14"/>
        <v>0.10104224549120593</v>
      </c>
      <c r="EV172" s="198">
        <f t="shared" si="14"/>
        <v>1.1956192211776133E-30</v>
      </c>
      <c r="EW172" s="198">
        <f t="shared" si="14"/>
        <v>7.0920332669701332E-16</v>
      </c>
      <c r="EX172" s="198">
        <f t="shared" si="14"/>
        <v>4.2101548989293572E-18</v>
      </c>
      <c r="EY172" s="198">
        <f t="shared" si="14"/>
        <v>2.1340161647304353E-3</v>
      </c>
      <c r="EZ172" s="198">
        <f t="shared" si="14"/>
        <v>3.2149910246253025E-16</v>
      </c>
      <c r="FA172" s="198">
        <f t="shared" si="14"/>
        <v>1.4647908196687154E-8</v>
      </c>
      <c r="FB172" s="387">
        <f t="shared" si="14"/>
        <v>5.7801295637494372E-13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4061</v>
      </c>
      <c r="C175" s="194" t="s">
        <v>4062</v>
      </c>
      <c r="D175" s="187" t="s">
        <v>3745</v>
      </c>
      <c r="E175" s="187" t="s">
        <v>3746</v>
      </c>
      <c r="F175" s="187" t="s">
        <v>3747</v>
      </c>
      <c r="G175" s="187" t="s">
        <v>3748</v>
      </c>
      <c r="H175" s="187" t="s">
        <v>3749</v>
      </c>
      <c r="I175" s="187" t="s">
        <v>3750</v>
      </c>
      <c r="J175" s="187" t="s">
        <v>3751</v>
      </c>
      <c r="K175" s="187" t="s">
        <v>3752</v>
      </c>
      <c r="L175" s="187" t="s">
        <v>3753</v>
      </c>
      <c r="M175" s="187" t="s">
        <v>3754</v>
      </c>
      <c r="N175" s="187" t="s">
        <v>3755</v>
      </c>
      <c r="O175" s="187" t="s">
        <v>3756</v>
      </c>
      <c r="P175" s="187" t="s">
        <v>3757</v>
      </c>
      <c r="Q175" s="187" t="s">
        <v>3758</v>
      </c>
      <c r="R175" s="187" t="s">
        <v>3759</v>
      </c>
      <c r="S175" s="187" t="s">
        <v>3760</v>
      </c>
      <c r="T175" s="187" t="s">
        <v>3761</v>
      </c>
      <c r="U175" s="187" t="s">
        <v>3762</v>
      </c>
      <c r="V175" s="187" t="s">
        <v>3763</v>
      </c>
      <c r="W175" s="187" t="s">
        <v>3764</v>
      </c>
      <c r="X175" s="187" t="s">
        <v>3765</v>
      </c>
      <c r="Y175" s="187" t="s">
        <v>3766</v>
      </c>
      <c r="Z175" s="187" t="s">
        <v>3767</v>
      </c>
      <c r="AA175" s="187" t="s">
        <v>3768</v>
      </c>
      <c r="AB175" s="187" t="s">
        <v>3769</v>
      </c>
      <c r="AC175" s="187" t="s">
        <v>3770</v>
      </c>
      <c r="AD175" s="187" t="s">
        <v>3771</v>
      </c>
      <c r="AE175" s="187" t="s">
        <v>3772</v>
      </c>
      <c r="AF175" s="187" t="s">
        <v>3773</v>
      </c>
      <c r="AG175" s="187" t="s">
        <v>3774</v>
      </c>
      <c r="AH175" s="187" t="s">
        <v>3775</v>
      </c>
      <c r="AI175" s="187" t="s">
        <v>3776</v>
      </c>
      <c r="AJ175" s="187" t="s">
        <v>3777</v>
      </c>
      <c r="AK175" s="187" t="s">
        <v>3778</v>
      </c>
      <c r="AL175" s="187" t="s">
        <v>3779</v>
      </c>
      <c r="AM175" s="187" t="s">
        <v>3780</v>
      </c>
      <c r="AN175" s="187" t="s">
        <v>3781</v>
      </c>
      <c r="AO175" s="187" t="s">
        <v>3782</v>
      </c>
      <c r="AP175" s="187" t="s">
        <v>3783</v>
      </c>
      <c r="AQ175" s="187" t="s">
        <v>3784</v>
      </c>
      <c r="AR175" s="187" t="s">
        <v>3785</v>
      </c>
      <c r="AS175" s="187" t="s">
        <v>3786</v>
      </c>
      <c r="AT175" s="187" t="s">
        <v>3787</v>
      </c>
      <c r="AU175" s="187" t="s">
        <v>3788</v>
      </c>
      <c r="AV175" s="187" t="s">
        <v>3789</v>
      </c>
      <c r="AW175" s="187" t="s">
        <v>3790</v>
      </c>
      <c r="AX175" s="187" t="s">
        <v>3791</v>
      </c>
      <c r="AY175" s="187" t="s">
        <v>3792</v>
      </c>
      <c r="AZ175" s="187" t="s">
        <v>3793</v>
      </c>
      <c r="BA175" s="187" t="s">
        <v>3794</v>
      </c>
      <c r="BB175" s="187" t="s">
        <v>3795</v>
      </c>
      <c r="BC175" s="187" t="s">
        <v>3796</v>
      </c>
      <c r="BD175" s="187" t="s">
        <v>3797</v>
      </c>
      <c r="BE175" s="187" t="s">
        <v>3798</v>
      </c>
      <c r="BF175" s="187" t="s">
        <v>3799</v>
      </c>
      <c r="BG175" s="187" t="s">
        <v>3800</v>
      </c>
      <c r="BH175" s="187" t="s">
        <v>3801</v>
      </c>
      <c r="BI175" s="187" t="s">
        <v>3802</v>
      </c>
      <c r="BJ175" s="187" t="s">
        <v>3803</v>
      </c>
      <c r="BK175" s="187" t="s">
        <v>3804</v>
      </c>
      <c r="BL175" s="187" t="s">
        <v>3805</v>
      </c>
      <c r="BM175" s="187" t="s">
        <v>3806</v>
      </c>
      <c r="BN175" s="187" t="s">
        <v>3807</v>
      </c>
      <c r="BO175" s="187" t="s">
        <v>3808</v>
      </c>
      <c r="BP175" s="187" t="s">
        <v>3809</v>
      </c>
      <c r="BQ175" s="187" t="s">
        <v>3810</v>
      </c>
      <c r="BR175" s="187" t="s">
        <v>3811</v>
      </c>
      <c r="BS175" s="187" t="s">
        <v>3812</v>
      </c>
      <c r="BT175" s="187" t="s">
        <v>3813</v>
      </c>
      <c r="BU175" s="187" t="s">
        <v>3814</v>
      </c>
      <c r="BV175" s="187" t="s">
        <v>3815</v>
      </c>
      <c r="BW175" s="187" t="s">
        <v>3816</v>
      </c>
      <c r="BX175" s="187" t="s">
        <v>3817</v>
      </c>
      <c r="BY175" s="187" t="s">
        <v>3818</v>
      </c>
      <c r="BZ175" s="187" t="s">
        <v>3819</v>
      </c>
      <c r="CA175" s="187" t="s">
        <v>3820</v>
      </c>
      <c r="CB175" s="187" t="s">
        <v>3821</v>
      </c>
      <c r="CC175" s="187" t="s">
        <v>3822</v>
      </c>
      <c r="CD175" s="187" t="s">
        <v>3823</v>
      </c>
      <c r="CE175" s="187" t="s">
        <v>3824</v>
      </c>
      <c r="CF175" s="187" t="s">
        <v>3825</v>
      </c>
      <c r="CG175" s="187" t="s">
        <v>3826</v>
      </c>
      <c r="CH175" s="187" t="s">
        <v>3827</v>
      </c>
      <c r="CI175" s="187" t="s">
        <v>3828</v>
      </c>
      <c r="CJ175" s="187" t="s">
        <v>3829</v>
      </c>
      <c r="CK175" s="187" t="s">
        <v>3830</v>
      </c>
      <c r="CL175" s="187" t="s">
        <v>3831</v>
      </c>
      <c r="CM175" s="187" t="s">
        <v>3832</v>
      </c>
      <c r="CN175" s="187" t="s">
        <v>3833</v>
      </c>
      <c r="CO175" s="187" t="s">
        <v>3834</v>
      </c>
      <c r="CP175" s="187" t="s">
        <v>3835</v>
      </c>
      <c r="CQ175" s="187" t="s">
        <v>3836</v>
      </c>
      <c r="CR175" s="187" t="s">
        <v>3837</v>
      </c>
      <c r="CS175" s="187" t="s">
        <v>3838</v>
      </c>
      <c r="CT175" s="187" t="s">
        <v>3839</v>
      </c>
      <c r="CU175" s="187" t="s">
        <v>3840</v>
      </c>
      <c r="CV175" s="187" t="s">
        <v>3841</v>
      </c>
      <c r="CW175" s="187" t="s">
        <v>3842</v>
      </c>
      <c r="CX175" s="187" t="s">
        <v>3843</v>
      </c>
      <c r="CY175" s="187" t="s">
        <v>3844</v>
      </c>
      <c r="CZ175" s="187" t="s">
        <v>3845</v>
      </c>
      <c r="DA175" s="187" t="s">
        <v>3846</v>
      </c>
      <c r="DB175" s="187" t="s">
        <v>3847</v>
      </c>
      <c r="DC175" s="187" t="s">
        <v>3848</v>
      </c>
      <c r="DD175" s="187" t="s">
        <v>3849</v>
      </c>
      <c r="DE175" s="187" t="s">
        <v>3850</v>
      </c>
      <c r="DF175" s="187" t="s">
        <v>3851</v>
      </c>
      <c r="DG175" s="187" t="s">
        <v>3852</v>
      </c>
      <c r="DH175" s="187" t="s">
        <v>3853</v>
      </c>
      <c r="DI175" s="187" t="s">
        <v>3854</v>
      </c>
      <c r="DJ175" s="187" t="s">
        <v>3855</v>
      </c>
      <c r="DK175" s="187" t="s">
        <v>3856</v>
      </c>
      <c r="DL175" s="187" t="s">
        <v>3857</v>
      </c>
      <c r="DM175" s="187" t="s">
        <v>3858</v>
      </c>
      <c r="DN175" s="187" t="s">
        <v>3859</v>
      </c>
      <c r="DO175" s="187" t="s">
        <v>3860</v>
      </c>
      <c r="DP175" s="187" t="s">
        <v>3861</v>
      </c>
      <c r="DQ175" s="187" t="s">
        <v>3862</v>
      </c>
      <c r="DR175" s="187" t="s">
        <v>3863</v>
      </c>
      <c r="DS175" s="187" t="s">
        <v>3864</v>
      </c>
      <c r="DT175" s="187" t="s">
        <v>3865</v>
      </c>
      <c r="DU175" s="187" t="s">
        <v>3866</v>
      </c>
      <c r="DV175" s="187" t="s">
        <v>3867</v>
      </c>
      <c r="DW175" s="187" t="s">
        <v>3868</v>
      </c>
      <c r="DX175" s="187" t="s">
        <v>3869</v>
      </c>
      <c r="DY175" s="187" t="s">
        <v>3870</v>
      </c>
      <c r="DZ175" s="187" t="s">
        <v>3871</v>
      </c>
      <c r="EA175" s="187" t="s">
        <v>3872</v>
      </c>
      <c r="EB175" s="187" t="s">
        <v>3873</v>
      </c>
      <c r="EC175" s="187" t="s">
        <v>3874</v>
      </c>
      <c r="ED175" s="187" t="s">
        <v>3875</v>
      </c>
      <c r="EE175" s="187" t="s">
        <v>3876</v>
      </c>
      <c r="EF175" s="187" t="s">
        <v>3877</v>
      </c>
      <c r="EG175" s="187" t="s">
        <v>3878</v>
      </c>
      <c r="EH175" s="187" t="s">
        <v>3879</v>
      </c>
      <c r="EI175" s="187" t="s">
        <v>3880</v>
      </c>
      <c r="EJ175" s="187" t="s">
        <v>3881</v>
      </c>
      <c r="EK175" s="187" t="s">
        <v>3882</v>
      </c>
      <c r="EL175" s="187" t="s">
        <v>3883</v>
      </c>
      <c r="EM175" s="187" t="s">
        <v>3884</v>
      </c>
      <c r="EN175" s="187" t="s">
        <v>3885</v>
      </c>
      <c r="EO175" s="187" t="s">
        <v>3886</v>
      </c>
      <c r="EP175" s="187" t="s">
        <v>3887</v>
      </c>
      <c r="EQ175" s="187" t="s">
        <v>3888</v>
      </c>
      <c r="ER175" s="187" t="s">
        <v>3889</v>
      </c>
      <c r="ES175" s="187" t="s">
        <v>3890</v>
      </c>
      <c r="ET175" s="187" t="s">
        <v>3891</v>
      </c>
      <c r="EU175" s="187" t="s">
        <v>3892</v>
      </c>
      <c r="EV175" s="187" t="s">
        <v>3893</v>
      </c>
      <c r="EW175" s="187" t="s">
        <v>3894</v>
      </c>
      <c r="EX175" s="187" t="s">
        <v>3895</v>
      </c>
      <c r="EY175" s="187" t="s">
        <v>3896</v>
      </c>
      <c r="EZ175" s="187" t="s">
        <v>3897</v>
      </c>
      <c r="FA175" s="187" t="s">
        <v>3898</v>
      </c>
      <c r="FB175" s="194" t="s">
        <v>3899</v>
      </c>
    </row>
    <row r="176" spans="2:160" ht="12.75" customHeight="1" x14ac:dyDescent="0.3">
      <c r="B176" s="188" t="s">
        <v>3900</v>
      </c>
      <c r="C176" s="201">
        <f t="array" ref="C176:C330">TRANSPOSE(D5:FB5)</f>
        <v>0</v>
      </c>
      <c r="D176" s="189">
        <f>C176+SUM(E176:FB176)-SUM(D177:D330)-D331</f>
        <v>-6.2265935763056569E-35</v>
      </c>
      <c r="E176" s="184">
        <f t="shared" ref="E176:AJ176" si="15">E9*E$168</f>
        <v>0</v>
      </c>
      <c r="F176" s="184">
        <f t="shared" si="15"/>
        <v>0</v>
      </c>
      <c r="G176" s="184">
        <f t="shared" si="15"/>
        <v>0</v>
      </c>
      <c r="H176" s="184">
        <f t="shared" si="15"/>
        <v>0</v>
      </c>
      <c r="I176" s="184">
        <f t="shared" si="15"/>
        <v>0</v>
      </c>
      <c r="J176" s="184">
        <f t="shared" si="15"/>
        <v>0</v>
      </c>
      <c r="K176" s="184">
        <f t="shared" si="15"/>
        <v>9.3032936187437815E-21</v>
      </c>
      <c r="L176" s="184">
        <f t="shared" si="15"/>
        <v>0</v>
      </c>
      <c r="M176" s="184">
        <f t="shared" si="15"/>
        <v>0</v>
      </c>
      <c r="N176" s="184">
        <f t="shared" si="15"/>
        <v>0</v>
      </c>
      <c r="O176" s="184">
        <f t="shared" si="15"/>
        <v>6.1551375459807745E-20</v>
      </c>
      <c r="P176" s="184">
        <f t="shared" si="15"/>
        <v>0</v>
      </c>
      <c r="Q176" s="184">
        <f t="shared" si="15"/>
        <v>0</v>
      </c>
      <c r="R176" s="184">
        <f t="shared" si="15"/>
        <v>0</v>
      </c>
      <c r="S176" s="184">
        <f t="shared" si="15"/>
        <v>3.4179165402881769E-21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3.4369223337650955E-20</v>
      </c>
      <c r="AJ176" s="184">
        <f t="shared" si="15"/>
        <v>0</v>
      </c>
      <c r="AK176" s="184">
        <f t="shared" ref="AK176:BP176" si="16">AK9*AK$168</f>
        <v>0</v>
      </c>
      <c r="AL176" s="184">
        <f t="shared" si="16"/>
        <v>0</v>
      </c>
      <c r="AM176" s="184">
        <f t="shared" si="16"/>
        <v>1.1320427557416095E-18</v>
      </c>
      <c r="AN176" s="184">
        <f t="shared" si="16"/>
        <v>0</v>
      </c>
      <c r="AO176" s="184">
        <f t="shared" si="16"/>
        <v>0</v>
      </c>
      <c r="AP176" s="184">
        <f t="shared" si="16"/>
        <v>0</v>
      </c>
      <c r="AQ176" s="184">
        <f t="shared" si="16"/>
        <v>1.2729334776101168E-20</v>
      </c>
      <c r="AR176" s="184">
        <f t="shared" si="16"/>
        <v>0</v>
      </c>
      <c r="AS176" s="184">
        <f t="shared" si="16"/>
        <v>0</v>
      </c>
      <c r="AT176" s="184">
        <f t="shared" si="16"/>
        <v>0</v>
      </c>
      <c r="AU176" s="184">
        <f t="shared" si="16"/>
        <v>9.9749486997344395E-20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3901</v>
      </c>
      <c r="C177" s="201">
        <v>2.9396302942212462</v>
      </c>
      <c r="D177" s="190">
        <f t="shared" ref="D177:D208" si="20">D10*D$168</f>
        <v>0</v>
      </c>
      <c r="E177" s="189">
        <f>$C177+SUM($D177:D177,F177:$FB177)-SUM(E$176:E176,E178:E$330)-E$331</f>
        <v>-4.4204955451307426E-17</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3.4549198825724802E-3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3902</v>
      </c>
      <c r="C178" s="201">
        <v>0</v>
      </c>
      <c r="D178" s="190">
        <f t="shared" si="20"/>
        <v>0</v>
      </c>
      <c r="E178" s="190">
        <f t="shared" ref="E178:E209" si="26">E11*E$168</f>
        <v>2.1643525282483882</v>
      </c>
      <c r="F178" s="189">
        <f>$C178+SUM($D178:E178,G178:$FB178)-SUM(F$176:F177,F179:F$330)-F$331</f>
        <v>-4.1825809309059547E-16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0.33606073921439233</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3903</v>
      </c>
      <c r="C179" s="201">
        <v>0</v>
      </c>
      <c r="D179" s="190">
        <f t="shared" si="20"/>
        <v>0</v>
      </c>
      <c r="E179" s="190">
        <f t="shared" si="26"/>
        <v>8.562291099299648E-3</v>
      </c>
      <c r="F179" s="184">
        <f t="shared" ref="F179:F210" si="32">F12*F$168</f>
        <v>0</v>
      </c>
      <c r="G179" s="189">
        <f>$C179+SUM($D179:F179,H179:$FB179)-SUM(G$176:G178,G180:G$330)-G$331</f>
        <v>-1.5974710512971083E-18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1.0674811828440582E-5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3904</v>
      </c>
      <c r="C180" s="201">
        <v>0</v>
      </c>
      <c r="D180" s="190">
        <f t="shared" si="20"/>
        <v>0</v>
      </c>
      <c r="E180" s="190">
        <f t="shared" si="26"/>
        <v>5.4032570634447184E-2</v>
      </c>
      <c r="F180" s="190">
        <f t="shared" si="32"/>
        <v>0</v>
      </c>
      <c r="G180" s="190">
        <f t="shared" ref="G180:G211" si="38">G13*G$168</f>
        <v>0</v>
      </c>
      <c r="H180" s="189">
        <f>$C180+SUM($D180:G180,I180:$FB180)-SUM(H$176:H179,H181:H$330)-H$331</f>
        <v>1.3877787807814457E-17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3905</v>
      </c>
      <c r="C181" s="201">
        <v>0</v>
      </c>
      <c r="D181" s="190">
        <f t="shared" si="20"/>
        <v>0</v>
      </c>
      <c r="E181" s="190">
        <f t="shared" si="26"/>
        <v>0</v>
      </c>
      <c r="F181" s="190">
        <f t="shared" si="32"/>
        <v>4.415045446561694E-2</v>
      </c>
      <c r="G181" s="190">
        <f t="shared" si="38"/>
        <v>0</v>
      </c>
      <c r="H181" s="190">
        <f t="shared" ref="H181:H212" si="44">H14*H$168</f>
        <v>0</v>
      </c>
      <c r="I181" s="189">
        <f>$C181+SUM($D181:H181,J181:$FB181)-SUM(I$176:I180,I182:I$330)-I$331</f>
        <v>6.9388939039072284E-18</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3906</v>
      </c>
      <c r="C182" s="201">
        <v>0</v>
      </c>
      <c r="D182" s="190">
        <f t="shared" si="20"/>
        <v>0</v>
      </c>
      <c r="E182" s="190">
        <f t="shared" si="26"/>
        <v>0</v>
      </c>
      <c r="F182" s="190">
        <f t="shared" si="32"/>
        <v>0</v>
      </c>
      <c r="G182" s="190">
        <f t="shared" si="38"/>
        <v>7.5146239353776102E-3</v>
      </c>
      <c r="H182" s="190">
        <f t="shared" si="44"/>
        <v>0</v>
      </c>
      <c r="I182" s="184">
        <f t="shared" ref="I182:I213" si="50">I15*I$168</f>
        <v>0</v>
      </c>
      <c r="J182" s="189">
        <f>$C182+SUM($D182:I182,K182:$FB182)-SUM(J$176:J181,J183:J$330)-J$331</f>
        <v>2.6020852139652106E-18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3907</v>
      </c>
      <c r="C183" s="201">
        <v>0</v>
      </c>
      <c r="D183" s="190">
        <f t="shared" si="20"/>
        <v>1.4199185887012938E-21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4.8123776818357313E-17</v>
      </c>
      <c r="L183" s="184">
        <f t="shared" ref="L183:AQ183" si="57">L16*L$168</f>
        <v>2.4733189001209283E-7</v>
      </c>
      <c r="M183" s="184">
        <f t="shared" si="57"/>
        <v>4.6736186979808754E-3</v>
      </c>
      <c r="N183" s="184">
        <f t="shared" si="57"/>
        <v>8.1078049628914705E-6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7.8935947366793099E-3</v>
      </c>
      <c r="AJ183" s="184">
        <f t="shared" si="57"/>
        <v>0</v>
      </c>
      <c r="AK183" s="184">
        <f t="shared" si="57"/>
        <v>0</v>
      </c>
      <c r="AL183" s="184">
        <f t="shared" si="57"/>
        <v>0</v>
      </c>
      <c r="AM183" s="184">
        <f t="shared" si="57"/>
        <v>0.25999676078303419</v>
      </c>
      <c r="AN183" s="184">
        <f t="shared" si="57"/>
        <v>0</v>
      </c>
      <c r="AO183" s="184">
        <f t="shared" si="57"/>
        <v>0</v>
      </c>
      <c r="AP183" s="184">
        <f t="shared" si="57"/>
        <v>0</v>
      </c>
      <c r="AQ183" s="184">
        <f t="shared" si="57"/>
        <v>2.9235519523650843E-3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3908</v>
      </c>
      <c r="C184" s="201">
        <v>0</v>
      </c>
      <c r="D184" s="190">
        <f t="shared" si="20"/>
        <v>0</v>
      </c>
      <c r="E184" s="190">
        <f t="shared" si="26"/>
        <v>8.5595214207517909E-4</v>
      </c>
      <c r="F184" s="190">
        <f t="shared" si="32"/>
        <v>0</v>
      </c>
      <c r="G184" s="190">
        <f t="shared" si="38"/>
        <v>0</v>
      </c>
      <c r="H184" s="190">
        <f t="shared" si="44"/>
        <v>1.3449301596371029E-4</v>
      </c>
      <c r="I184" s="184">
        <f t="shared" si="50"/>
        <v>0</v>
      </c>
      <c r="J184" s="190">
        <f t="shared" si="56"/>
        <v>0</v>
      </c>
      <c r="K184" s="190">
        <f t="shared" ref="K184:K215" si="62">K17*K$168</f>
        <v>0</v>
      </c>
      <c r="L184" s="189">
        <f>$C184+SUM($D184:K184,M184:$FB184)-SUM(L$176:L183,L185:L$330)-L$331</f>
        <v>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2.4562539172509809E-8</v>
      </c>
      <c r="AK184" s="184">
        <f t="shared" si="63"/>
        <v>0</v>
      </c>
      <c r="AL184" s="184">
        <f t="shared" si="63"/>
        <v>0</v>
      </c>
      <c r="AM184" s="184">
        <f t="shared" si="63"/>
        <v>0</v>
      </c>
      <c r="AN184" s="184">
        <f t="shared" si="63"/>
        <v>8.5314177776490269E-7</v>
      </c>
      <c r="AO184" s="184">
        <f t="shared" si="63"/>
        <v>0</v>
      </c>
      <c r="AP184" s="184">
        <f t="shared" si="63"/>
        <v>0</v>
      </c>
      <c r="AQ184" s="184">
        <f t="shared" si="63"/>
        <v>0</v>
      </c>
      <c r="AR184" s="184">
        <f t="shared" si="63"/>
        <v>1.6170826850167267E-8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3909</v>
      </c>
      <c r="C185" s="201">
        <v>0</v>
      </c>
      <c r="D185" s="190">
        <f t="shared" si="20"/>
        <v>0</v>
      </c>
      <c r="E185" s="190">
        <f t="shared" si="26"/>
        <v>0</v>
      </c>
      <c r="F185" s="190">
        <f t="shared" si="32"/>
        <v>7.8762585698572308E-4</v>
      </c>
      <c r="G185" s="190">
        <f t="shared" si="38"/>
        <v>0</v>
      </c>
      <c r="H185" s="190">
        <f t="shared" si="44"/>
        <v>0</v>
      </c>
      <c r="I185" s="184">
        <f t="shared" si="50"/>
        <v>1.0989534104201398E-4</v>
      </c>
      <c r="J185" s="190">
        <f t="shared" si="56"/>
        <v>0</v>
      </c>
      <c r="K185" s="190">
        <f t="shared" si="62"/>
        <v>0</v>
      </c>
      <c r="L185" s="190">
        <f t="shared" ref="L185:L216" si="68">L18*L$168</f>
        <v>9.8379130906552786E-4</v>
      </c>
      <c r="M185" s="189">
        <f>$C185+SUM($D185:L185,N185:$FB185)-SUM(M$176:M184,M186:M$330)-M$331</f>
        <v>2.6020852139652106E-18</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1.8765861098755409E-4</v>
      </c>
      <c r="AL185" s="184">
        <f t="shared" si="69"/>
        <v>0</v>
      </c>
      <c r="AM185" s="184">
        <f t="shared" si="69"/>
        <v>0</v>
      </c>
      <c r="AN185" s="184">
        <f t="shared" si="69"/>
        <v>0</v>
      </c>
      <c r="AO185" s="184">
        <f t="shared" si="69"/>
        <v>2.6374003288475536E-3</v>
      </c>
      <c r="AP185" s="184">
        <f t="shared" si="69"/>
        <v>0</v>
      </c>
      <c r="AQ185" s="184">
        <f t="shared" si="69"/>
        <v>0</v>
      </c>
      <c r="AR185" s="184">
        <f t="shared" si="69"/>
        <v>0</v>
      </c>
      <c r="AS185" s="184">
        <f t="shared" si="69"/>
        <v>6.9497760517136031E-5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3910</v>
      </c>
      <c r="C186" s="201">
        <v>0</v>
      </c>
      <c r="D186" s="190">
        <f t="shared" si="20"/>
        <v>0</v>
      </c>
      <c r="E186" s="190">
        <f t="shared" si="26"/>
        <v>0</v>
      </c>
      <c r="F186" s="190">
        <f t="shared" si="32"/>
        <v>0</v>
      </c>
      <c r="G186" s="190">
        <f t="shared" si="38"/>
        <v>2.5280246607023606E-7</v>
      </c>
      <c r="H186" s="190">
        <f t="shared" si="44"/>
        <v>0</v>
      </c>
      <c r="I186" s="184">
        <f t="shared" si="50"/>
        <v>0</v>
      </c>
      <c r="J186" s="190">
        <f t="shared" si="56"/>
        <v>1.8704726150076876E-5</v>
      </c>
      <c r="K186" s="190">
        <f t="shared" si="62"/>
        <v>0</v>
      </c>
      <c r="L186" s="190">
        <f t="shared" si="68"/>
        <v>7.2958907332861693E-6</v>
      </c>
      <c r="M186" s="190">
        <f t="shared" ref="M186:M217" si="74">M19*M$168</f>
        <v>0</v>
      </c>
      <c r="N186" s="189">
        <f>$C186+SUM($D186:M186,O186:$FB186)-SUM(N$176:N185,N187:N$330)-N$331</f>
        <v>-3.3881317890172014E-21</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5.5578557916209478E-9</v>
      </c>
      <c r="AM186" s="184">
        <f t="shared" si="75"/>
        <v>0</v>
      </c>
      <c r="AN186" s="184">
        <f t="shared" si="75"/>
        <v>0</v>
      </c>
      <c r="AO186" s="184">
        <f t="shared" si="75"/>
        <v>0</v>
      </c>
      <c r="AP186" s="184">
        <f t="shared" si="75"/>
        <v>5.870898531105516E-8</v>
      </c>
      <c r="AQ186" s="184">
        <f t="shared" si="75"/>
        <v>0</v>
      </c>
      <c r="AR186" s="184">
        <f t="shared" si="75"/>
        <v>0</v>
      </c>
      <c r="AS186" s="184">
        <f t="shared" si="75"/>
        <v>0</v>
      </c>
      <c r="AT186" s="184">
        <f t="shared" si="75"/>
        <v>2.0582367726853459E-9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3911</v>
      </c>
      <c r="C187" s="201">
        <v>0</v>
      </c>
      <c r="D187" s="190">
        <f t="shared" si="20"/>
        <v>1.5619104475714234E-20</v>
      </c>
      <c r="E187" s="190">
        <f t="shared" si="26"/>
        <v>0</v>
      </c>
      <c r="F187" s="190">
        <f t="shared" si="32"/>
        <v>0</v>
      </c>
      <c r="G187" s="190">
        <f t="shared" si="38"/>
        <v>0</v>
      </c>
      <c r="H187" s="190">
        <f t="shared" si="44"/>
        <v>0</v>
      </c>
      <c r="I187" s="184">
        <f t="shared" si="50"/>
        <v>0</v>
      </c>
      <c r="J187" s="190">
        <f t="shared" si="56"/>
        <v>0</v>
      </c>
      <c r="K187" s="190">
        <f t="shared" si="62"/>
        <v>4.181907170927876E-2</v>
      </c>
      <c r="L187" s="190">
        <f t="shared" si="68"/>
        <v>0</v>
      </c>
      <c r="M187" s="190">
        <f t="shared" si="74"/>
        <v>0</v>
      </c>
      <c r="N187" s="190">
        <f t="shared" ref="N187:N218" si="80">N20*N$168</f>
        <v>0</v>
      </c>
      <c r="O187" s="189">
        <f>$C187+SUM($D187:N187,P187:$FB187)-SUM(O$176:O186,O188:O$330)-O$331</f>
        <v>7.8948993677047949E-15</v>
      </c>
      <c r="P187" s="184">
        <f t="shared" ref="P187:AU187" si="81">P20*P$168</f>
        <v>2.7391602146319128E-4</v>
      </c>
      <c r="Q187" s="184">
        <f t="shared" si="81"/>
        <v>1.447872183626113</v>
      </c>
      <c r="R187" s="184">
        <f t="shared" si="81"/>
        <v>9.3918765428636104E-3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42.308277147573641</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8.6829542103472407E-2</v>
      </c>
      <c r="AJ187" s="184">
        <f t="shared" si="81"/>
        <v>0</v>
      </c>
      <c r="AK187" s="184">
        <f t="shared" si="81"/>
        <v>0</v>
      </c>
      <c r="AL187" s="184">
        <f t="shared" si="81"/>
        <v>0</v>
      </c>
      <c r="AM187" s="184">
        <f t="shared" si="81"/>
        <v>2.8599643686133769</v>
      </c>
      <c r="AN187" s="184">
        <f t="shared" si="81"/>
        <v>0</v>
      </c>
      <c r="AO187" s="184">
        <f t="shared" si="81"/>
        <v>0</v>
      </c>
      <c r="AP187" s="184">
        <f t="shared" si="81"/>
        <v>0</v>
      </c>
      <c r="AQ187" s="184">
        <f t="shared" si="81"/>
        <v>3.2159071476015925E-2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3912</v>
      </c>
      <c r="C188" s="201">
        <v>2.9396302942212462</v>
      </c>
      <c r="D188" s="190">
        <f t="shared" si="20"/>
        <v>0</v>
      </c>
      <c r="E188" s="190">
        <f t="shared" si="26"/>
        <v>9.4154735628269697E-3</v>
      </c>
      <c r="F188" s="190">
        <f t="shared" si="32"/>
        <v>0</v>
      </c>
      <c r="G188" s="190">
        <f t="shared" si="38"/>
        <v>0</v>
      </c>
      <c r="H188" s="190">
        <f t="shared" si="44"/>
        <v>1.4794231756008133E-3</v>
      </c>
      <c r="I188" s="184">
        <f t="shared" si="50"/>
        <v>0</v>
      </c>
      <c r="J188" s="190">
        <f t="shared" si="56"/>
        <v>0</v>
      </c>
      <c r="K188" s="190">
        <f t="shared" si="62"/>
        <v>0</v>
      </c>
      <c r="L188" s="190">
        <f t="shared" si="68"/>
        <v>4.4918099576708425E-9</v>
      </c>
      <c r="M188" s="190">
        <f t="shared" si="74"/>
        <v>0</v>
      </c>
      <c r="N188" s="190">
        <f t="shared" si="80"/>
        <v>0</v>
      </c>
      <c r="O188" s="190">
        <f t="shared" ref="O188:O219" si="86">O21*O$168</f>
        <v>0</v>
      </c>
      <c r="P188" s="189">
        <f>$C188+SUM($D188:O188,Q188:$FB188)-SUM(P$176:P187,P189:P$330)-P$331</f>
        <v>-4.4408920985006262E-16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1.5856397907329136E-12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2.7018793089760793E-7</v>
      </c>
      <c r="AK188" s="184">
        <f t="shared" si="87"/>
        <v>0</v>
      </c>
      <c r="AL188" s="184">
        <f t="shared" si="87"/>
        <v>0</v>
      </c>
      <c r="AM188" s="184">
        <f t="shared" si="87"/>
        <v>0</v>
      </c>
      <c r="AN188" s="184">
        <f t="shared" si="87"/>
        <v>9.3845595554139296E-6</v>
      </c>
      <c r="AO188" s="184">
        <f t="shared" si="87"/>
        <v>0</v>
      </c>
      <c r="AP188" s="184">
        <f t="shared" si="87"/>
        <v>0</v>
      </c>
      <c r="AQ188" s="184">
        <f t="shared" si="87"/>
        <v>0</v>
      </c>
      <c r="AR188" s="184">
        <f t="shared" si="87"/>
        <v>1.7787909535183994E-7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3913</v>
      </c>
      <c r="C189" s="201">
        <v>0</v>
      </c>
      <c r="D189" s="190">
        <f t="shared" si="20"/>
        <v>0</v>
      </c>
      <c r="E189" s="190">
        <f t="shared" si="26"/>
        <v>0</v>
      </c>
      <c r="F189" s="190">
        <f t="shared" si="32"/>
        <v>8.6638844268429552E-3</v>
      </c>
      <c r="G189" s="190">
        <f t="shared" si="38"/>
        <v>0</v>
      </c>
      <c r="H189" s="190">
        <f t="shared" si="44"/>
        <v>0</v>
      </c>
      <c r="I189" s="184">
        <f t="shared" si="50"/>
        <v>1.2088487514621538E-3</v>
      </c>
      <c r="J189" s="190">
        <f t="shared" si="56"/>
        <v>0</v>
      </c>
      <c r="K189" s="190">
        <f t="shared" si="62"/>
        <v>0</v>
      </c>
      <c r="L189" s="190">
        <f t="shared" si="68"/>
        <v>0</v>
      </c>
      <c r="M189" s="190">
        <f t="shared" si="74"/>
        <v>8.4877882123978132E-5</v>
      </c>
      <c r="N189" s="190">
        <f t="shared" si="80"/>
        <v>0</v>
      </c>
      <c r="O189" s="190">
        <f t="shared" si="86"/>
        <v>0</v>
      </c>
      <c r="P189" s="190">
        <f t="shared" ref="P189:P220" si="92">P22*P$168</f>
        <v>2.3528188557267149</v>
      </c>
      <c r="Q189" s="189">
        <f>$C189+SUM($D189:P189,R189:$FB189)-SUM(Q$176:Q188,Q190:Q$330)-Q$331</f>
        <v>-4.4408920985006262E-16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2.9470155180457869E-2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2.0642447208630951E-3</v>
      </c>
      <c r="AL189" s="184">
        <f t="shared" si="93"/>
        <v>0</v>
      </c>
      <c r="AM189" s="184">
        <f t="shared" si="93"/>
        <v>0</v>
      </c>
      <c r="AN189" s="184">
        <f t="shared" si="93"/>
        <v>0</v>
      </c>
      <c r="AO189" s="184">
        <f t="shared" si="93"/>
        <v>2.9011403617323094E-2</v>
      </c>
      <c r="AP189" s="184">
        <f t="shared" si="93"/>
        <v>0</v>
      </c>
      <c r="AQ189" s="184">
        <f t="shared" si="93"/>
        <v>0</v>
      </c>
      <c r="AR189" s="184">
        <f t="shared" si="93"/>
        <v>0</v>
      </c>
      <c r="AS189" s="184">
        <f t="shared" si="93"/>
        <v>7.6447536568849644E-4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3914</v>
      </c>
      <c r="C190" s="201">
        <v>0</v>
      </c>
      <c r="D190" s="190">
        <f t="shared" si="20"/>
        <v>0</v>
      </c>
      <c r="E190" s="190">
        <f t="shared" si="26"/>
        <v>0</v>
      </c>
      <c r="F190" s="190">
        <f t="shared" si="32"/>
        <v>0</v>
      </c>
      <c r="G190" s="190">
        <f t="shared" si="38"/>
        <v>2.7808271267725974E-6</v>
      </c>
      <c r="H190" s="190">
        <f t="shared" si="44"/>
        <v>0</v>
      </c>
      <c r="I190" s="184">
        <f t="shared" si="50"/>
        <v>0</v>
      </c>
      <c r="J190" s="190">
        <f t="shared" si="56"/>
        <v>2.0575198765084566E-4</v>
      </c>
      <c r="K190" s="190">
        <f t="shared" si="62"/>
        <v>0</v>
      </c>
      <c r="L190" s="190">
        <f t="shared" si="68"/>
        <v>0</v>
      </c>
      <c r="M190" s="190">
        <f t="shared" si="74"/>
        <v>0</v>
      </c>
      <c r="N190" s="190">
        <f t="shared" si="80"/>
        <v>1.4724635414134569E-7</v>
      </c>
      <c r="O190" s="190">
        <f t="shared" si="86"/>
        <v>0</v>
      </c>
      <c r="P190" s="190">
        <f t="shared" si="92"/>
        <v>0.59729115320226422</v>
      </c>
      <c r="Q190" s="190">
        <f t="shared" ref="Q190:Q221" si="98">Q23*Q$168</f>
        <v>0</v>
      </c>
      <c r="R190" s="189">
        <f>$C190+SUM($D190:Q190,S190:$FB190)-SUM(R$176:R189,R191:R$330)-R$331</f>
        <v>2.2204460492503131E-16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0.11458280614583649</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6.1136413707830429E-8</v>
      </c>
      <c r="AM190" s="184">
        <f t="shared" si="99"/>
        <v>0</v>
      </c>
      <c r="AN190" s="184">
        <f t="shared" si="99"/>
        <v>0</v>
      </c>
      <c r="AO190" s="184">
        <f t="shared" si="99"/>
        <v>0</v>
      </c>
      <c r="AP190" s="184">
        <f t="shared" si="99"/>
        <v>6.4579883842160688E-7</v>
      </c>
      <c r="AQ190" s="184">
        <f t="shared" si="99"/>
        <v>0</v>
      </c>
      <c r="AR190" s="184">
        <f t="shared" si="99"/>
        <v>0</v>
      </c>
      <c r="AS190" s="184">
        <f t="shared" si="99"/>
        <v>0</v>
      </c>
      <c r="AT190" s="184">
        <f t="shared" si="99"/>
        <v>2.2640604499538809E-8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3915</v>
      </c>
      <c r="C191" s="201">
        <v>0</v>
      </c>
      <c r="D191" s="190">
        <f t="shared" si="20"/>
        <v>2.4848730606838966E-21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0.5822220436969231</v>
      </c>
      <c r="P191" s="190">
        <f t="shared" si="92"/>
        <v>0</v>
      </c>
      <c r="Q191" s="190">
        <f t="shared" si="98"/>
        <v>0</v>
      </c>
      <c r="R191" s="190">
        <f t="shared" ref="R191:R222" si="104">R24*R$168</f>
        <v>0</v>
      </c>
      <c r="S191" s="189">
        <f>$C191+SUM($D191:R191,T191:$FB191)-SUM(S$176:S190,S192:S$330)-S$331</f>
        <v>1.8026009879154583E-16</v>
      </c>
      <c r="T191" s="184">
        <f t="shared" ref="T191:AY191" si="105">T24*T$168</f>
        <v>5.7415384079371819E-6</v>
      </c>
      <c r="U191" s="184">
        <f t="shared" si="105"/>
        <v>0.71628285974397876</v>
      </c>
      <c r="V191" s="184">
        <f t="shared" si="105"/>
        <v>3.827961004123403E-3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0.77817820601803211</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1.2250056205717549E-2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3916</v>
      </c>
      <c r="C192" s="201">
        <v>0</v>
      </c>
      <c r="D192" s="190">
        <f t="shared" si="20"/>
        <v>0</v>
      </c>
      <c r="E192" s="190">
        <f t="shared" si="26"/>
        <v>1.0882638217527127E-3</v>
      </c>
      <c r="F192" s="190">
        <f t="shared" si="32"/>
        <v>0</v>
      </c>
      <c r="G192" s="190">
        <f t="shared" si="38"/>
        <v>0</v>
      </c>
      <c r="H192" s="190">
        <f t="shared" si="44"/>
        <v>2.3536424896304932E-4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1.5074563743304299E-4</v>
      </c>
      <c r="Q192" s="190">
        <f t="shared" si="98"/>
        <v>0</v>
      </c>
      <c r="R192" s="190">
        <f t="shared" si="104"/>
        <v>0</v>
      </c>
      <c r="S192" s="190">
        <f t="shared" ref="S192:S223" si="110">S25*S$168</f>
        <v>0</v>
      </c>
      <c r="T192" s="189">
        <f>$C192+SUM($D192:S192,U192:$FB192)-SUM(T$176:T191,T193:T$330)-T$331</f>
        <v>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2.2173304566549619E-17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1.7735802237858134E-10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3917</v>
      </c>
      <c r="C193" s="201">
        <v>0</v>
      </c>
      <c r="D193" s="190">
        <f t="shared" si="20"/>
        <v>0</v>
      </c>
      <c r="E193" s="190">
        <f t="shared" si="26"/>
        <v>0</v>
      </c>
      <c r="F193" s="190">
        <f t="shared" si="32"/>
        <v>1.2805333874352739E-3</v>
      </c>
      <c r="G193" s="190">
        <f t="shared" si="38"/>
        <v>0</v>
      </c>
      <c r="H193" s="190">
        <f t="shared" si="44"/>
        <v>0</v>
      </c>
      <c r="I193" s="184">
        <f t="shared" si="50"/>
        <v>1.9231804881132976E-4</v>
      </c>
      <c r="J193" s="190">
        <f t="shared" si="56"/>
        <v>0</v>
      </c>
      <c r="K193" s="190">
        <f t="shared" si="62"/>
        <v>0</v>
      </c>
      <c r="L193" s="190">
        <f t="shared" si="68"/>
        <v>0</v>
      </c>
      <c r="M193" s="190">
        <f t="shared" si="74"/>
        <v>0</v>
      </c>
      <c r="N193" s="190">
        <f t="shared" si="80"/>
        <v>0</v>
      </c>
      <c r="O193" s="190">
        <f t="shared" si="86"/>
        <v>0</v>
      </c>
      <c r="P193" s="190">
        <f t="shared" si="92"/>
        <v>0</v>
      </c>
      <c r="Q193" s="190">
        <f t="shared" si="98"/>
        <v>0.79681507520588757</v>
      </c>
      <c r="R193" s="190">
        <f t="shared" si="104"/>
        <v>0</v>
      </c>
      <c r="S193" s="190">
        <f t="shared" si="110"/>
        <v>0</v>
      </c>
      <c r="T193" s="190">
        <f t="shared" ref="T193:T224" si="116">T26*T$168</f>
        <v>1.4441128278886235E-3</v>
      </c>
      <c r="U193" s="189">
        <f>$C193+SUM($D193:T193,V193:$FB193)-SUM(U$176:U192,U194:U$330)-U$331</f>
        <v>0</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2.241856197685458E-7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1.2590007034465825E-6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3918</v>
      </c>
      <c r="C194" s="201">
        <v>0</v>
      </c>
      <c r="D194" s="190">
        <f t="shared" si="20"/>
        <v>0</v>
      </c>
      <c r="E194" s="190">
        <f t="shared" si="26"/>
        <v>0</v>
      </c>
      <c r="F194" s="190">
        <f t="shared" si="32"/>
        <v>0</v>
      </c>
      <c r="G194" s="190">
        <f t="shared" si="38"/>
        <v>4.4240708066716788E-7</v>
      </c>
      <c r="H194" s="190">
        <f t="shared" si="44"/>
        <v>0</v>
      </c>
      <c r="I194" s="184">
        <f t="shared" si="50"/>
        <v>0</v>
      </c>
      <c r="J194" s="190">
        <f t="shared" si="56"/>
        <v>3.2733475346855492E-5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5.1686805634210469E-3</v>
      </c>
      <c r="S194" s="190">
        <f t="shared" si="110"/>
        <v>0</v>
      </c>
      <c r="T194" s="190">
        <f t="shared" si="116"/>
        <v>2.3852962541897625E-5</v>
      </c>
      <c r="U194" s="190">
        <f t="shared" ref="U194:U225" si="122">U27*U$168</f>
        <v>0</v>
      </c>
      <c r="V194" s="189">
        <f>$C194+SUM($D194:U194,W194:$FB194)-SUM(V$176:V193,V195:V$330)-V$331</f>
        <v>-8.6736173798840355E-19</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7.1813443059359816E-7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3.2496693094956378E-9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3919</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0.23367680959756595</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2.6777553184373656E-16</v>
      </c>
      <c r="Y195" s="184">
        <f t="shared" si="129"/>
        <v>1.6999746690929459E-5</v>
      </c>
      <c r="Z195" s="184">
        <f t="shared" si="129"/>
        <v>1.7676963400923902E-5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3920</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9.6838932158238384E-12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2.8399616589258406E-27</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3921</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1.7372627340653345E-5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2.1300904284129756E-12</v>
      </c>
      <c r="Y197" s="189">
        <f>$C197+SUM($D197:X197,Z197:$FB197)-SUM(Y$176:Y196,Y198:Y$330)-Y$331</f>
        <v>-4.3410438546782892E-21</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3922</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1.806469311027583E-5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7.5535291383276923E-12</v>
      </c>
      <c r="Y198" s="190">
        <f t="shared" ref="Y198:Y229" si="145">Y31*Y$168</f>
        <v>0</v>
      </c>
      <c r="Z198" s="189">
        <f>$C198+SUM($D198:Y198,AA198:$FB198)-SUM(Z$176:Z197,Z199:Z$330)-Z$331</f>
        <v>-1.5881867761018131E-21</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3923</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46.204365133969283</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7.8937978706639892E-12</v>
      </c>
      <c r="AC199" s="184">
        <f t="shared" si="151"/>
        <v>0.14671140921867815</v>
      </c>
      <c r="AD199" s="184">
        <f t="shared" si="151"/>
        <v>0.57042811138753913</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3924</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3.5749177644435072E-7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-3.3221873592311471E-23</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3925</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0.17939948683947599</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1.3481042634618428E-7</v>
      </c>
      <c r="AC201" s="189">
        <f>$C201+SUM($D201:AB201,AD201:$FB201)-SUM(AC$176:AC200,AC202:AC$330)-AC$331</f>
        <v>-3.3827107781547738E-17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3926</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0.69752281187880416</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2.2267169751314313E-7</v>
      </c>
      <c r="AC202" s="190">
        <f t="shared" ref="AC202:AC233" si="165">AC35*AC$168</f>
        <v>0</v>
      </c>
      <c r="AD202" s="189">
        <f>$C202+SUM($D202:AC202,AE202:$FB202)-SUM(AD$176:AD201,AD203:AD$330)-AD$331</f>
        <v>-4.0419056990259605E-16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3927</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0.85662046802124814</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2.9434098466888678E-14</v>
      </c>
      <c r="AG203" s="184">
        <f t="shared" si="171"/>
        <v>2.9759667023572864E-4</v>
      </c>
      <c r="AH203" s="184">
        <f t="shared" si="171"/>
        <v>9.5329225642094828E-4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3928</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2.5147225366182394E-11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8.3677958298132174E-27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3929</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2.9784389958520223E-4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1.4797779315631624E-11</v>
      </c>
      <c r="AG205" s="189">
        <f>$C205+SUM($D205:AF205,AH205:$FB205)-SUM(AG$176:AG204,AG206:AG$330)-AG$331</f>
        <v>4.5623973865974794E-20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3930</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9.5408424397793584E-4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1.0319987498152417E-11</v>
      </c>
      <c r="AG206" s="190">
        <f t="shared" ref="AG206:AG237" si="185">AG39*AG$168</f>
        <v>0</v>
      </c>
      <c r="AH206" s="189">
        <f>$C206+SUM($D206:AG206,AI206:$FB206)-SUM(AH$176:AH205,AH207:AH$330)-AH$331</f>
        <v>-1.5318061455501988E-19</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3931</v>
      </c>
      <c r="C207" s="201">
        <v>0</v>
      </c>
      <c r="D207" s="190">
        <f t="shared" si="20"/>
        <v>1.5335120757970297E-19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-1.2698717945236471E-17</v>
      </c>
      <c r="AJ207" s="184">
        <f t="shared" ref="AJ207:BO207" si="191">AJ40*AJ$168</f>
        <v>1.0176638299167364E-5</v>
      </c>
      <c r="AK207" s="184">
        <f t="shared" si="191"/>
        <v>7.7749852909419506E-2</v>
      </c>
      <c r="AL207" s="184">
        <f t="shared" si="191"/>
        <v>1.7071545419819971E-2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3932</v>
      </c>
      <c r="C208" s="201">
        <v>0</v>
      </c>
      <c r="D208" s="190">
        <f t="shared" si="20"/>
        <v>0</v>
      </c>
      <c r="E208" s="190">
        <f t="shared" si="26"/>
        <v>5.0095895731650256E-2</v>
      </c>
      <c r="F208" s="190">
        <f t="shared" si="32"/>
        <v>0</v>
      </c>
      <c r="G208" s="190">
        <f t="shared" si="38"/>
        <v>0</v>
      </c>
      <c r="H208" s="190">
        <f t="shared" si="44"/>
        <v>1.4525245724080715E-2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-9.1272262706055585E-18</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3933</v>
      </c>
      <c r="C209" s="201">
        <v>0</v>
      </c>
      <c r="D209" s="190">
        <f t="shared" ref="D209:D240" si="200">D42*D$168</f>
        <v>0</v>
      </c>
      <c r="E209" s="190">
        <f t="shared" si="26"/>
        <v>0</v>
      </c>
      <c r="F209" s="190">
        <f t="shared" si="32"/>
        <v>1.8561761509712171E-2</v>
      </c>
      <c r="G209" s="190">
        <f t="shared" si="38"/>
        <v>0</v>
      </c>
      <c r="H209" s="190">
        <f t="shared" si="44"/>
        <v>0</v>
      </c>
      <c r="I209" s="184">
        <f t="shared" si="50"/>
        <v>1.1868696832537513E-2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4.9586469057671008E-2</v>
      </c>
      <c r="AK209" s="189">
        <f>$C209+SUM($D209:AJ209,AL209:$FB209)-SUM(AK$176:AK208,AK210:AK$330)-AK$331</f>
        <v>2.6834003769016235E-17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3934</v>
      </c>
      <c r="C210" s="201">
        <v>0</v>
      </c>
      <c r="D210" s="190">
        <f t="shared" si="200"/>
        <v>0</v>
      </c>
      <c r="E210" s="190">
        <f t="shared" ref="E210:E241" si="206">E43*E$168</f>
        <v>0</v>
      </c>
      <c r="F210" s="190">
        <f t="shared" si="32"/>
        <v>0</v>
      </c>
      <c r="G210" s="190">
        <f t="shared" si="38"/>
        <v>2.7302666335585501E-5</v>
      </c>
      <c r="H210" s="190">
        <f t="shared" si="44"/>
        <v>0</v>
      </c>
      <c r="I210" s="184">
        <f t="shared" si="50"/>
        <v>0</v>
      </c>
      <c r="J210" s="190">
        <f t="shared" si="56"/>
        <v>2.0201104242083033E-3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1.5024199023545577E-2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3935</v>
      </c>
      <c r="C211" s="201">
        <v>0</v>
      </c>
      <c r="D211" s="190">
        <f t="shared" si="200"/>
        <v>3.4078046128822874E-19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5.0220244629528565E-16</v>
      </c>
      <c r="AN211" s="184">
        <f t="shared" ref="AN211:BS211" si="214">AN44*AN$168</f>
        <v>7.7681128588415985E-4</v>
      </c>
      <c r="AO211" s="184">
        <f t="shared" si="214"/>
        <v>2.4014324397649469</v>
      </c>
      <c r="AP211" s="184">
        <f t="shared" si="214"/>
        <v>0.72132358007577213</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3936</v>
      </c>
      <c r="C212" s="201">
        <v>2.9396302942212462</v>
      </c>
      <c r="D212" s="190">
        <f t="shared" si="200"/>
        <v>0</v>
      </c>
      <c r="E212" s="190">
        <f t="shared" si="206"/>
        <v>0.11132421273700051</v>
      </c>
      <c r="F212" s="190">
        <f t="shared" si="212"/>
        <v>0</v>
      </c>
      <c r="G212" s="190">
        <f t="shared" ref="G212:G243" si="218">G45*G$168</f>
        <v>0</v>
      </c>
      <c r="H212" s="190">
        <f t="shared" si="44"/>
        <v>3.2278323831290472E-2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-3.9566601708653897E-16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3937</v>
      </c>
      <c r="C213" s="201">
        <v>0</v>
      </c>
      <c r="D213" s="190">
        <f t="shared" si="200"/>
        <v>0</v>
      </c>
      <c r="E213" s="190">
        <f t="shared" si="206"/>
        <v>0</v>
      </c>
      <c r="F213" s="190">
        <f t="shared" si="212"/>
        <v>4.1248358910471482E-2</v>
      </c>
      <c r="G213" s="190">
        <f t="shared" si="218"/>
        <v>0</v>
      </c>
      <c r="H213" s="190">
        <f t="shared" ref="H213:H244" si="224">H46*H$168</f>
        <v>0</v>
      </c>
      <c r="I213" s="184">
        <f t="shared" si="50"/>
        <v>2.6374881850083357E-2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2.3656712351106228</v>
      </c>
      <c r="AO213" s="189">
        <f>$C213+SUM($D213:AN213,AP213:$FB213)-SUM(AO$176:AO212,AO214:AO$330)-AO$331</f>
        <v>-6.5160550566378816E-17</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3938</v>
      </c>
      <c r="C214" s="201">
        <v>0</v>
      </c>
      <c r="D214" s="190">
        <f t="shared" si="200"/>
        <v>0</v>
      </c>
      <c r="E214" s="190">
        <f t="shared" si="206"/>
        <v>0</v>
      </c>
      <c r="F214" s="190">
        <f t="shared" si="212"/>
        <v>0</v>
      </c>
      <c r="G214" s="190">
        <f t="shared" si="218"/>
        <v>6.0672591856856674E-5</v>
      </c>
      <c r="H214" s="190">
        <f t="shared" si="224"/>
        <v>0</v>
      </c>
      <c r="I214" s="184">
        <f t="shared" ref="I214:I245" si="230">I47*I$168</f>
        <v>0</v>
      </c>
      <c r="J214" s="190">
        <f t="shared" si="56"/>
        <v>4.4891342760184508E-3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0.71677447771572067</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3939</v>
      </c>
      <c r="C215" s="201">
        <v>0</v>
      </c>
      <c r="D215" s="190">
        <f t="shared" si="200"/>
        <v>5.6796743548038131E-20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3.0154372922253092E-18</v>
      </c>
      <c r="AR215" s="184">
        <f t="shared" ref="AR215:BW215" si="238">AR48*AR$168</f>
        <v>6.6998226322136739E-6</v>
      </c>
      <c r="AS215" s="184">
        <f t="shared" si="238"/>
        <v>2.8793992608736496E-2</v>
      </c>
      <c r="AT215" s="184">
        <f t="shared" si="238"/>
        <v>6.3220932436956539E-3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3940</v>
      </c>
      <c r="C216" s="201">
        <v>0</v>
      </c>
      <c r="D216" s="190">
        <f t="shared" si="200"/>
        <v>0</v>
      </c>
      <c r="E216" s="190">
        <f t="shared" si="206"/>
        <v>1.8554035456166761E-2</v>
      </c>
      <c r="F216" s="190">
        <f t="shared" si="212"/>
        <v>0</v>
      </c>
      <c r="G216" s="190">
        <f t="shared" si="218"/>
        <v>0</v>
      </c>
      <c r="H216" s="190">
        <f t="shared" si="224"/>
        <v>5.3797206385484131E-3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5.1678518223653618E-18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3941</v>
      </c>
      <c r="C217" s="201">
        <v>0</v>
      </c>
      <c r="D217" s="190">
        <f t="shared" si="200"/>
        <v>0</v>
      </c>
      <c r="E217" s="190">
        <f t="shared" si="206"/>
        <v>0</v>
      </c>
      <c r="F217" s="190">
        <f t="shared" si="212"/>
        <v>6.8747264850785817E-3</v>
      </c>
      <c r="G217" s="190">
        <f t="shared" si="218"/>
        <v>0</v>
      </c>
      <c r="H217" s="190">
        <f t="shared" si="224"/>
        <v>0</v>
      </c>
      <c r="I217" s="184">
        <f t="shared" si="230"/>
        <v>4.3958136416805604E-3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1.8363044116947985E-2</v>
      </c>
      <c r="AS217" s="189">
        <f>$C217+SUM($D217:AR217,AT217:$FB217)-SUM(AS$176:AS216,AS218:AS$330)-AS$331</f>
        <v>1.6830544661942948E-18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3942</v>
      </c>
      <c r="C218" s="201">
        <v>0</v>
      </c>
      <c r="D218" s="190">
        <f t="shared" si="200"/>
        <v>0</v>
      </c>
      <c r="E218" s="190">
        <f t="shared" si="206"/>
        <v>0</v>
      </c>
      <c r="F218" s="190">
        <f t="shared" si="212"/>
        <v>0</v>
      </c>
      <c r="G218" s="190">
        <f t="shared" si="218"/>
        <v>1.0112098642809445E-5</v>
      </c>
      <c r="H218" s="190">
        <f t="shared" si="224"/>
        <v>0</v>
      </c>
      <c r="I218" s="184">
        <f t="shared" si="230"/>
        <v>0</v>
      </c>
      <c r="J218" s="190">
        <f t="shared" si="236"/>
        <v>7.4818904600307528E-4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5.5638167978910415E-3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3943</v>
      </c>
      <c r="C219" s="201">
        <v>0</v>
      </c>
      <c r="D219" s="190">
        <f t="shared" si="200"/>
        <v>7.8268064143029951E-19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-1.1916456432025857E-33</v>
      </c>
      <c r="AV219" s="184">
        <f t="shared" ref="AV219:CA219" si="262">AV52*AV$168</f>
        <v>0</v>
      </c>
      <c r="AW219" s="184">
        <f t="shared" si="262"/>
        <v>0</v>
      </c>
      <c r="AX219" s="184">
        <f t="shared" si="262"/>
        <v>0</v>
      </c>
      <c r="AY219" s="184">
        <f t="shared" si="262"/>
        <v>0</v>
      </c>
      <c r="AZ219" s="184">
        <f t="shared" si="262"/>
        <v>0</v>
      </c>
      <c r="BA219" s="184">
        <f t="shared" si="262"/>
        <v>0</v>
      </c>
      <c r="BB219" s="184">
        <f t="shared" si="262"/>
        <v>8.1082697307879369E-22</v>
      </c>
      <c r="BC219" s="184">
        <f t="shared" si="262"/>
        <v>0</v>
      </c>
      <c r="BD219" s="184">
        <f t="shared" si="262"/>
        <v>0</v>
      </c>
      <c r="BE219" s="184">
        <f t="shared" si="262"/>
        <v>0</v>
      </c>
      <c r="BF219" s="184">
        <f t="shared" si="262"/>
        <v>3.0912494615010615E-21</v>
      </c>
      <c r="BG219" s="184">
        <f t="shared" si="262"/>
        <v>0</v>
      </c>
      <c r="BH219" s="184">
        <f t="shared" si="262"/>
        <v>0</v>
      </c>
      <c r="BI219" s="184">
        <f t="shared" si="262"/>
        <v>0</v>
      </c>
      <c r="BJ219" s="184">
        <f t="shared" si="262"/>
        <v>1.3975263971795154E-19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2.5574273150653065E-20</v>
      </c>
      <c r="CA219" s="184">
        <f t="shared" si="262"/>
        <v>0</v>
      </c>
      <c r="CB219" s="184">
        <f t="shared" ref="CB219:DG219" si="263">CB52*CB$168</f>
        <v>0</v>
      </c>
      <c r="CC219" s="184">
        <f t="shared" si="263"/>
        <v>0</v>
      </c>
      <c r="CD219" s="184">
        <f t="shared" si="263"/>
        <v>5.7699535126931105E-20</v>
      </c>
      <c r="CE219" s="184">
        <f t="shared" si="263"/>
        <v>0</v>
      </c>
      <c r="CF219" s="184">
        <f t="shared" si="263"/>
        <v>0</v>
      </c>
      <c r="CG219" s="184">
        <f t="shared" si="263"/>
        <v>0</v>
      </c>
      <c r="CH219" s="184">
        <f t="shared" si="263"/>
        <v>9.4719522957790219E-21</v>
      </c>
      <c r="CI219" s="184">
        <f t="shared" si="263"/>
        <v>0</v>
      </c>
      <c r="CJ219" s="184">
        <f t="shared" si="263"/>
        <v>0</v>
      </c>
      <c r="CK219" s="184">
        <f t="shared" si="263"/>
        <v>0</v>
      </c>
      <c r="CL219" s="184">
        <f t="shared" si="263"/>
        <v>2.1287995108620693E-18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3944</v>
      </c>
      <c r="C220" s="201">
        <v>0</v>
      </c>
      <c r="D220" s="190">
        <f t="shared" si="200"/>
        <v>0</v>
      </c>
      <c r="E220" s="190">
        <f t="shared" si="206"/>
        <v>0.52478358314410722</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-3.558639521299492E-17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4.352468309028796E-5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3945</v>
      </c>
      <c r="C221" s="201">
        <v>0</v>
      </c>
      <c r="D221" s="190">
        <f t="shared" si="200"/>
        <v>0</v>
      </c>
      <c r="E221" s="190">
        <f t="shared" si="206"/>
        <v>0</v>
      </c>
      <c r="F221" s="190">
        <f t="shared" si="212"/>
        <v>2.3787534186266068</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0.44684598589011226</v>
      </c>
      <c r="AW221" s="189">
        <f>$C221+SUM($D221:AV221,AX221:$FB221)-SUM(AW$176:AW220,AW222:AW$330)-AW$331</f>
        <v>-2.0111950299606107E-17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8.9453779342508338E-2</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3946</v>
      </c>
      <c r="C222" s="201">
        <v>0</v>
      </c>
      <c r="D222" s="190">
        <f t="shared" si="200"/>
        <v>0</v>
      </c>
      <c r="E222" s="190">
        <f t="shared" si="206"/>
        <v>0</v>
      </c>
      <c r="F222" s="190">
        <f t="shared" si="212"/>
        <v>0</v>
      </c>
      <c r="G222" s="190">
        <f t="shared" si="218"/>
        <v>9.567413769531899E-4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1.7677459461010671E-3</v>
      </c>
      <c r="AW222" s="190">
        <f t="shared" ref="AW222:AW253" si="279">AW55*AW$168</f>
        <v>0</v>
      </c>
      <c r="AX222" s="189">
        <f>$C222+SUM($D222:AW222,AY222:$FB222)-SUM(AX$176:AX221,AX223:AX$330)-AX$331</f>
        <v>-1.5163444855403576E-18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1.7057902491983293E-7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3947</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1.1155408825597657E-2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3948</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0.19560306339931616</v>
      </c>
      <c r="AX224" s="190">
        <f t="shared" si="285"/>
        <v>0</v>
      </c>
      <c r="AY224" s="190">
        <f t="shared" ref="AY224:AY255" si="291">AY57*AY$168</f>
        <v>0</v>
      </c>
      <c r="AZ224" s="189">
        <f>$C224+SUM($D224:AY224,BA224:$FB224)-SUM(AZ$176:AZ223,AZ225:AZ$330)-AZ$331</f>
        <v>2.7755575615628914E-17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3949</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2.6293296804382892E-3</v>
      </c>
      <c r="AY225" s="190">
        <f t="shared" si="291"/>
        <v>0</v>
      </c>
      <c r="AZ225" s="190">
        <f t="shared" ref="AZ225:AZ256" si="297">AZ58*AZ$168</f>
        <v>0</v>
      </c>
      <c r="BA225" s="189">
        <f>$C225+SUM($D225:AZ225,BB225:$FB225)-SUM(BA$176:BA224,BA226:BA$330)-BA$331</f>
        <v>4.3368086899420177E-19</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3950</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3.1341503578848271E-21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1.1834236436356421E-18</v>
      </c>
      <c r="BC226" s="184">
        <f t="shared" ref="BC226:CH226" si="304">BC59*BC$168</f>
        <v>2.4812446452755297E-8</v>
      </c>
      <c r="BD226" s="184">
        <f t="shared" si="304"/>
        <v>2.3795034693185483E-3</v>
      </c>
      <c r="BE226" s="184">
        <f t="shared" si="304"/>
        <v>1.2195334322925468E-6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5.8736546343555393E-3</v>
      </c>
      <c r="CA226" s="184">
        <f t="shared" si="304"/>
        <v>0</v>
      </c>
      <c r="CB226" s="184">
        <f t="shared" si="304"/>
        <v>0</v>
      </c>
      <c r="CC226" s="184">
        <f t="shared" si="304"/>
        <v>0</v>
      </c>
      <c r="CD226" s="184">
        <f t="shared" si="304"/>
        <v>1.3251877771932093E-2</v>
      </c>
      <c r="CE226" s="184">
        <f t="shared" si="304"/>
        <v>0</v>
      </c>
      <c r="CF226" s="184">
        <f t="shared" si="304"/>
        <v>0</v>
      </c>
      <c r="CG226" s="184">
        <f t="shared" si="304"/>
        <v>0</v>
      </c>
      <c r="CH226" s="184">
        <f t="shared" si="304"/>
        <v>2.1754274763064515E-3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3951</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8.5940018780536134E-5</v>
      </c>
      <c r="AW227" s="190">
        <f t="shared" si="279"/>
        <v>0</v>
      </c>
      <c r="AX227" s="190">
        <f t="shared" si="285"/>
        <v>0</v>
      </c>
      <c r="AY227" s="190">
        <f t="shared" si="291"/>
        <v>1.3503479633510901E-5</v>
      </c>
      <c r="AZ227" s="190">
        <f t="shared" si="297"/>
        <v>0</v>
      </c>
      <c r="BA227" s="190">
        <f t="shared" si="303"/>
        <v>0</v>
      </c>
      <c r="BB227" s="190">
        <f t="shared" ref="BB227:BB258" si="309">BB60*BB$168</f>
        <v>0</v>
      </c>
      <c r="BC227" s="189">
        <f>$C227+SUM($D227:BB227,BD227:$FB227)-SUM(BC$176:BC226,BC228:BC$330)-BC$331</f>
        <v>1.3552527156068805E-20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2.4661484842662436E-9</v>
      </c>
      <c r="CB227" s="184">
        <f t="shared" si="310"/>
        <v>0</v>
      </c>
      <c r="CC227" s="184">
        <f t="shared" si="310"/>
        <v>0</v>
      </c>
      <c r="CD227" s="184">
        <f t="shared" si="310"/>
        <v>0</v>
      </c>
      <c r="CE227" s="184">
        <f t="shared" si="310"/>
        <v>3.9895412534107335E-9</v>
      </c>
      <c r="CF227" s="184">
        <f t="shared" si="310"/>
        <v>0</v>
      </c>
      <c r="CG227" s="184">
        <f t="shared" si="310"/>
        <v>0</v>
      </c>
      <c r="CH227" s="184">
        <f t="shared" si="310"/>
        <v>0</v>
      </c>
      <c r="CI227" s="184">
        <f t="shared" si="310"/>
        <v>1.623596805109826E-9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3952</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1.6985301700496586E-3</v>
      </c>
      <c r="AX228" s="190">
        <f t="shared" si="285"/>
        <v>0</v>
      </c>
      <c r="AY228" s="190">
        <f t="shared" si="291"/>
        <v>0</v>
      </c>
      <c r="AZ228" s="190">
        <f t="shared" si="297"/>
        <v>2.3677500521577673E-4</v>
      </c>
      <c r="BA228" s="190">
        <f t="shared" si="303"/>
        <v>0</v>
      </c>
      <c r="BB228" s="190">
        <f t="shared" si="309"/>
        <v>0</v>
      </c>
      <c r="BC228" s="190">
        <f t="shared" ref="BC228:BC259" si="315">BC61*BC$168</f>
        <v>9.8694386622286975E-5</v>
      </c>
      <c r="BD228" s="189">
        <f>$C228+SUM($D228:BC228,BE228:$FB228)-SUM(BD$176:BD227,BD229:BD$330)-BD$331</f>
        <v>8.6736173798840355E-19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1.6583181048095274E-4</v>
      </c>
      <c r="CC228" s="184">
        <f t="shared" si="316"/>
        <v>0</v>
      </c>
      <c r="CD228" s="184">
        <f t="shared" si="316"/>
        <v>0</v>
      </c>
      <c r="CE228" s="184">
        <f t="shared" si="316"/>
        <v>0</v>
      </c>
      <c r="CF228" s="184">
        <f t="shared" si="316"/>
        <v>1.7031277950252553E-4</v>
      </c>
      <c r="CG228" s="184">
        <f t="shared" si="316"/>
        <v>0</v>
      </c>
      <c r="CH228" s="184">
        <f t="shared" si="316"/>
        <v>0</v>
      </c>
      <c r="CI228" s="184">
        <f t="shared" si="316"/>
        <v>0</v>
      </c>
      <c r="CJ228" s="184">
        <f t="shared" si="316"/>
        <v>6.1418644006401132E-5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3953</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4.3016512580559271E-8</v>
      </c>
      <c r="AY229" s="190">
        <f t="shared" si="291"/>
        <v>0</v>
      </c>
      <c r="AZ229" s="190">
        <f t="shared" si="297"/>
        <v>0</v>
      </c>
      <c r="BA229" s="190">
        <f t="shared" si="303"/>
        <v>3.1827699320272965E-6</v>
      </c>
      <c r="BB229" s="190">
        <f t="shared" si="309"/>
        <v>0</v>
      </c>
      <c r="BC229" s="190">
        <f t="shared" si="315"/>
        <v>7.3192703996223691E-7</v>
      </c>
      <c r="BD229" s="190">
        <f t="shared" ref="BD229:BD260" si="321">BD62*BD$168</f>
        <v>0</v>
      </c>
      <c r="BE229" s="189">
        <f>$C229+SUM($D229:BD229,BF229:$FB229)-SUM(BE$176:BE228,BE230:BE$330)-BE$331</f>
        <v>0</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6.0452075054000421E-10</v>
      </c>
      <c r="CD229" s="184">
        <f t="shared" si="322"/>
        <v>0</v>
      </c>
      <c r="CE229" s="184">
        <f t="shared" si="322"/>
        <v>0</v>
      </c>
      <c r="CF229" s="184">
        <f t="shared" si="322"/>
        <v>0</v>
      </c>
      <c r="CG229" s="184">
        <f t="shared" si="322"/>
        <v>3.3582040873373393E-10</v>
      </c>
      <c r="CH229" s="184">
        <f t="shared" si="322"/>
        <v>0</v>
      </c>
      <c r="CI229" s="184">
        <f t="shared" si="322"/>
        <v>0</v>
      </c>
      <c r="CJ229" s="184">
        <f t="shared" si="322"/>
        <v>0</v>
      </c>
      <c r="CK229" s="184">
        <f t="shared" si="322"/>
        <v>2.2387364876115057E-10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3954</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3.4475653936733091E-20</v>
      </c>
      <c r="AV230" s="190">
        <f t="shared" si="273"/>
        <v>0</v>
      </c>
      <c r="AW230" s="190">
        <f t="shared" si="279"/>
        <v>0</v>
      </c>
      <c r="AX230" s="190">
        <f t="shared" si="285"/>
        <v>0</v>
      </c>
      <c r="AY230" s="190">
        <f t="shared" si="291"/>
        <v>0</v>
      </c>
      <c r="AZ230" s="190">
        <f t="shared" si="297"/>
        <v>0</v>
      </c>
      <c r="BA230" s="190">
        <f t="shared" si="303"/>
        <v>0</v>
      </c>
      <c r="BB230" s="190">
        <f t="shared" si="309"/>
        <v>3.6447340824203832E-3</v>
      </c>
      <c r="BC230" s="190">
        <f t="shared" si="315"/>
        <v>0</v>
      </c>
      <c r="BD230" s="190">
        <f t="shared" si="321"/>
        <v>0</v>
      </c>
      <c r="BE230" s="190">
        <f t="shared" ref="BE230:BE261" si="326">BE63*BE$168</f>
        <v>0</v>
      </c>
      <c r="BF230" s="189">
        <f>$C230+SUM($D230:BE230,BG230:$FB230)-SUM(BF$176:BF229,BF231:BF$330)-BF$331</f>
        <v>-2.2996302293596471E-16</v>
      </c>
      <c r="BG230" s="184">
        <f t="shared" ref="BG230:CL230" si="327">BG63*BG$168</f>
        <v>1.0155965138263167E-7</v>
      </c>
      <c r="BH230" s="184">
        <f t="shared" si="327"/>
        <v>1.6066679586152495E-2</v>
      </c>
      <c r="BI230" s="184">
        <f t="shared" si="327"/>
        <v>4.0283142804243586E-6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2.0582307903819697</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6.4610200977910925E-2</v>
      </c>
      <c r="CA230" s="184">
        <f t="shared" si="327"/>
        <v>0</v>
      </c>
      <c r="CB230" s="184">
        <f t="shared" si="327"/>
        <v>0</v>
      </c>
      <c r="CC230" s="184">
        <f t="shared" si="327"/>
        <v>0</v>
      </c>
      <c r="CD230" s="184">
        <f t="shared" si="327"/>
        <v>0.14577065549125304</v>
      </c>
      <c r="CE230" s="184">
        <f t="shared" si="327"/>
        <v>0</v>
      </c>
      <c r="CF230" s="184">
        <f t="shared" si="327"/>
        <v>0</v>
      </c>
      <c r="CG230" s="184">
        <f t="shared" si="327"/>
        <v>0</v>
      </c>
      <c r="CH230" s="184">
        <f t="shared" si="327"/>
        <v>2.3929702239370961E-2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3955</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9.4534020658589739E-4</v>
      </c>
      <c r="AW231" s="190">
        <f t="shared" si="279"/>
        <v>0</v>
      </c>
      <c r="AX231" s="190">
        <f t="shared" si="285"/>
        <v>0</v>
      </c>
      <c r="AY231" s="190">
        <f t="shared" si="291"/>
        <v>1.4853827596861987E-4</v>
      </c>
      <c r="AZ231" s="190">
        <f t="shared" si="297"/>
        <v>0</v>
      </c>
      <c r="BA231" s="190">
        <f t="shared" si="303"/>
        <v>0</v>
      </c>
      <c r="BB231" s="190">
        <f t="shared" si="309"/>
        <v>0</v>
      </c>
      <c r="BC231" s="190">
        <f t="shared" si="315"/>
        <v>4.5062039531259625E-10</v>
      </c>
      <c r="BD231" s="190">
        <f t="shared" si="321"/>
        <v>0</v>
      </c>
      <c r="BE231" s="190">
        <f t="shared" si="326"/>
        <v>0</v>
      </c>
      <c r="BF231" s="190">
        <f t="shared" ref="BF231:BF262" si="331">BF64*BF$168</f>
        <v>0</v>
      </c>
      <c r="BG231" s="189">
        <f>$C231+SUM($D231:BF231,BH231:$FB231)-SUM(BG$176:BG230,BG232:BG$330)-BG$331</f>
        <v>4.3368086899420177E-19</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1.9701086480717576E-16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2.7127633326928673E-8</v>
      </c>
      <c r="CB231" s="184">
        <f t="shared" si="332"/>
        <v>0</v>
      </c>
      <c r="CC231" s="184">
        <f t="shared" si="332"/>
        <v>0</v>
      </c>
      <c r="CD231" s="184">
        <f t="shared" si="332"/>
        <v>0</v>
      </c>
      <c r="CE231" s="184">
        <f t="shared" si="332"/>
        <v>4.388495378751807E-8</v>
      </c>
      <c r="CF231" s="184">
        <f t="shared" si="332"/>
        <v>0</v>
      </c>
      <c r="CG231" s="184">
        <f t="shared" si="332"/>
        <v>0</v>
      </c>
      <c r="CH231" s="184">
        <f t="shared" si="332"/>
        <v>0</v>
      </c>
      <c r="CI231" s="184">
        <f t="shared" si="332"/>
        <v>1.785956485620808E-8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3956</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1.8683831870546241E-2</v>
      </c>
      <c r="AX232" s="190">
        <f t="shared" si="285"/>
        <v>0</v>
      </c>
      <c r="AY232" s="190">
        <f t="shared" si="291"/>
        <v>0</v>
      </c>
      <c r="AZ232" s="190">
        <f t="shared" si="297"/>
        <v>2.6045250573735429E-3</v>
      </c>
      <c r="BA232" s="190">
        <f t="shared" si="303"/>
        <v>0</v>
      </c>
      <c r="BB232" s="190">
        <f t="shared" si="309"/>
        <v>0</v>
      </c>
      <c r="BC232" s="190">
        <f t="shared" si="315"/>
        <v>0</v>
      </c>
      <c r="BD232" s="190">
        <f t="shared" si="321"/>
        <v>4.3214311657404111E-5</v>
      </c>
      <c r="BE232" s="190">
        <f t="shared" si="326"/>
        <v>0</v>
      </c>
      <c r="BF232" s="190">
        <f t="shared" si="331"/>
        <v>0</v>
      </c>
      <c r="BG232" s="190">
        <f t="shared" ref="BG232:BG263" si="336">BG65*BG$168</f>
        <v>8.7235299884128059E-4</v>
      </c>
      <c r="BH232" s="189">
        <f>$C232+SUM($D232:BG232,BI232:$FB232)-SUM(BH$176:BH231,BH233:BH$330)-BH$331</f>
        <v>0</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3.2237136667397315E-4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1.8241499152904796E-3</v>
      </c>
      <c r="CC232" s="184">
        <f t="shared" si="337"/>
        <v>0</v>
      </c>
      <c r="CD232" s="184">
        <f t="shared" si="337"/>
        <v>0</v>
      </c>
      <c r="CE232" s="184">
        <f t="shared" si="337"/>
        <v>0</v>
      </c>
      <c r="CF232" s="184">
        <f t="shared" si="337"/>
        <v>1.8734405745277807E-3</v>
      </c>
      <c r="CG232" s="184">
        <f t="shared" si="337"/>
        <v>0</v>
      </c>
      <c r="CH232" s="184">
        <f t="shared" si="337"/>
        <v>0</v>
      </c>
      <c r="CI232" s="184">
        <f t="shared" si="337"/>
        <v>0</v>
      </c>
      <c r="CJ232" s="184">
        <f t="shared" si="337"/>
        <v>6.7560508407041222E-4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3957</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4.7318163838615191E-7</v>
      </c>
      <c r="AY233" s="190">
        <f t="shared" si="291"/>
        <v>0</v>
      </c>
      <c r="AZ233" s="190">
        <f t="shared" si="297"/>
        <v>0</v>
      </c>
      <c r="BA233" s="190">
        <f t="shared" si="303"/>
        <v>3.5010469252300251E-5</v>
      </c>
      <c r="BB233" s="190">
        <f t="shared" si="309"/>
        <v>0</v>
      </c>
      <c r="BC233" s="190">
        <f t="shared" si="315"/>
        <v>0</v>
      </c>
      <c r="BD233" s="190">
        <f t="shared" si="321"/>
        <v>0</v>
      </c>
      <c r="BE233" s="190">
        <f t="shared" si="326"/>
        <v>2.2148023106184694E-8</v>
      </c>
      <c r="BF233" s="190">
        <f t="shared" si="331"/>
        <v>0</v>
      </c>
      <c r="BG233" s="190">
        <f t="shared" si="336"/>
        <v>2.214572224330571E-4</v>
      </c>
      <c r="BH233" s="190">
        <f t="shared" ref="BH233:BH264" si="341">BH66*BH$168</f>
        <v>0</v>
      </c>
      <c r="BI233" s="189">
        <f>$C233+SUM($D233:BH233,BJ233:$FB233)-SUM(BI$176:BI232,BI234:BI$330)-BI$331</f>
        <v>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4.8447224972416183E-5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6.6497282559400438E-9</v>
      </c>
      <c r="CD233" s="184">
        <f t="shared" si="342"/>
        <v>0</v>
      </c>
      <c r="CE233" s="184">
        <f t="shared" si="342"/>
        <v>0</v>
      </c>
      <c r="CF233" s="184">
        <f t="shared" si="342"/>
        <v>0</v>
      </c>
      <c r="CG233" s="184">
        <f t="shared" si="342"/>
        <v>3.6940244960710722E-9</v>
      </c>
      <c r="CH233" s="184">
        <f t="shared" si="342"/>
        <v>0</v>
      </c>
      <c r="CI233" s="184">
        <f t="shared" si="342"/>
        <v>0</v>
      </c>
      <c r="CJ233" s="184">
        <f t="shared" si="342"/>
        <v>0</v>
      </c>
      <c r="CK233" s="184">
        <f t="shared" si="342"/>
        <v>2.4626101363726557E-9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3958</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1.2361464001859324</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1.3355042435078022E-18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2.9240509502950155E-2</v>
      </c>
      <c r="BG234" s="190">
        <f t="shared" si="336"/>
        <v>0</v>
      </c>
      <c r="BH234" s="190">
        <f t="shared" si="341"/>
        <v>0</v>
      </c>
      <c r="BI234" s="190">
        <f t="shared" ref="BI234:BI265" si="346">BI67*BI$168</f>
        <v>0</v>
      </c>
      <c r="BJ234" s="189">
        <f>$C234+SUM($D234:BI234,BK234:$FB234)-SUM(BJ$176:BJ233,BJ235:BJ$330)-BJ$331</f>
        <v>7.7041754332427568E-15</v>
      </c>
      <c r="BK234" s="184">
        <f t="shared" ref="BK234:CP234" si="347">BK67*BK$168</f>
        <v>1.2607204808651439E-4</v>
      </c>
      <c r="BL234" s="184">
        <f t="shared" si="347"/>
        <v>0.89494004893145107</v>
      </c>
      <c r="BM234" s="184">
        <f t="shared" si="347"/>
        <v>2.3099742540965578E-3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31.210658127808987</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24.486159976146741</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3959</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6.6653152116579112E-7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2.6605096263248234E-2</v>
      </c>
      <c r="AW235" s="190">
        <f t="shared" si="279"/>
        <v>0</v>
      </c>
      <c r="AX235" s="190">
        <f t="shared" si="285"/>
        <v>0</v>
      </c>
      <c r="AY235" s="190">
        <f t="shared" si="291"/>
        <v>5.7540169721932979E-3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5.58918543843181E-8</v>
      </c>
      <c r="BH235" s="190">
        <f t="shared" si="341"/>
        <v>0</v>
      </c>
      <c r="BI235" s="190">
        <f t="shared" si="346"/>
        <v>0</v>
      </c>
      <c r="BJ235" s="190">
        <f t="shared" ref="BJ235:BJ266" si="351">BJ68*BJ$168</f>
        <v>0</v>
      </c>
      <c r="BK235" s="189">
        <f>$C235+SUM($D235:BJ235,BL235:$FB235)-SUM(BK$176:BK234,BK236:BK$330)-BK$331</f>
        <v>1.3877787807814457E-17</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1.0517638934022163E-17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1.2429709282428298E-9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3960</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8.3152819012782042E-2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0.67244873289278106</v>
      </c>
      <c r="AX236" s="190">
        <f t="shared" si="285"/>
        <v>0</v>
      </c>
      <c r="AY236" s="190">
        <f t="shared" si="291"/>
        <v>0</v>
      </c>
      <c r="AZ236" s="190">
        <f t="shared" si="297"/>
        <v>0.10089306131300546</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8.8420598499839211E-3</v>
      </c>
      <c r="BI236" s="190">
        <f t="shared" si="346"/>
        <v>0</v>
      </c>
      <c r="BJ236" s="190">
        <f t="shared" si="351"/>
        <v>0</v>
      </c>
      <c r="BK236" s="190">
        <f t="shared" ref="BK236:BK267" si="356">BK69*BK$168</f>
        <v>3.170966541445433E-2</v>
      </c>
      <c r="BL236" s="189">
        <f>$C236+SUM($D236:BK236,BM236:$FB236)-SUM(BL$176:BL235,BL237:BL$330)-BL$331</f>
        <v>1.1102230246251565E-16</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1.3757250275887985E-8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3.1710944747659814E-4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3961</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4.4438554438903206E-4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1.8329923115435546E-5</v>
      </c>
      <c r="AY237" s="190">
        <f t="shared" si="291"/>
        <v>0</v>
      </c>
      <c r="AZ237" s="190">
        <f t="shared" si="297"/>
        <v>0</v>
      </c>
      <c r="BA237" s="190">
        <f t="shared" si="303"/>
        <v>1.3562217076273704E-3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2.2169232772125451E-6</v>
      </c>
      <c r="BJ237" s="190">
        <f t="shared" si="351"/>
        <v>0</v>
      </c>
      <c r="BK237" s="190">
        <f t="shared" si="356"/>
        <v>5.2376064164802243E-4</v>
      </c>
      <c r="BL237" s="190">
        <f t="shared" ref="BL237:BL268" si="361">BL70*BL$168</f>
        <v>0</v>
      </c>
      <c r="BM237" s="189">
        <f>$C237+SUM($D237:BL237,BN237:$FB237)-SUM(BM$176:BM236,BM238:BM$330)-BM$331</f>
        <v>0</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2.1284332972609321E-8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3.2391330291117304E-8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3962</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2.0036973615365099E-2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7.8532042714789466E-18</v>
      </c>
      <c r="BP238" s="184">
        <f t="shared" si="367"/>
        <v>8.6565238530448234E-6</v>
      </c>
      <c r="BQ238" s="184">
        <f t="shared" si="367"/>
        <v>2.6592925013392247E-6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3963</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9.7149252310359654E-13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-2.4230981669161067E-28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3964</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8.8450149016482857E-6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6.2470365144530969E-14</v>
      </c>
      <c r="BP240" s="189">
        <f>$C240+SUM($D240:BO240,BQ240:$FB240)-SUM(BP$176:BP239,BP241:BP$330)-BP$331</f>
        <v>-1.9322939109238726E-21</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3965</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2.7171962439793959E-6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9.0901413375553143E-13</v>
      </c>
      <c r="BP241" s="190">
        <f t="shared" ref="BP241:BP272" si="382">BP74*BP$168</f>
        <v>0</v>
      </c>
      <c r="BQ241" s="189">
        <f>$C241+SUM($D241:BP241,BR241:$FB241)-SUM(BQ$176:BQ240,BQ242:BQ$330)-BQ$331</f>
        <v>8.8673761665684567E-22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3966</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2.2830163831300583</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9.9786950893891687E-16</v>
      </c>
      <c r="BT242" s="184">
        <f t="shared" si="389"/>
        <v>1.632826482304789E-3</v>
      </c>
      <c r="BU242" s="184">
        <f t="shared" si="389"/>
        <v>2.453875254037123E-4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3967</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1.3254697550696149E-10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-6.091296407294555E-26</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3968</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1.9907517428446975E-3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1.7041633969099524E-11</v>
      </c>
      <c r="BT244" s="189">
        <f>$C244+SUM($D244:BS244,BU244:$FB244)-SUM(BT$176:BT243,BT245:BT$330)-BT$331</f>
        <v>5.2854855908668341E-19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3969</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2.9917781512451733E-4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1.1550412492942102E-10</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3970</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34.460857079160313</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1.4213467690045359E-14</v>
      </c>
      <c r="BX246" s="184">
        <f t="shared" si="413"/>
        <v>1.8591457030121077E-5</v>
      </c>
      <c r="BY246" s="184">
        <f t="shared" si="413"/>
        <v>2.8763506801108464E-5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3971</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2.7608995885362436E-11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5.8560788854010487E-29</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3972</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1.8606646134460695E-5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7.1457176928233679E-12</v>
      </c>
      <c r="BX248" s="189">
        <f>$C248+SUM($D248:BW248,BY248:$FB248)-SUM(BX$176:BX247,BX249:BX$330)-BX$331</f>
        <v>-2.9091942143489983E-21</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3973</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2.8786997012955504E-5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2.0449053107071629E-11</v>
      </c>
      <c r="BX249" s="190">
        <f t="shared" ref="BX249:BX280" si="430">BX82*BX$168</f>
        <v>0</v>
      </c>
      <c r="BY249" s="189">
        <f>$C249+SUM($D249:BX249,BZ249:$FB249)-SUM(BY$176:BY248,BY250:BY$330)-BY$331</f>
        <v>-5.8663649042260723E-21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3974</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3.3848823865148989E-19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-2.4475864043860263E-17</v>
      </c>
      <c r="CA250" s="184">
        <f t="shared" ref="CA250:DF250" si="437">CA83*CA$168</f>
        <v>1.0217633014304101E-6</v>
      </c>
      <c r="CB250" s="184">
        <f t="shared" si="437"/>
        <v>6.8706673276250158E-2</v>
      </c>
      <c r="CC250" s="184">
        <f t="shared" si="437"/>
        <v>1.85684980629148E-3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3975</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5.0297697831190999E-3</v>
      </c>
      <c r="AW251" s="190">
        <f t="shared" si="279"/>
        <v>0</v>
      </c>
      <c r="AX251" s="190">
        <f t="shared" si="285"/>
        <v>0</v>
      </c>
      <c r="AY251" s="190">
        <f t="shared" si="291"/>
        <v>1.4583758004191774E-3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1.1634031651738083E-19</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3976</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4.0159739118958732E-2</v>
      </c>
      <c r="AX252" s="190">
        <f t="shared" si="285"/>
        <v>0</v>
      </c>
      <c r="AY252" s="190">
        <f t="shared" si="291"/>
        <v>0</v>
      </c>
      <c r="AZ252" s="190">
        <f t="shared" si="297"/>
        <v>2.5571700563303882E-2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4.9786219025577611E-3</v>
      </c>
      <c r="CB252" s="189">
        <f>$C252+SUM($D252:CA252,CC252:$FB252)-SUM(CB$176:CB251,CB253:CB$330)-CB$331</f>
        <v>5.8699383244723013E-18</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3977</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4.645783358700401E-6</v>
      </c>
      <c r="AY253" s="190">
        <f t="shared" si="291"/>
        <v>0</v>
      </c>
      <c r="AZ253" s="190">
        <f t="shared" si="297"/>
        <v>0</v>
      </c>
      <c r="BA253" s="190">
        <f t="shared" si="303"/>
        <v>3.4373915265894801E-4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1.5084721245228379E-3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3978</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7.5219608589219963E-19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-2.1412992906588713E-17</v>
      </c>
      <c r="CE254" s="184">
        <f t="shared" ref="CE254:DJ254" si="461">CE87*CE$168</f>
        <v>3.6325974790135157E-6</v>
      </c>
      <c r="CF254" s="184">
        <f t="shared" si="461"/>
        <v>0.15507491567752052</v>
      </c>
      <c r="CG254" s="184">
        <f t="shared" si="461"/>
        <v>4.1260324668686114E-3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3979</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1.1177266184709109E-2</v>
      </c>
      <c r="AW255" s="190">
        <f t="shared" si="459"/>
        <v>0</v>
      </c>
      <c r="AX255" s="190">
        <f t="shared" ref="AX255:AX286" si="465">AX88*AX$168</f>
        <v>0</v>
      </c>
      <c r="AY255" s="190">
        <f t="shared" si="291"/>
        <v>3.2408351120426161E-3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-9.543381250371293E-19</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3980</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8.9243864708797166E-2</v>
      </c>
      <c r="AX256" s="190">
        <f t="shared" si="465"/>
        <v>0</v>
      </c>
      <c r="AY256" s="190">
        <f t="shared" ref="AY256:AY287" si="471">AY89*AY$168</f>
        <v>0</v>
      </c>
      <c r="AZ256" s="190">
        <f t="shared" si="297"/>
        <v>5.6826001251786405E-2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1.1062572752218135E-2</v>
      </c>
      <c r="CF256" s="189">
        <f>$C256+SUM($D256:CE256,CG256:$FB256)-SUM(CF$176:CF255,CF257:CF$330)-CF$331</f>
        <v>1.5515949527804274E-17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3981</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1.0323963019334223E-5</v>
      </c>
      <c r="AY257" s="190">
        <f t="shared" si="471"/>
        <v>0</v>
      </c>
      <c r="AZ257" s="190">
        <f t="shared" ref="AZ257:AZ288" si="477">AZ90*AZ$168</f>
        <v>0</v>
      </c>
      <c r="BA257" s="190">
        <f t="shared" si="303"/>
        <v>7.6386478368655115E-4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3.3518477500076318E-3</v>
      </c>
      <c r="CF257" s="190">
        <f t="shared" ref="CF257:CF288" si="478">CF90*CF$168</f>
        <v>0</v>
      </c>
      <c r="CG257" s="189">
        <f>$C257+SUM($D257:CF257,CH257:$FB257)-SUM(CG$176:CG256,CG258:CG$330)-CG$331</f>
        <v>8.6736173798840355E-19</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3982</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1.2536601431536658E-19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-3.2763234399796337E-18</v>
      </c>
      <c r="CI258" s="184">
        <f t="shared" ref="CI258:DN258" si="485">CI91*CI$168</f>
        <v>6.726811635084762E-7</v>
      </c>
      <c r="CJ258" s="184">
        <f t="shared" si="485"/>
        <v>2.5446690201231397E-2</v>
      </c>
      <c r="CK258" s="184">
        <f t="shared" si="485"/>
        <v>6.8765173232610206E-4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3983</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1.862877697451518E-3</v>
      </c>
      <c r="AW259" s="190">
        <f t="shared" si="459"/>
        <v>0</v>
      </c>
      <c r="AX259" s="190">
        <f t="shared" si="465"/>
        <v>0</v>
      </c>
      <c r="AY259" s="190">
        <f t="shared" si="471"/>
        <v>5.4013918534043595E-4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8.3231618923545729E-19</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3984</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1.4873977451466194E-2</v>
      </c>
      <c r="AX260" s="190">
        <f t="shared" si="465"/>
        <v>0</v>
      </c>
      <c r="AY260" s="190">
        <f t="shared" si="471"/>
        <v>0</v>
      </c>
      <c r="AZ260" s="190">
        <f t="shared" si="477"/>
        <v>9.4710002086310658E-3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1.8437016261824075E-3</v>
      </c>
      <c r="CJ260" s="189">
        <f>$C260+SUM($D260:CI260,CK260:$FB260)-SUM(CJ$176:CJ259,CJ261:CJ$330)-CJ$331</f>
        <v>-1.1680584342636802E-18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3985</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1.7206605032223706E-6</v>
      </c>
      <c r="AY261" s="190">
        <f t="shared" si="471"/>
        <v>0</v>
      </c>
      <c r="AZ261" s="190">
        <f t="shared" si="477"/>
        <v>0</v>
      </c>
      <c r="BA261" s="190">
        <f t="shared" si="483"/>
        <v>1.2731079728109184E-4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5.5862296102557286E-4</v>
      </c>
      <c r="CJ261" s="190">
        <f t="shared" ref="CJ261:CJ292" si="502">CJ94*CJ$168</f>
        <v>0</v>
      </c>
      <c r="CK261" s="189">
        <f>$C261+SUM($D261:CJ261,CL261:$FB261)-SUM(CK$176:CK260,CK262:CK$330)-CK$331</f>
        <v>-1.0842021724855044E-19</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3986</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4.5884511073781992E-19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-2.1877360462023757E-33</v>
      </c>
      <c r="CM262" s="184">
        <f t="shared" ref="CM262:DR262" si="508">CM95*CM$168</f>
        <v>0</v>
      </c>
      <c r="CN262" s="184">
        <f t="shared" si="508"/>
        <v>0</v>
      </c>
      <c r="CO262" s="184">
        <f t="shared" si="508"/>
        <v>0</v>
      </c>
      <c r="CP262" s="184">
        <f t="shared" si="508"/>
        <v>0</v>
      </c>
      <c r="CQ262" s="184">
        <f t="shared" si="508"/>
        <v>0</v>
      </c>
      <c r="CR262" s="184">
        <f t="shared" si="508"/>
        <v>0</v>
      </c>
      <c r="CS262" s="184">
        <f t="shared" si="508"/>
        <v>1.5283170379244368E-18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1.1029622429173033E-19</v>
      </c>
      <c r="DF262" s="184">
        <f t="shared" si="508"/>
        <v>0</v>
      </c>
      <c r="DG262" s="184">
        <f t="shared" si="508"/>
        <v>0</v>
      </c>
      <c r="DH262" s="184">
        <f t="shared" si="508"/>
        <v>0</v>
      </c>
      <c r="DI262" s="184">
        <f t="shared" si="508"/>
        <v>5.0054046306184245E-19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1.480202088726058E-16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3987</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1.5892543849889373E-2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4.9734068893628278E-18</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2.0033162563721342E-6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1.8700638976018083E-6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3988</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1.5458708785496482</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1.3186003996182329E-2</v>
      </c>
      <c r="CN264" s="189">
        <f>$C264+SUM($D264:CM264,CO264:$FB264)-SUM(CN$176:CN263,CN265:CN$330)-CN$331</f>
        <v>-4.889751797909625E-17</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9.8937160298811916E-2</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8.5852024593961129E-2</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3989</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4.9103863718683686E-5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5.2165050297041766E-5</v>
      </c>
      <c r="CN265" s="190">
        <f t="shared" ref="CN265:CN296" si="522">CN98*CN$168</f>
        <v>0</v>
      </c>
      <c r="CO265" s="189">
        <f>$C265+SUM($D265:CN265,CP265:$FB265)-SUM(CO$176:CO264,CO266:CO$330)-CO$331</f>
        <v>2.4373083544028099E-20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2.2645387229098784E-8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4.6671986575804264E-9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3990</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9.3393891490068607E-4</v>
      </c>
      <c r="CN266" s="190">
        <f t="shared" si="522"/>
        <v>0</v>
      </c>
      <c r="CO266" s="190">
        <f t="shared" ref="CO266:CO297" si="527">CO99*CO$168</f>
        <v>0</v>
      </c>
      <c r="CP266" s="189">
        <f>$C266+SUM($D266:CO266,CQ266:$FB266)-SUM(CP$176:CP265,CP267:CP$330)-CP$331</f>
        <v>2.1684043449710089E-19</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3991</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0.42543124181112951</v>
      </c>
      <c r="CO267" s="190">
        <f t="shared" si="527"/>
        <v>0</v>
      </c>
      <c r="CP267" s="190">
        <f t="shared" ref="CP267:CP298" si="532">CP100*CP$168</f>
        <v>0</v>
      </c>
      <c r="CQ267" s="189">
        <f>$C267+SUM($D267:CP267,CR267:$FB267)-SUM(CQ$176:CQ266,CQ268:CQ$330)-CQ$331</f>
        <v>-5.5511151231257827E-17</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3992</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9.8416552656829047E-5</v>
      </c>
      <c r="CP268" s="190">
        <f t="shared" si="532"/>
        <v>0</v>
      </c>
      <c r="CQ268" s="190">
        <f t="shared" ref="CQ268:CQ299" si="537">CQ101*CQ$168</f>
        <v>0</v>
      </c>
      <c r="CR268" s="189">
        <f>$C268+SUM($D268:CQ268,CS268:$FB268)-SUM(CR$176:CR267,CR269:CR$330)-CR$331</f>
        <v>-2.7105054312137611E-20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3993</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23.386473973510178</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6.5640147670240254E-17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-1.9446839095098737E-13</v>
      </c>
      <c r="CT269" s="184">
        <f t="shared" ref="CT269:DY269" si="543">CT102*CT$168</f>
        <v>2.4169617625242049E-6</v>
      </c>
      <c r="CU269" s="184">
        <f t="shared" si="543"/>
        <v>0.61662054330556437</v>
      </c>
      <c r="CV269" s="184">
        <f t="shared" si="543"/>
        <v>6.2985066643190133E-5</v>
      </c>
      <c r="CW269" s="184">
        <f t="shared" si="543"/>
        <v>1005.1846164764971</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0.30398139183705236</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156.22155915699514</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3994</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3.3859263212310886E-7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7.610348301887597E-4</v>
      </c>
      <c r="CN270" s="190">
        <f t="shared" si="522"/>
        <v>0</v>
      </c>
      <c r="CO270" s="190">
        <f t="shared" si="527"/>
        <v>0</v>
      </c>
      <c r="CP270" s="190">
        <f t="shared" si="532"/>
        <v>4.6696945745034293E-4</v>
      </c>
      <c r="CQ270" s="190">
        <f t="shared" si="537"/>
        <v>0</v>
      </c>
      <c r="CR270" s="190">
        <f t="shared" si="542"/>
        <v>0</v>
      </c>
      <c r="CS270" s="190">
        <f t="shared" ref="CS270:CS301" si="547">CS103*CS$168</f>
        <v>0</v>
      </c>
      <c r="CT270" s="189">
        <f>$C270+SUM($D270:CS270,CU270:$FB270)-SUM(CT$176:CT269,CT271:CT$330)-CT$331</f>
        <v>-2.1684043449710089E-19</v>
      </c>
      <c r="CU270" s="184">
        <f t="shared" ref="CU270:DZ270" si="548">CU103*CU$168</f>
        <v>0</v>
      </c>
      <c r="CV270" s="184">
        <f t="shared" si="548"/>
        <v>0</v>
      </c>
      <c r="CW270" s="184">
        <f t="shared" si="548"/>
        <v>0</v>
      </c>
      <c r="CX270" s="184">
        <f t="shared" si="548"/>
        <v>7.065638545063866E-14</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4.720247186074907E-9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7.0966984745439534E-11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3995</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2.4035471094444542E-3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0.40642663089849246</v>
      </c>
      <c r="CO271" s="190">
        <f t="shared" si="527"/>
        <v>0</v>
      </c>
      <c r="CP271" s="190">
        <f t="shared" si="532"/>
        <v>0</v>
      </c>
      <c r="CQ271" s="190">
        <f t="shared" si="537"/>
        <v>0.21271562090556478</v>
      </c>
      <c r="CR271" s="190">
        <f t="shared" si="542"/>
        <v>0</v>
      </c>
      <c r="CS271" s="190">
        <f t="shared" si="547"/>
        <v>0</v>
      </c>
      <c r="CT271" s="190">
        <f t="shared" ref="CT271:CT302" si="552">CT104*CT$168</f>
        <v>1.2158293606300261E-3</v>
      </c>
      <c r="CU271" s="189">
        <f>$C271+SUM($D271:CT271,CV271:$FB271)-SUM(CU$176:CU270,CU272:CU$330)-CU$331</f>
        <v>-2.2204460492503131E-16</v>
      </c>
      <c r="CV271" s="184">
        <f t="shared" ref="CV271:EA271" si="553">CV104*CV$168</f>
        <v>0</v>
      </c>
      <c r="CW271" s="184">
        <f t="shared" si="553"/>
        <v>0</v>
      </c>
      <c r="CX271" s="184">
        <f t="shared" si="553"/>
        <v>0</v>
      </c>
      <c r="CY271" s="184">
        <f t="shared" si="553"/>
        <v>9.1715030768701916E-6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8.8060085608286306E-3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4.2502489887329288E-4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3996</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6.203914941513766E-6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6.6507114336114883E-7</v>
      </c>
      <c r="CP272" s="190">
        <f t="shared" si="532"/>
        <v>0</v>
      </c>
      <c r="CQ272" s="190">
        <f t="shared" si="537"/>
        <v>0</v>
      </c>
      <c r="CR272" s="190">
        <f t="shared" si="542"/>
        <v>4.9208276328414537E-5</v>
      </c>
      <c r="CS272" s="190">
        <f t="shared" si="547"/>
        <v>0</v>
      </c>
      <c r="CT272" s="190">
        <f t="shared" si="552"/>
        <v>1.0041158708786169E-5</v>
      </c>
      <c r="CU272" s="190">
        <f t="shared" ref="CU272:CU303" si="557">CU105*CU$168</f>
        <v>0</v>
      </c>
      <c r="CV272" s="189">
        <f>$C272+SUM($D272:CU272,CW272:$FB272)-SUM(CV$176:CV271,CV273:CV$330)-CV$331</f>
        <v>-1.3552527156068805E-20</v>
      </c>
      <c r="CW272" s="184">
        <f t="shared" ref="CW272:EB272" si="558">CW105*CW$168</f>
        <v>0</v>
      </c>
      <c r="CX272" s="184">
        <f t="shared" si="558"/>
        <v>0</v>
      </c>
      <c r="CY272" s="184">
        <f t="shared" si="558"/>
        <v>0</v>
      </c>
      <c r="CZ272" s="184">
        <f t="shared" si="558"/>
        <v>2.0373693765887838E-9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1.1348153349194744E-9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1.8303074495324819E-9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3997</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1005.1755157018316</v>
      </c>
      <c r="CT273" s="190">
        <f t="shared" si="552"/>
        <v>0</v>
      </c>
      <c r="CU273" s="190">
        <f t="shared" si="557"/>
        <v>0</v>
      </c>
      <c r="CV273" s="190">
        <f t="shared" ref="CV273:CV304" si="563">CV106*CV$168</f>
        <v>0</v>
      </c>
      <c r="CW273" s="189">
        <f>$C273+SUM($D273:CV273,CX273:$FB273)-SUM(CW$176:CW272,CW274:CW$330)-CW$331</f>
        <v>7.4646596078795488E-14</v>
      </c>
      <c r="CX273" s="184">
        <f t="shared" ref="CX273:EC273" si="564">CX106*CX$168</f>
        <v>1.0040613760806864E-10</v>
      </c>
      <c r="CY273" s="184">
        <f t="shared" si="564"/>
        <v>1.3033149008908573E-2</v>
      </c>
      <c r="CZ273" s="184">
        <f t="shared" si="564"/>
        <v>2.8952003230783631E-6</v>
      </c>
      <c r="DA273" s="184">
        <f t="shared" si="564"/>
        <v>376.74682153722915</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156.16524579822632</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3998</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5.1025961851365415E-8</v>
      </c>
      <c r="CU274" s="190">
        <f t="shared" si="557"/>
        <v>0</v>
      </c>
      <c r="CV274" s="190">
        <f t="shared" si="563"/>
        <v>0</v>
      </c>
      <c r="CW274" s="190">
        <f t="shared" ref="CW274:CW305" si="569">CW107*CW$168</f>
        <v>0</v>
      </c>
      <c r="CX274" s="189">
        <f>$C274+SUM($D274:CW274,CY274:$FB274)-SUM(CX$176:CX273,CX275:CX$330)-CX$331</f>
        <v>-1.9852334701272664E-23</v>
      </c>
      <c r="CY274" s="184">
        <f t="shared" ref="CY274:ED274" si="570">CY107*CY$168</f>
        <v>0</v>
      </c>
      <c r="CZ274" s="184">
        <f t="shared" si="570"/>
        <v>0</v>
      </c>
      <c r="DA274" s="184">
        <f t="shared" si="570"/>
        <v>0</v>
      </c>
      <c r="DB274" s="184">
        <f t="shared" si="570"/>
        <v>6.1665018241168627E-25</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1.8560440349740935E-16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3999</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1.3043224572941105E-2</v>
      </c>
      <c r="CV275" s="190">
        <f t="shared" si="563"/>
        <v>0</v>
      </c>
      <c r="CW275" s="190">
        <f t="shared" si="569"/>
        <v>0</v>
      </c>
      <c r="CX275" s="190">
        <f t="shared" ref="CX275:CX306" si="575">CX108*CX$168</f>
        <v>5.0508341498896997E-8</v>
      </c>
      <c r="CY275" s="189">
        <f>$C275+SUM($D275:CX275,CZ275:$FB275)-SUM(CY$176:CY274,CY276:CY$330)-CY$331</f>
        <v>-1.7347234759768071E-18</v>
      </c>
      <c r="CZ275" s="184">
        <f t="shared" ref="CZ275:EE275" si="576">CZ108*CZ$168</f>
        <v>0</v>
      </c>
      <c r="DA275" s="184">
        <f t="shared" si="576"/>
        <v>0</v>
      </c>
      <c r="DB275" s="184">
        <f t="shared" si="576"/>
        <v>0</v>
      </c>
      <c r="DC275" s="184">
        <f t="shared" si="576"/>
        <v>1.4749117735147769E-11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4.8733962013413086E-7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4000</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2.8995339152562938E-6</v>
      </c>
      <c r="CW276" s="190">
        <f t="shared" si="569"/>
        <v>0</v>
      </c>
      <c r="CX276" s="190">
        <f t="shared" si="575"/>
        <v>4.1713277334015926E-10</v>
      </c>
      <c r="CY276" s="190">
        <f t="shared" ref="CY276:CY307" si="581">CY109*CY$168</f>
        <v>0</v>
      </c>
      <c r="CZ276" s="189">
        <f>$C276+SUM($D276:CY276,DA276:$FB276)-SUM(CZ$176:CZ275,CZ277:CZ$330)-CZ$331</f>
        <v>1.2705494208814505E-21</v>
      </c>
      <c r="DA276" s="184">
        <f t="shared" ref="DA276:EF276" si="582">DA109*DA$168</f>
        <v>0</v>
      </c>
      <c r="DB276" s="184">
        <f t="shared" si="582"/>
        <v>0</v>
      </c>
      <c r="DC276" s="184">
        <f t="shared" si="582"/>
        <v>0</v>
      </c>
      <c r="DD276" s="184">
        <f t="shared" si="582"/>
        <v>1.9638592967916912E-12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6.3190018338280216E-12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4001</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376.8629484601334</v>
      </c>
      <c r="CX277" s="190">
        <f t="shared" si="575"/>
        <v>0</v>
      </c>
      <c r="CY277" s="190">
        <f t="shared" si="581"/>
        <v>0</v>
      </c>
      <c r="CZ277" s="190">
        <f t="shared" ref="CZ277:CZ308" si="587">CZ110*CZ$168</f>
        <v>0</v>
      </c>
      <c r="DA277" s="189">
        <f>$C277+SUM($D277:CZ277,DB277:$FB277)-SUM(DA$176:DA276,DA278:DA$330)-DA$331</f>
        <v>6.8098304772945539E-14</v>
      </c>
      <c r="DB277" s="184">
        <f t="shared" ref="DB277:EG277" si="588">DB110*DB$168</f>
        <v>7.5465810459703679E-22</v>
      </c>
      <c r="DC277" s="184">
        <f t="shared" si="588"/>
        <v>1.805000882502653E-8</v>
      </c>
      <c r="DD277" s="184">
        <f t="shared" si="588"/>
        <v>2.4033761391521823E-9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4002</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1.4658880548388202E-18</v>
      </c>
      <c r="CY278" s="190">
        <f t="shared" si="581"/>
        <v>0</v>
      </c>
      <c r="CZ278" s="190">
        <f t="shared" si="587"/>
        <v>0</v>
      </c>
      <c r="DA278" s="190">
        <f t="shared" ref="DA278:DA309" si="593">DA111*DA$168</f>
        <v>0</v>
      </c>
      <c r="DB278" s="189">
        <f>$C278+SUM($D278:DA278,DC278:$FB278)-SUM(DB$176:DB277,DB279:DB$330)-DB$331</f>
        <v>4.342682716781188E-34</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4003</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1.8064762506792505E-8</v>
      </c>
      <c r="CZ279" s="190">
        <f t="shared" si="587"/>
        <v>0</v>
      </c>
      <c r="DA279" s="190">
        <f t="shared" si="593"/>
        <v>0</v>
      </c>
      <c r="DB279" s="190">
        <f t="shared" ref="DB279:DB310" si="599">DB112*DB$168</f>
        <v>3.7939888334416616E-19</v>
      </c>
      <c r="DC279" s="189">
        <f>$C279+SUM($D279:DB279,DD279:$FB279)-SUM(DC$176:DC278,DC280:DC$330)-DC$331</f>
        <v>-5.1629518408476773E-24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4004</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2.4053406051188774E-9</v>
      </c>
      <c r="DA280" s="190">
        <f t="shared" si="593"/>
        <v>0</v>
      </c>
      <c r="DB280" s="190">
        <f t="shared" si="599"/>
        <v>1.0857338965490394E-18</v>
      </c>
      <c r="DC280" s="190">
        <f t="shared" ref="DC280:DC311" si="605">DC113*DC$168</f>
        <v>0</v>
      </c>
      <c r="DD280" s="189">
        <f>$C280+SUM($D280:DC280,DE280:$FB280)-SUM(DD$176:DD279,DD281:DD$330)-DD$331</f>
        <v>-1.016740140988337E-24</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4005</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6.5640147670226585E-17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-2.8677147462241592E-17</v>
      </c>
      <c r="DF281" s="184">
        <f t="shared" ref="DF281:EK281" si="612">DF114*DF$168</f>
        <v>1.6297259266090266E-7</v>
      </c>
      <c r="DG281" s="184">
        <f t="shared" si="612"/>
        <v>0.3040387483066806</v>
      </c>
      <c r="DH281" s="184">
        <f t="shared" si="612"/>
        <v>2.9047550379640011E-4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4006</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5.6789831068179968E-4</v>
      </c>
      <c r="CN282" s="190">
        <f t="shared" si="522"/>
        <v>0</v>
      </c>
      <c r="CO282" s="190">
        <f t="shared" si="527"/>
        <v>0</v>
      </c>
      <c r="CP282" s="190">
        <f t="shared" si="532"/>
        <v>4.6696945745034293E-4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-1.5167736242572107E-19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4007</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9.9394365625191577E-2</v>
      </c>
      <c r="CO283" s="190">
        <f t="shared" si="527"/>
        <v>0</v>
      </c>
      <c r="CP283" s="190">
        <f t="shared" si="532"/>
        <v>0</v>
      </c>
      <c r="CQ283" s="190">
        <f t="shared" si="537"/>
        <v>0.21271562090556478</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7.9409675235185128E-4</v>
      </c>
      <c r="DG283" s="189">
        <f>$C283+SUM($D283:DF283,DH283:$FB283)-SUM(DG$176:DG282,DG284:DG$330)-DG$331</f>
        <v>2.0735366548785272E-17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4008</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6.6507114336114883E-7</v>
      </c>
      <c r="CP284" s="190">
        <f t="shared" si="532"/>
        <v>0</v>
      </c>
      <c r="CQ284" s="190">
        <f t="shared" si="537"/>
        <v>0</v>
      </c>
      <c r="CR284" s="190">
        <f t="shared" si="542"/>
        <v>4.9208276328414537E-5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2.4060329113995924E-4</v>
      </c>
      <c r="DG284" s="190">
        <f t="shared" ref="DG284:DG330" si="627">DG117*DG$168</f>
        <v>0</v>
      </c>
      <c r="DH284" s="189">
        <f>$C284+SUM($D284:DG284,DI284:$FB284)-SUM(DH$176:DH283,DH285:DH$330)-DH$331</f>
        <v>-1.0842021724855044E-19</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4009</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6.296746683395861E-18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1.516763870753014E-33</v>
      </c>
      <c r="DJ285" s="184">
        <f t="shared" ref="DJ285:FB285" si="633">DJ118*DJ$168</f>
        <v>0</v>
      </c>
      <c r="DK285" s="184">
        <f t="shared" si="633"/>
        <v>0</v>
      </c>
      <c r="DL285" s="184">
        <f t="shared" si="633"/>
        <v>0</v>
      </c>
      <c r="DM285" s="184">
        <f t="shared" si="633"/>
        <v>0</v>
      </c>
      <c r="DN285" s="184">
        <f t="shared" si="633"/>
        <v>0</v>
      </c>
      <c r="DO285" s="184">
        <f t="shared" si="633"/>
        <v>0</v>
      </c>
      <c r="DP285" s="184">
        <f t="shared" si="633"/>
        <v>2.7288630357283014E-24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3.3010130748256677E-26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4010</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1.2874105921963639E-4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-4.1630139073415639E-20</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4011</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0.26459409893610236</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1.0976278913325139E-4</v>
      </c>
      <c r="DK287" s="189">
        <f>$C287+SUM($D287:DJ287,DL287:$FB287)-SUM(DK$176:DK286,DK288:DK$330)-DK$331</f>
        <v>-6.9388939039072284E-18</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4012</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5.0455334283024989E-7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4.1512595852938171E-7</v>
      </c>
      <c r="DK288" s="190">
        <f t="shared" ref="DK288:DK330" si="647">DK121*DK$168</f>
        <v>0</v>
      </c>
      <c r="DL288" s="189">
        <f>$C288+SUM($D288:DK288,DM288:$FB288)-SUM(DL$176:DL287,DL289:DL$330)-DL$331</f>
        <v>-1.9900640756576054E-22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4013</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5.1781863584090285E-6</v>
      </c>
      <c r="DK289" s="190">
        <f t="shared" si="647"/>
        <v>0</v>
      </c>
      <c r="DL289" s="190">
        <f t="shared" ref="DL289:DL330" si="652">DL122*DL$168</f>
        <v>0</v>
      </c>
      <c r="DM289" s="189">
        <f>$C289+SUM($D289:DL289,DN289:$FB289)-SUM(DM$176:DM288,DM290:DM$330)-DM$331</f>
        <v>-8.4703294725430034E-22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4014</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5.3922570067516488E-2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4015</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8.6431353251459315E-7</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4016</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156.05164126618408</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3.4775664843620344E-18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-5.5715091568130475E-15</v>
      </c>
      <c r="DQ292" s="184">
        <f t="shared" ref="DQ292:FB292" si="668">DQ125*DQ$168</f>
        <v>2.2967022689264978E-8</v>
      </c>
      <c r="DR292" s="184">
        <f t="shared" si="668"/>
        <v>0.12841159134057073</v>
      </c>
      <c r="DS292" s="184">
        <f t="shared" si="668"/>
        <v>7.9781874758859826E-7</v>
      </c>
      <c r="DT292" s="184">
        <f t="shared" si="668"/>
        <v>714.83721098548381</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3.6387988871270566E-2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4017</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7.9215219367757134E-9</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7.6619454623567764E-6</v>
      </c>
      <c r="DK293" s="190">
        <f t="shared" si="647"/>
        <v>0</v>
      </c>
      <c r="DL293" s="190">
        <f t="shared" si="652"/>
        <v>0</v>
      </c>
      <c r="DM293" s="190">
        <f t="shared" si="657"/>
        <v>3.1069118150454175E-6</v>
      </c>
      <c r="DN293" s="190">
        <f t="shared" si="662"/>
        <v>0</v>
      </c>
      <c r="DO293" s="190">
        <f t="shared" si="667"/>
        <v>0</v>
      </c>
      <c r="DP293" s="190">
        <f t="shared" ref="DP293:DP330" si="672">DP126*DP$168</f>
        <v>0</v>
      </c>
      <c r="DQ293" s="189">
        <f>$C293+SUM($D293:DP293,DR293:$FB293)-SUM(DQ$176:DQ292,DQ294:DQ$330)-DQ$331</f>
        <v>3.3881317890172014E-21</v>
      </c>
      <c r="DR293" s="184">
        <f t="shared" ref="DR293:FB293" si="673">DR126*DR$168</f>
        <v>0</v>
      </c>
      <c r="DS293" s="184">
        <f t="shared" si="673"/>
        <v>0</v>
      </c>
      <c r="DT293" s="184">
        <f t="shared" si="673"/>
        <v>0</v>
      </c>
      <c r="DU293" s="184">
        <f t="shared" si="673"/>
        <v>8.4959322072298991E-16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1.0017507679316931E-11</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4018</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2.0209559109285536E-3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9.6583085921087219E-2</v>
      </c>
      <c r="DL294" s="190">
        <f t="shared" si="652"/>
        <v>0</v>
      </c>
      <c r="DM294" s="190">
        <f t="shared" si="657"/>
        <v>0</v>
      </c>
      <c r="DN294" s="190">
        <f t="shared" si="662"/>
        <v>3.2353542040509893E-2</v>
      </c>
      <c r="DO294" s="190">
        <f t="shared" si="667"/>
        <v>0</v>
      </c>
      <c r="DP294" s="190">
        <f t="shared" si="672"/>
        <v>0</v>
      </c>
      <c r="DQ294" s="190">
        <f t="shared" ref="DQ294:DQ330" si="677">DQ127*DQ$168</f>
        <v>1.0662069650211485E-5</v>
      </c>
      <c r="DR294" s="189">
        <f>$C294+SUM($D294:DQ294,DS294:$FB294)-SUM(DR$176:DR293,DR295:DR$330)-DR$331</f>
        <v>5.5511151231257827E-17</v>
      </c>
      <c r="DS294" s="184">
        <f t="shared" ref="DS294:FB294" si="678">DS127*DS$168</f>
        <v>0</v>
      </c>
      <c r="DT294" s="184">
        <f t="shared" si="678"/>
        <v>0</v>
      </c>
      <c r="DU294" s="184">
        <f t="shared" si="678"/>
        <v>0</v>
      </c>
      <c r="DV294" s="184">
        <f t="shared" si="678"/>
        <v>2.2307683958665013E-6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3.7664611518742916E-4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4019</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2.0643172549913864E-7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1.9625039811705689E-8</v>
      </c>
      <c r="DM295" s="190">
        <f t="shared" si="657"/>
        <v>0</v>
      </c>
      <c r="DN295" s="190">
        <f t="shared" si="662"/>
        <v>0</v>
      </c>
      <c r="DO295" s="190">
        <f t="shared" si="667"/>
        <v>5.1858811950875593E-7</v>
      </c>
      <c r="DP295" s="190">
        <f t="shared" si="672"/>
        <v>0</v>
      </c>
      <c r="DQ295" s="190">
        <f t="shared" si="677"/>
        <v>9.1228056006984018E-8</v>
      </c>
      <c r="DR295" s="190">
        <f t="shared" ref="DR295:DR330" si="682">DR128*DR$168</f>
        <v>0</v>
      </c>
      <c r="DS295" s="189">
        <f>$C295+SUM($D295:DR295,DT295:$FB295)-SUM(DS$176:DS294,DS296:DS$330)-DS$331</f>
        <v>2.1175823681357508E-22</v>
      </c>
      <c r="DT295" s="184">
        <f t="shared" ref="DT295:FB295" si="683">DT128*DT$168</f>
        <v>0</v>
      </c>
      <c r="DU295" s="184">
        <f t="shared" si="683"/>
        <v>0</v>
      </c>
      <c r="DV295" s="184">
        <f t="shared" si="683"/>
        <v>0</v>
      </c>
      <c r="DW295" s="184">
        <f t="shared" si="683"/>
        <v>2.8924858562589883E-11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7.0098252500573658E-12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4020</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871.05365265266357</v>
      </c>
      <c r="DQ296" s="190">
        <f t="shared" si="677"/>
        <v>0</v>
      </c>
      <c r="DR296" s="190">
        <f t="shared" si="682"/>
        <v>0</v>
      </c>
      <c r="DS296" s="190">
        <f t="shared" ref="DS296:DS330" si="687">DS129*DS$168</f>
        <v>0</v>
      </c>
      <c r="DT296" s="189">
        <f>$C296+SUM($D296:DS296,DU296:$FB296)-SUM(DT$176:DT295,DT297:DT$330)-DT$331</f>
        <v>2.9311999385239153E-14</v>
      </c>
      <c r="DU296" s="184">
        <f t="shared" ref="DU296:FB296" si="688">DU129*DU$168</f>
        <v>1.1169673002474095E-12</v>
      </c>
      <c r="DV296" s="184">
        <f t="shared" si="688"/>
        <v>2.9328098339671993E-3</v>
      </c>
      <c r="DW296" s="184">
        <f t="shared" si="688"/>
        <v>3.8027753035977035E-8</v>
      </c>
      <c r="DX296" s="184">
        <f t="shared" si="688"/>
        <v>247.89656981138353</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4021</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5.2408878850489429E-10</v>
      </c>
      <c r="DR297" s="190">
        <f t="shared" si="682"/>
        <v>0</v>
      </c>
      <c r="DS297" s="190">
        <f t="shared" si="687"/>
        <v>0</v>
      </c>
      <c r="DT297" s="190">
        <f t="shared" ref="DT297:DT330" si="692">DT130*DT$168</f>
        <v>0</v>
      </c>
      <c r="DU297" s="189">
        <f>$C297+SUM($D297:DT297,DV297:$FB297)-SUM(DU$176:DU296,DU298:DU$330)-DU$331</f>
        <v>-2.0679515313825692E-25</v>
      </c>
      <c r="DV297" s="184">
        <f t="shared" ref="DV297:FB297" si="693">DV130*DV$168</f>
        <v>0</v>
      </c>
      <c r="DW297" s="184">
        <f t="shared" si="693"/>
        <v>0</v>
      </c>
      <c r="DX297" s="184">
        <f t="shared" si="693"/>
        <v>0</v>
      </c>
      <c r="DY297" s="184">
        <f t="shared" si="693"/>
        <v>6.9778918361492616E-27</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4022</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2.9355314851884041E-3</v>
      </c>
      <c r="DS298" s="190">
        <f t="shared" si="687"/>
        <v>0</v>
      </c>
      <c r="DT298" s="190">
        <f t="shared" si="692"/>
        <v>0</v>
      </c>
      <c r="DU298" s="190">
        <f t="shared" ref="DU298:DU330" si="697">DU131*DU$168</f>
        <v>5.1853404393652811E-10</v>
      </c>
      <c r="DV298" s="189">
        <f>$C298+SUM($D298:DU298,DW298:$FB298)-SUM(DV$176:DV297,DV299:DV$330)-DV$331</f>
        <v>-1.3010426069826053E-18</v>
      </c>
      <c r="DW298" s="184">
        <f t="shared" ref="DW298:FB298" si="698">DW131*DW$168</f>
        <v>0</v>
      </c>
      <c r="DX298" s="184">
        <f t="shared" si="698"/>
        <v>0</v>
      </c>
      <c r="DY298" s="184">
        <f t="shared" si="698"/>
        <v>0</v>
      </c>
      <c r="DZ298" s="184">
        <f t="shared" si="698"/>
        <v>3.3192485003607844E-12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4023</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3.8090127921798411E-8</v>
      </c>
      <c r="DT299" s="190">
        <f t="shared" si="692"/>
        <v>0</v>
      </c>
      <c r="DU299" s="190">
        <f t="shared" si="697"/>
        <v>4.4367420541874996E-12</v>
      </c>
      <c r="DV299" s="190">
        <f t="shared" ref="DV299:DV330" si="702">DV132*DV$168</f>
        <v>0</v>
      </c>
      <c r="DW299" s="189">
        <f>$C299+SUM($D299:DV299,DX299:$FB299)-SUM(DW$176:DW298,DW300:DW$330)-DW$331</f>
        <v>6.6174449004242214E-24</v>
      </c>
      <c r="DX299" s="184">
        <f t="shared" ref="DX299:FB299" si="703">DX132*DX$168</f>
        <v>0</v>
      </c>
      <c r="DY299" s="184">
        <f t="shared" si="703"/>
        <v>0</v>
      </c>
      <c r="DZ299" s="184">
        <f t="shared" si="703"/>
        <v>0</v>
      </c>
      <c r="EA299" s="184">
        <f t="shared" si="703"/>
        <v>2.5797142180127178E-14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4024</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247.95069852815209</v>
      </c>
      <c r="DU300" s="190">
        <f t="shared" si="697"/>
        <v>0</v>
      </c>
      <c r="DV300" s="190">
        <f t="shared" si="702"/>
        <v>0</v>
      </c>
      <c r="DW300" s="190">
        <f t="shared" ref="DW300:DW330" si="707">DW133*DW$168</f>
        <v>0</v>
      </c>
      <c r="DX300" s="189">
        <f>$C300+SUM($D300:DW300,DY300:$FB300)-SUM(DX$176:DX299,DX301:DX$330)-DX$331</f>
        <v>8.0921380707366097E-14</v>
      </c>
      <c r="DY300" s="184">
        <f t="shared" ref="DY300:FB300" si="708">DY133*DY$168</f>
        <v>8.538791857772695E-24</v>
      </c>
      <c r="DZ300" s="184">
        <f t="shared" si="708"/>
        <v>4.0617385213648688E-9</v>
      </c>
      <c r="EA300" s="184">
        <f t="shared" si="708"/>
        <v>3.1567761836078227E-11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4025</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1.6307260313802431E-20</v>
      </c>
      <c r="DV301" s="190">
        <f t="shared" si="702"/>
        <v>0</v>
      </c>
      <c r="DW301" s="190">
        <f t="shared" si="707"/>
        <v>0</v>
      </c>
      <c r="DX301" s="190">
        <f t="shared" ref="DX301:DX330" si="712">DX134*DX$168</f>
        <v>0</v>
      </c>
      <c r="DY301" s="189">
        <f>$C301+SUM($D301:DX301,DZ301:$FB301)-SUM(DY$176:DY300,DY302:DY$330)-DY$331</f>
        <v>5.8456593579646153E-36</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4026</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4.0650584975272783E-9</v>
      </c>
      <c r="DW302" s="190">
        <f t="shared" si="707"/>
        <v>0</v>
      </c>
      <c r="DX302" s="190">
        <f t="shared" si="712"/>
        <v>0</v>
      </c>
      <c r="DY302" s="190">
        <f t="shared" ref="DY302:DY330" si="717">DY135*DY$168</f>
        <v>3.9614548489876586E-21</v>
      </c>
      <c r="DZ302" s="189">
        <f>$C302+SUM($D302:DY302,EA302:$FB302)-SUM(DZ$176:DZ301,DZ303:DZ$330)-DZ$331</f>
        <v>1.3090459427079017E-24</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4027</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3.1593564621328781E-11</v>
      </c>
      <c r="DX303" s="190">
        <f t="shared" si="712"/>
        <v>0</v>
      </c>
      <c r="DY303" s="190">
        <f t="shared" si="717"/>
        <v>1.2337259693535423E-20</v>
      </c>
      <c r="DZ303" s="190">
        <f t="shared" ref="DZ303:DZ330" si="722">DZ136*DZ$168</f>
        <v>0</v>
      </c>
      <c r="EA303" s="189">
        <f>$C303+SUM($D303:DZ303,EB303:$FB303)-SUM(EA$176:EA302,EA304:EA$330)-EA$331</f>
        <v>-8.5046917006322399E-27</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4028</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2.3183776562413565E-18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6.7423822601442307E-19</v>
      </c>
      <c r="EC304" s="184">
        <f t="shared" ref="EC304:FB304" si="728">EC137*EC$168</f>
        <v>9.6819339743237802E-10</v>
      </c>
      <c r="ED304" s="184">
        <f t="shared" si="728"/>
        <v>3.6402895167821775E-2</v>
      </c>
      <c r="EE304" s="184">
        <f t="shared" si="728"/>
        <v>1.7942853417464838E-6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4029</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3.7186360734942909E-6</v>
      </c>
      <c r="DK305" s="190">
        <f t="shared" si="647"/>
        <v>0</v>
      </c>
      <c r="DL305" s="190">
        <f t="shared" si="652"/>
        <v>0</v>
      </c>
      <c r="DM305" s="190">
        <f t="shared" si="657"/>
        <v>2.0712745433636114E-6</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-2.689769814636711E-22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4030</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1.5208696670553551E-2</v>
      </c>
      <c r="DL306" s="190">
        <f t="shared" si="652"/>
        <v>0</v>
      </c>
      <c r="DM306" s="190">
        <f t="shared" si="657"/>
        <v>0</v>
      </c>
      <c r="DN306" s="190">
        <f t="shared" si="662"/>
        <v>2.1569028027006595E-2</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4.3534487597894161E-6</v>
      </c>
      <c r="ED306" s="189">
        <f>$C306+SUM($D306:EC306,EE306:$FB306)-SUM(ED$176:ED305,ED307:ED$330)-ED$331</f>
        <v>4.4320998965081265E-18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4031</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1.3083359874470461E-8</v>
      </c>
      <c r="DM307" s="190">
        <f t="shared" si="657"/>
        <v>0</v>
      </c>
      <c r="DN307" s="190">
        <f t="shared" si="662"/>
        <v>0</v>
      </c>
      <c r="DO307" s="190">
        <f t="shared" si="667"/>
        <v>3.4572541300583727E-7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1.4354835786914258E-6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4032</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1.0906285178032451E-17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-2.5477645751812646E-31</v>
      </c>
      <c r="EG308" s="190">
        <f t="shared" ref="EG308:FB308" si="752">EG141*EG$168</f>
        <v>0</v>
      </c>
      <c r="EH308" s="190">
        <f t="shared" si="752"/>
        <v>0</v>
      </c>
      <c r="EI308" s="190">
        <f t="shared" si="752"/>
        <v>0</v>
      </c>
      <c r="EJ308" s="190">
        <f t="shared" si="752"/>
        <v>0</v>
      </c>
      <c r="EK308" s="190">
        <f t="shared" si="752"/>
        <v>0</v>
      </c>
      <c r="EL308" s="190">
        <f t="shared" si="752"/>
        <v>0</v>
      </c>
      <c r="EM308" s="190">
        <f t="shared" si="752"/>
        <v>3.1127067920242903E-15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1.8996106727589158E-17</v>
      </c>
      <c r="EZ308" s="190">
        <f t="shared" si="752"/>
        <v>0</v>
      </c>
      <c r="FA308" s="190">
        <f t="shared" si="752"/>
        <v>0</v>
      </c>
      <c r="FB308" s="191">
        <f t="shared" si="752"/>
        <v>0</v>
      </c>
    </row>
    <row r="309" spans="2:158" ht="12.75" customHeight="1" x14ac:dyDescent="0.3">
      <c r="B309" s="207" t="s">
        <v>4033</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2.2298605558864387E-4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-5.4387745660820984E-20</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4034</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0.45829042274023551</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1.840988833508672E-4</v>
      </c>
      <c r="EH310" s="189">
        <f>$C310+SUM($D310:EG310,EI310:$FB310)-SUM(EH$176:EH309,EH311:EH$330)-EH$331</f>
        <v>-1.277732260274167E-16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4035</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8.7391202491071098E-7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7.468324335555361E-7</v>
      </c>
      <c r="EH311" s="190">
        <f t="shared" ref="EH311:EH330" si="769">EH144*EH$168</f>
        <v>0</v>
      </c>
      <c r="EI311" s="189">
        <f>$C311+SUM($D311:EH311,EJ311:$FB311)-SUM(EI$176:EI310,EI312:EI$330)-EI$331</f>
        <v>-2.4996848811726973E-22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4036</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1.6649457734971345E-5</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4037</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0.17485187965623819</v>
      </c>
      <c r="EI313" s="190">
        <f t="shared" si="775"/>
        <v>0</v>
      </c>
      <c r="EJ313" s="190">
        <f t="shared" ref="EJ313:EJ330" si="781">EJ146*EJ$168</f>
        <v>0</v>
      </c>
      <c r="EK313" s="189">
        <f>$C313+SUM($D313:EJ313,EL313:$FB313)-SUM(EK$176:EK312,EK314:EK$330)-EK$331</f>
        <v>-2.7755575615628914E-17</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4038</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1.6043969187787815E-6</v>
      </c>
      <c r="EJ314" s="190">
        <f t="shared" si="781"/>
        <v>0</v>
      </c>
      <c r="EK314" s="190">
        <f t="shared" ref="EK314:EK330" si="787">EK147*EK$168</f>
        <v>0</v>
      </c>
      <c r="EL314" s="189">
        <f>$C314+SUM($D314:EK314,EM314:$FB314)-SUM(EL$176:EL313,EL315:EL$330)-EL$331</f>
        <v>0</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4039</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2.0961173256034174E-15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-2.5365592650545783E-13</v>
      </c>
      <c r="EN315" s="190">
        <f t="shared" ref="EN315:FB315" si="793">EN148*EN$168</f>
        <v>4.982591998977309E-8</v>
      </c>
      <c r="EO315" s="190">
        <f t="shared" si="793"/>
        <v>0.29840998149893894</v>
      </c>
      <c r="EP315" s="190">
        <f t="shared" si="793"/>
        <v>1.2850588603167554E-6</v>
      </c>
      <c r="EQ315" s="190">
        <f t="shared" si="793"/>
        <v>2268.1338478975144</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6.7839285594339244E-2</v>
      </c>
      <c r="EZ315" s="190">
        <f t="shared" si="793"/>
        <v>0</v>
      </c>
      <c r="FA315" s="190">
        <f t="shared" si="793"/>
        <v>0</v>
      </c>
      <c r="FB315" s="191">
        <f t="shared" si="793"/>
        <v>0</v>
      </c>
    </row>
    <row r="316" spans="2:158" ht="12.75" customHeight="1" x14ac:dyDescent="0.3">
      <c r="B316" s="207" t="s">
        <v>4040</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1.4815537379662551E-5</v>
      </c>
      <c r="EH316" s="190">
        <f t="shared" si="769"/>
        <v>0</v>
      </c>
      <c r="EI316" s="190">
        <f t="shared" si="775"/>
        <v>0</v>
      </c>
      <c r="EJ316" s="190">
        <f t="shared" si="781"/>
        <v>1.1654620414479941E-5</v>
      </c>
      <c r="EK316" s="190">
        <f t="shared" si="787"/>
        <v>0</v>
      </c>
      <c r="EL316" s="190">
        <f t="shared" si="792"/>
        <v>0</v>
      </c>
      <c r="EM316" s="190">
        <f t="shared" ref="EM316:EM330" si="797">EM149*EM$168</f>
        <v>0</v>
      </c>
      <c r="EN316" s="189">
        <f>$C316+SUM($D316:EM316,EO316:$FB316)-SUM(EN$176:EN315,EN317:EN$330)-EN$331</f>
        <v>0</v>
      </c>
      <c r="EO316" s="190">
        <f t="shared" ref="EO316:FB316" si="798">EO149*EO$168</f>
        <v>0</v>
      </c>
      <c r="EP316" s="190">
        <f t="shared" si="798"/>
        <v>0</v>
      </c>
      <c r="EQ316" s="190">
        <f t="shared" si="798"/>
        <v>0</v>
      </c>
      <c r="ER316" s="190">
        <f t="shared" si="798"/>
        <v>1.1595387529304841E-15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8.0230948242156409E-11</v>
      </c>
      <c r="FA316" s="190">
        <f t="shared" si="798"/>
        <v>0</v>
      </c>
      <c r="FB316" s="191">
        <f t="shared" si="798"/>
        <v>0</v>
      </c>
    </row>
    <row r="317" spans="2:158" ht="12.75" customHeight="1" x14ac:dyDescent="0.3">
      <c r="B317" s="207" t="s">
        <v>4041</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0.17851255269081578</v>
      </c>
      <c r="EI317" s="190">
        <f t="shared" si="775"/>
        <v>0</v>
      </c>
      <c r="EJ317" s="190">
        <f t="shared" si="781"/>
        <v>0</v>
      </c>
      <c r="EK317" s="190">
        <f t="shared" si="787"/>
        <v>0.12239631575936676</v>
      </c>
      <c r="EL317" s="190">
        <f t="shared" si="792"/>
        <v>0</v>
      </c>
      <c r="EM317" s="190">
        <f t="shared" si="797"/>
        <v>0</v>
      </c>
      <c r="EN317" s="190">
        <f t="shared" ref="EN317:EN330" si="802">EN150*EN$168</f>
        <v>2.6207013984856291E-5</v>
      </c>
      <c r="EO317" s="189">
        <f>$C317+SUM($D317:EN317,EP317:$FB317)-SUM(EO$176:EO316,EO318:EO$330)-EO$331</f>
        <v>5.5511151231257827E-17</v>
      </c>
      <c r="EP317" s="190">
        <f t="shared" ref="EP317:FB317" si="803">EP150*EP$168</f>
        <v>0</v>
      </c>
      <c r="EQ317" s="190">
        <f t="shared" si="803"/>
        <v>0</v>
      </c>
      <c r="ER317" s="190">
        <f t="shared" si="803"/>
        <v>0</v>
      </c>
      <c r="ES317" s="190">
        <f t="shared" si="803"/>
        <v>3.6955529605083162E-6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3.6554240910244328E-3</v>
      </c>
      <c r="FB317" s="191">
        <f t="shared" si="803"/>
        <v>0</v>
      </c>
    </row>
    <row r="318" spans="2:158" ht="12.75" customHeight="1" x14ac:dyDescent="0.3">
      <c r="B318" s="207" t="s">
        <v>4042</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8.1732446507638624E-9</v>
      </c>
      <c r="EJ318" s="190">
        <f t="shared" si="781"/>
        <v>0</v>
      </c>
      <c r="EK318" s="190">
        <f t="shared" si="787"/>
        <v>0</v>
      </c>
      <c r="EL318" s="190">
        <f t="shared" si="792"/>
        <v>1.123077843145147E-6</v>
      </c>
      <c r="EM318" s="190">
        <f t="shared" si="797"/>
        <v>0</v>
      </c>
      <c r="EN318" s="190">
        <f t="shared" si="802"/>
        <v>2.1236758488928619E-7</v>
      </c>
      <c r="EO318" s="190">
        <f t="shared" ref="EO318:EO330" si="807">EO151*EO$168</f>
        <v>0</v>
      </c>
      <c r="EP318" s="189">
        <f>$C318+SUM($D318:EO318,EQ318:$FB318)-SUM(EP$176:EP317,EP319:EP$330)-EP$331</f>
        <v>6.3527471044072525E-22</v>
      </c>
      <c r="EQ318" s="190">
        <f t="shared" ref="EQ318:FB318" si="808">EQ151*EQ$168</f>
        <v>0</v>
      </c>
      <c r="ER318" s="190">
        <f t="shared" si="808"/>
        <v>0</v>
      </c>
      <c r="ES318" s="190">
        <f t="shared" si="808"/>
        <v>0</v>
      </c>
      <c r="ET318" s="190">
        <f t="shared" si="808"/>
        <v>3.6600892221968663E-11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1.0477241971008117E-11</v>
      </c>
    </row>
    <row r="319" spans="2:158" ht="12.75" customHeight="1" x14ac:dyDescent="0.3">
      <c r="B319" s="207" t="s">
        <v>4043</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156.05305414463282</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2112.2785393424347</v>
      </c>
      <c r="EN319" s="190">
        <f t="shared" si="802"/>
        <v>0</v>
      </c>
      <c r="EO319" s="190">
        <f t="shared" si="807"/>
        <v>0</v>
      </c>
      <c r="EP319" s="190">
        <f t="shared" ref="EP319:EP330" si="812">EP152*EP$168</f>
        <v>0</v>
      </c>
      <c r="EQ319" s="189">
        <f>$C319+SUM($D319:EP319,ER319:$FB319)-SUM(EQ$176:EQ318,EQ320:EQ$330)-EQ$331</f>
        <v>2.5460741063923862E-13</v>
      </c>
      <c r="ER319" s="190">
        <f t="shared" ref="ER319:FB319" si="813">ER152*ER$168</f>
        <v>1.8063224383075419E-12</v>
      </c>
      <c r="ES319" s="190">
        <f t="shared" si="813"/>
        <v>5.7569099934344625E-3</v>
      </c>
      <c r="ET319" s="190">
        <f t="shared" si="813"/>
        <v>5.7016647969316768E-8</v>
      </c>
      <c r="EU319" s="190">
        <f t="shared" si="813"/>
        <v>931.99296389410631</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4044</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1.0969273269464495E-14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9.5956953017640785E-10</v>
      </c>
      <c r="EO320" s="190">
        <f t="shared" si="807"/>
        <v>0</v>
      </c>
      <c r="EP320" s="190">
        <f t="shared" si="812"/>
        <v>0</v>
      </c>
      <c r="EQ320" s="190">
        <f t="shared" ref="EQ320:EQ330" si="817">EQ153*EQ$168</f>
        <v>0</v>
      </c>
      <c r="ER320" s="189">
        <f>$C320+SUM($D320:EQ320,ES320:$FB320)-SUM(ER$176:ER319,ER321:ER$330)-ER$331</f>
        <v>0</v>
      </c>
      <c r="ES320" s="190">
        <f t="shared" ref="ES320:FB320" si="818">ES153*ES$168</f>
        <v>0</v>
      </c>
      <c r="ET320" s="190">
        <f t="shared" si="818"/>
        <v>0</v>
      </c>
      <c r="EU320" s="190">
        <f t="shared" si="818"/>
        <v>0</v>
      </c>
      <c r="EV320" s="190">
        <f t="shared" si="818"/>
        <v>1.0984175384410072E-26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4045</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1.4238589039090763E-6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5.7591887103400309E-3</v>
      </c>
      <c r="EP321" s="190">
        <f t="shared" si="812"/>
        <v>0</v>
      </c>
      <c r="EQ321" s="190">
        <f t="shared" si="817"/>
        <v>0</v>
      </c>
      <c r="ER321" s="190">
        <f t="shared" ref="ER321:ER330" si="822">ER154*ER$168</f>
        <v>9.500741263101973E-10</v>
      </c>
      <c r="ES321" s="189">
        <f>$C321+SUM($D321:ER321,ET321:$FB321)-SUM(ES$176:ES320,ES322:ES$330)-ES$331</f>
        <v>-4.3368086899420177E-18</v>
      </c>
      <c r="ET321" s="190">
        <f t="shared" ref="ET321:FB321" si="823">ET154*ET$168</f>
        <v>0</v>
      </c>
      <c r="EU321" s="190">
        <f t="shared" si="823"/>
        <v>0</v>
      </c>
      <c r="EV321" s="190">
        <f t="shared" si="823"/>
        <v>0</v>
      </c>
      <c r="EW321" s="190">
        <f t="shared" si="823"/>
        <v>6.5154637744735916E-12</v>
      </c>
      <c r="EX321" s="190">
        <f t="shared" si="823"/>
        <v>0</v>
      </c>
      <c r="EY321" s="190">
        <f t="shared" si="823"/>
        <v>0</v>
      </c>
      <c r="EZ321" s="190">
        <f t="shared" si="823"/>
        <v>0</v>
      </c>
      <c r="FA321" s="190">
        <f t="shared" si="823"/>
        <v>0</v>
      </c>
      <c r="FB321" s="191">
        <f t="shared" si="823"/>
        <v>0</v>
      </c>
    </row>
    <row r="322" spans="2:158" ht="12.75" customHeight="1" x14ac:dyDescent="0.3">
      <c r="B322" s="207" t="s">
        <v>4046</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3.1629783069293534E-10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5.6776583053101517E-8</v>
      </c>
      <c r="EQ322" s="190">
        <f t="shared" si="817"/>
        <v>0</v>
      </c>
      <c r="ER322" s="190">
        <f t="shared" si="822"/>
        <v>7.6988911360479684E-12</v>
      </c>
      <c r="ES322" s="190">
        <f t="shared" ref="ES322:ES330" si="827">ES155*ES$168</f>
        <v>0</v>
      </c>
      <c r="ET322" s="189">
        <f>$C322+SUM($D322:ES322,EU322:$FB322)-SUM(ET$176:ET321,ET323:ET$330)-ET$331</f>
        <v>-3.9704669402545328E-23</v>
      </c>
      <c r="EU322" s="190">
        <f t="shared" ref="EU322:FB322" si="828">EU155*EU$168</f>
        <v>0</v>
      </c>
      <c r="EV322" s="190">
        <f t="shared" si="828"/>
        <v>0</v>
      </c>
      <c r="EW322" s="190">
        <f t="shared" si="828"/>
        <v>0</v>
      </c>
      <c r="EX322" s="190">
        <f t="shared" si="828"/>
        <v>3.8678769114990216E-14</v>
      </c>
      <c r="EY322" s="190">
        <f t="shared" si="828"/>
        <v>0</v>
      </c>
      <c r="EZ322" s="190">
        <f t="shared" si="828"/>
        <v>0</v>
      </c>
      <c r="FA322" s="190">
        <f t="shared" si="828"/>
        <v>0</v>
      </c>
      <c r="FB322" s="191">
        <f t="shared" si="828"/>
        <v>0</v>
      </c>
    </row>
    <row r="323" spans="2:158" ht="12.75" customHeight="1" x14ac:dyDescent="0.3">
      <c r="B323" s="207" t="s">
        <v>4047</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932.19646644864133</v>
      </c>
      <c r="ER323" s="190">
        <f t="shared" si="822"/>
        <v>0</v>
      </c>
      <c r="ES323" s="190">
        <f t="shared" si="827"/>
        <v>0</v>
      </c>
      <c r="ET323" s="190">
        <f t="shared" ref="ET323:ET330" si="832">ET156*ET$168</f>
        <v>0</v>
      </c>
      <c r="EU323" s="189">
        <f>$C323+SUM($D323:ET323,EV323:$FB323)-SUM(EU$176:EU322,EU324:EU$330)-EU$331</f>
        <v>-2.0425328095541317E-13</v>
      </c>
      <c r="EV323" s="190">
        <f t="shared" ref="EV323:FB323" si="833">EV156*EV$168</f>
        <v>1.344124981285275E-23</v>
      </c>
      <c r="EW323" s="190">
        <f t="shared" si="833"/>
        <v>7.9729222426281818E-9</v>
      </c>
      <c r="EX323" s="190">
        <f t="shared" si="833"/>
        <v>4.7330908323452519E-11</v>
      </c>
      <c r="EY323" s="190">
        <f t="shared" si="833"/>
        <v>0</v>
      </c>
      <c r="EZ323" s="190">
        <f t="shared" si="833"/>
        <v>0</v>
      </c>
      <c r="FA323" s="190">
        <f t="shared" si="833"/>
        <v>0</v>
      </c>
      <c r="FB323" s="191">
        <f t="shared" si="833"/>
        <v>0</v>
      </c>
    </row>
    <row r="324" spans="2:158" ht="12.75" customHeight="1" x14ac:dyDescent="0.3">
      <c r="B324" s="207" t="s">
        <v>4048</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2.6371560031899635E-20</v>
      </c>
      <c r="ES324" s="190">
        <f t="shared" si="827"/>
        <v>0</v>
      </c>
      <c r="ET324" s="190">
        <f t="shared" si="832"/>
        <v>0</v>
      </c>
      <c r="EU324" s="190">
        <f t="shared" ref="EU324:EU330" si="837">EU157*EU$168</f>
        <v>0</v>
      </c>
      <c r="EV324" s="189">
        <f>$C324+SUM($D324:EU324,EW324:$FB324)-SUM(EV$176:EV323,EV325:EV$330)-EV$331</f>
        <v>-5.407135546576718E-36</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4049</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7.9794385634115423E-9</v>
      </c>
      <c r="ET325" s="190">
        <f t="shared" si="832"/>
        <v>0</v>
      </c>
      <c r="EU325" s="190">
        <f t="shared" si="837"/>
        <v>0</v>
      </c>
      <c r="EV325" s="190">
        <f t="shared" ref="EV325:EV330" si="842">EV158*EV$168</f>
        <v>7.0657137188592173E-21</v>
      </c>
      <c r="EW325" s="189">
        <f>$C325+SUM($D325:EV325,EX325:$FB325)-SUM(EW$176:EW324,EW326:EW$330)-EW$331</f>
        <v>1.5733080350696989E-24</v>
      </c>
      <c r="EX325" s="190">
        <f>EX158*EX$168</f>
        <v>0</v>
      </c>
      <c r="EY325" s="190">
        <f>EY158*EY$168</f>
        <v>0</v>
      </c>
      <c r="EZ325" s="190">
        <f>EZ158*EZ$168</f>
        <v>0</v>
      </c>
      <c r="FA325" s="190">
        <f>FA158*FA$168</f>
        <v>0</v>
      </c>
      <c r="FB325" s="191">
        <f>FB158*FB$168</f>
        <v>0</v>
      </c>
    </row>
    <row r="326" spans="2:158" ht="12.75" customHeight="1" x14ac:dyDescent="0.3">
      <c r="B326" s="207" t="s">
        <v>4050</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4.7369592160913284E-11</v>
      </c>
      <c r="EU326" s="190">
        <f t="shared" si="837"/>
        <v>0</v>
      </c>
      <c r="EV326" s="190">
        <f t="shared" si="842"/>
        <v>1.9292394077607375E-20</v>
      </c>
      <c r="EW326" s="190">
        <f>EW159*EW$168</f>
        <v>0</v>
      </c>
      <c r="EX326" s="189">
        <f>$C326+SUM($D326:EW326,EY326:$FB326)-SUM(EX$176:EX325,EX327:EX$330)-EX$331</f>
        <v>6.2645717080934924E-27</v>
      </c>
      <c r="EY326" s="190">
        <f>EY159*EY$168</f>
        <v>0</v>
      </c>
      <c r="EZ326" s="190">
        <f>EZ159*EZ$168</f>
        <v>0</v>
      </c>
      <c r="FA326" s="190">
        <f>FA159*FA$168</f>
        <v>0</v>
      </c>
      <c r="FB326" s="191">
        <f>FB159*FB$168</f>
        <v>0</v>
      </c>
    </row>
    <row r="327" spans="2:158" ht="12.75" customHeight="1" x14ac:dyDescent="0.3">
      <c r="B327" s="207" t="s">
        <v>4051</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8.9833599668645352E-16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-8.429671891074797E-18</v>
      </c>
      <c r="EZ327" s="190">
        <f>EZ160*EZ$168</f>
        <v>1.4916724997550963E-9</v>
      </c>
      <c r="FA327" s="190">
        <f>FA160*FA$168</f>
        <v>6.7962497153415943E-2</v>
      </c>
      <c r="FB327" s="191">
        <f>FB160*FB$168</f>
        <v>2.681830291041429E-6</v>
      </c>
    </row>
    <row r="328" spans="2:158" ht="12.75" customHeight="1" x14ac:dyDescent="0.3">
      <c r="B328" s="207" t="s">
        <v>4052</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4.8035669763860909E-6</v>
      </c>
      <c r="EH328" s="190">
        <f t="shared" si="769"/>
        <v>0</v>
      </c>
      <c r="EI328" s="190">
        <f t="shared" si="775"/>
        <v>0</v>
      </c>
      <c r="EJ328" s="190">
        <f t="shared" si="781"/>
        <v>4.9948373204914043E-6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-8.6826529629050492E-22</v>
      </c>
      <c r="FA328" s="190">
        <f>FA161*FA$168</f>
        <v>0</v>
      </c>
      <c r="FB328" s="191">
        <f>FB161*FB$168</f>
        <v>0</v>
      </c>
    </row>
    <row r="329" spans="2:158" ht="12.75" customHeight="1" x14ac:dyDescent="0.3">
      <c r="B329" s="207" t="s">
        <v>4053</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1.9179385799364741E-2</v>
      </c>
      <c r="EI329" s="190">
        <f t="shared" si="775"/>
        <v>0</v>
      </c>
      <c r="EJ329" s="190">
        <f t="shared" si="781"/>
        <v>0</v>
      </c>
      <c r="EK329" s="190">
        <f t="shared" si="787"/>
        <v>5.245556389687147E-2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7.5998129793631639E-6</v>
      </c>
      <c r="FA329" s="189">
        <f>$C329+SUM($D329:EZ329,FB329:$FB329)-SUM(FA$176:FA328,FA330:FA$330)-FA$331</f>
        <v>7.2980358735430517E-18</v>
      </c>
      <c r="FB329" s="191">
        <f>FB162*FB$168</f>
        <v>0</v>
      </c>
    </row>
    <row r="330" spans="2:158" ht="12.75" customHeight="1" x14ac:dyDescent="0.3">
      <c r="B330" s="354" t="s">
        <v>4054</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3.5028191360416554E-9</v>
      </c>
      <c r="EJ330" s="190">
        <f t="shared" si="781"/>
        <v>0</v>
      </c>
      <c r="EK330" s="190">
        <f t="shared" si="787"/>
        <v>0</v>
      </c>
      <c r="EL330" s="190">
        <f t="shared" si="792"/>
        <v>4.8131907563363454E-7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2.1970188735137234E-6</v>
      </c>
      <c r="FA330" s="190">
        <f>FA163*FA$168</f>
        <v>0</v>
      </c>
      <c r="FB330" s="404">
        <f>$C330+SUM($D330:FA330)-SUM(FB$176:FB329)-FB$331</f>
        <v>-4.2351647362715017E-22</v>
      </c>
    </row>
    <row r="331" spans="2:158" ht="12.75" customHeight="1" x14ac:dyDescent="0.3">
      <c r="B331" s="186" t="s">
        <v>4063</v>
      </c>
      <c r="C331" s="203"/>
      <c r="D331" s="684">
        <f t="shared" ref="D331:J331" si="858">D338</f>
        <v>3.0436500176902062E-23</v>
      </c>
      <c r="E331" s="684">
        <f>E338</f>
        <v>2.0407526104148994E-5</v>
      </c>
      <c r="F331" s="684">
        <f t="shared" si="858"/>
        <v>9.2503794030892298E-5</v>
      </c>
      <c r="G331" s="684">
        <f t="shared" si="858"/>
        <v>3.7205288526966223E-8</v>
      </c>
      <c r="H331" s="684">
        <f t="shared" si="858"/>
        <v>0</v>
      </c>
      <c r="I331" s="684">
        <f t="shared" si="858"/>
        <v>0</v>
      </c>
      <c r="J331" s="684">
        <f t="shared" si="858"/>
        <v>0</v>
      </c>
      <c r="K331" s="684">
        <f>K338</f>
        <v>6.7619969574084934E-14</v>
      </c>
      <c r="L331" s="204">
        <f t="shared" ref="L331:BN331" si="859">L338</f>
        <v>0</v>
      </c>
      <c r="M331" s="204">
        <f t="shared" si="859"/>
        <v>0</v>
      </c>
      <c r="N331" s="204">
        <f t="shared" si="859"/>
        <v>0</v>
      </c>
      <c r="O331" s="204">
        <f t="shared" si="859"/>
        <v>1.3421382705098211E-14</v>
      </c>
      <c r="P331" s="204">
        <f t="shared" si="859"/>
        <v>0</v>
      </c>
      <c r="Q331" s="204">
        <f t="shared" si="859"/>
        <v>0</v>
      </c>
      <c r="R331" s="204">
        <f t="shared" si="859"/>
        <v>0</v>
      </c>
      <c r="S331" s="204">
        <f t="shared" si="859"/>
        <v>2.4842751603088299E-15</v>
      </c>
      <c r="T331" s="204">
        <f t="shared" si="859"/>
        <v>0</v>
      </c>
      <c r="U331" s="204">
        <f t="shared" si="859"/>
        <v>0</v>
      </c>
      <c r="V331" s="204">
        <f t="shared" si="859"/>
        <v>0</v>
      </c>
      <c r="W331" s="204">
        <f t="shared" si="859"/>
        <v>0.23371148630765803</v>
      </c>
      <c r="X331" s="204">
        <f t="shared" si="859"/>
        <v>5.8735513237633491E-18</v>
      </c>
      <c r="Y331" s="204">
        <f t="shared" si="859"/>
        <v>3.7288277981431954E-7</v>
      </c>
      <c r="Z331" s="204">
        <f t="shared" si="859"/>
        <v>3.8773726288106871E-7</v>
      </c>
      <c r="AA331" s="204">
        <f t="shared" si="859"/>
        <v>4.6132275070097535</v>
      </c>
      <c r="AB331" s="204">
        <f t="shared" si="859"/>
        <v>1.7314736194722743E-13</v>
      </c>
      <c r="AC331" s="204">
        <f t="shared" si="859"/>
        <v>3.2180572507663546E-3</v>
      </c>
      <c r="AD331" s="204">
        <f t="shared" si="859"/>
        <v>1.2512117017126472E-2</v>
      </c>
      <c r="AE331" s="204">
        <f t="shared" si="859"/>
        <v>7.9693150929902049E-2</v>
      </c>
      <c r="AF331" s="204">
        <f t="shared" si="859"/>
        <v>2.2806268898701681E-18</v>
      </c>
      <c r="AG331" s="204">
        <f t="shared" si="859"/>
        <v>2.3058527484336784E-8</v>
      </c>
      <c r="AH331" s="204">
        <f t="shared" si="859"/>
        <v>7.3863446381561113E-8</v>
      </c>
      <c r="AI331" s="204">
        <f t="shared" si="859"/>
        <v>1.0843812738693552E-4</v>
      </c>
      <c r="AJ331" s="204">
        <f t="shared" si="859"/>
        <v>1.9857451607719618E-9</v>
      </c>
      <c r="AK331" s="204">
        <f t="shared" si="859"/>
        <v>1.5171158650518579E-5</v>
      </c>
      <c r="AL331" s="204">
        <f t="shared" si="859"/>
        <v>0</v>
      </c>
      <c r="AM331" s="204">
        <f t="shared" si="859"/>
        <v>3.5717017301921091E-3</v>
      </c>
      <c r="AN331" s="204">
        <f t="shared" si="859"/>
        <v>6.8975976881695839E-8</v>
      </c>
      <c r="AO331" s="204">
        <f t="shared" si="859"/>
        <v>2.132321600601491E-4</v>
      </c>
      <c r="AP331" s="204">
        <f t="shared" si="859"/>
        <v>0</v>
      </c>
      <c r="AQ331" s="204">
        <f t="shared" si="859"/>
        <v>4.0162246683347651E-5</v>
      </c>
      <c r="AR331" s="204">
        <f t="shared" si="859"/>
        <v>1.3073217283390425E-9</v>
      </c>
      <c r="AS331" s="204">
        <f t="shared" si="859"/>
        <v>5.618508764999568E-6</v>
      </c>
      <c r="AT331" s="204">
        <f t="shared" si="859"/>
        <v>0</v>
      </c>
      <c r="AU331" s="204">
        <f t="shared" si="859"/>
        <v>1.2164462162365996E-22</v>
      </c>
      <c r="AV331" s="204">
        <f t="shared" si="859"/>
        <v>4.2132790303651173E-6</v>
      </c>
      <c r="AW331" s="204">
        <f t="shared" si="859"/>
        <v>4.0982648327194461E-4</v>
      </c>
      <c r="AX331" s="204">
        <f t="shared" si="859"/>
        <v>1.3017946105417013E-8</v>
      </c>
      <c r="AY331" s="204">
        <f t="shared" si="859"/>
        <v>0</v>
      </c>
      <c r="AZ331" s="204">
        <f t="shared" si="859"/>
        <v>0</v>
      </c>
      <c r="BA331" s="204">
        <f t="shared" si="859"/>
        <v>0</v>
      </c>
      <c r="BB331" s="204">
        <f t="shared" si="859"/>
        <v>5.8934069477255549E-15</v>
      </c>
      <c r="BC331" s="204">
        <f t="shared" si="859"/>
        <v>0</v>
      </c>
      <c r="BD331" s="204">
        <f t="shared" si="859"/>
        <v>0</v>
      </c>
      <c r="BE331" s="204">
        <f t="shared" si="859"/>
        <v>0</v>
      </c>
      <c r="BF331" s="204">
        <f t="shared" si="859"/>
        <v>6.7405223278602733E-16</v>
      </c>
      <c r="BG331" s="204">
        <f t="shared" si="859"/>
        <v>0</v>
      </c>
      <c r="BH331" s="204">
        <f t="shared" si="859"/>
        <v>0</v>
      </c>
      <c r="BI331" s="204">
        <f t="shared" si="859"/>
        <v>0</v>
      </c>
      <c r="BJ331" s="204">
        <f t="shared" si="859"/>
        <v>2.0315534761982448E-12</v>
      </c>
      <c r="BK331" s="204">
        <f t="shared" si="859"/>
        <v>0</v>
      </c>
      <c r="BL331" s="204">
        <f t="shared" si="859"/>
        <v>0</v>
      </c>
      <c r="BM331" s="204">
        <f t="shared" si="859"/>
        <v>0</v>
      </c>
      <c r="BN331" s="204">
        <f t="shared" si="859"/>
        <v>2.0048289431719494E-2</v>
      </c>
      <c r="BO331" s="204">
        <f t="shared" ref="BO331:DX331" si="860">BO338</f>
        <v>1.7099926295474252E-19</v>
      </c>
      <c r="BP331" s="204">
        <f t="shared" si="860"/>
        <v>1.8849111107382977E-7</v>
      </c>
      <c r="BQ331" s="204">
        <f t="shared" si="860"/>
        <v>5.7904651654304053E-8</v>
      </c>
      <c r="BR331" s="204">
        <f t="shared" si="860"/>
        <v>0.22666380675579817</v>
      </c>
      <c r="BS331" s="204">
        <f t="shared" si="860"/>
        <v>2.1728067251895255E-17</v>
      </c>
      <c r="BT331" s="204">
        <f t="shared" si="860"/>
        <v>3.5553910907569131E-5</v>
      </c>
      <c r="BU331" s="204">
        <f t="shared" si="860"/>
        <v>5.3431802525137525E-6</v>
      </c>
      <c r="BV331" s="204">
        <f t="shared" si="860"/>
        <v>3.250246306315169</v>
      </c>
      <c r="BW331" s="204">
        <f t="shared" si="860"/>
        <v>1.1001384596249798E-18</v>
      </c>
      <c r="BX331" s="204">
        <f t="shared" si="860"/>
        <v>1.4389997814274506E-9</v>
      </c>
      <c r="BY331" s="204">
        <f t="shared" si="860"/>
        <v>2.2263279275434235E-9</v>
      </c>
      <c r="BZ331" s="204">
        <f t="shared" si="860"/>
        <v>8.0689233576621884E-5</v>
      </c>
      <c r="CA331" s="204">
        <f t="shared" si="860"/>
        <v>1.9937443698238018E-10</v>
      </c>
      <c r="CB331" s="204">
        <f t="shared" si="860"/>
        <v>1.3406582798783054E-5</v>
      </c>
      <c r="CC331" s="204">
        <f t="shared" si="860"/>
        <v>0</v>
      </c>
      <c r="CD331" s="204">
        <f t="shared" si="860"/>
        <v>1.8204747868302205E-4</v>
      </c>
      <c r="CE331" s="204">
        <f t="shared" si="860"/>
        <v>3.2255190454365686E-10</v>
      </c>
      <c r="CF331" s="204">
        <f t="shared" si="860"/>
        <v>1.376968125087033E-5</v>
      </c>
      <c r="CG331" s="204">
        <f t="shared" si="860"/>
        <v>0</v>
      </c>
      <c r="CH331" s="204">
        <f t="shared" si="860"/>
        <v>2.9884899043600645E-5</v>
      </c>
      <c r="CI331" s="204">
        <f t="shared" si="860"/>
        <v>1.3125880334065723E-10</v>
      </c>
      <c r="CJ331" s="204">
        <f t="shared" si="860"/>
        <v>4.9653569714561719E-6</v>
      </c>
      <c r="CK331" s="204">
        <f t="shared" si="860"/>
        <v>0</v>
      </c>
      <c r="CL331" s="204">
        <f t="shared" si="860"/>
        <v>6.0809958644331184E-21</v>
      </c>
      <c r="CM331" s="204">
        <f t="shared" si="860"/>
        <v>1.2432989415974744E-7</v>
      </c>
      <c r="CN331" s="204">
        <f t="shared" si="860"/>
        <v>2.5552808494371697E-4</v>
      </c>
      <c r="CO331" s="204">
        <f t="shared" si="860"/>
        <v>4.8726539996078884E-10</v>
      </c>
      <c r="CP331" s="204">
        <f t="shared" si="860"/>
        <v>0</v>
      </c>
      <c r="CQ331" s="204">
        <f t="shared" si="860"/>
        <v>0</v>
      </c>
      <c r="CR331" s="204">
        <f t="shared" si="860"/>
        <v>0</v>
      </c>
      <c r="CS331" s="204">
        <f t="shared" si="860"/>
        <v>1.1108404812226126E-11</v>
      </c>
      <c r="CT331" s="204">
        <f t="shared" si="860"/>
        <v>0</v>
      </c>
      <c r="CU331" s="204">
        <f t="shared" si="860"/>
        <v>0</v>
      </c>
      <c r="CV331" s="204">
        <f t="shared" si="860"/>
        <v>0</v>
      </c>
      <c r="CW331" s="204">
        <f t="shared" si="860"/>
        <v>3.332551616036994E-10</v>
      </c>
      <c r="CX331" s="204">
        <f t="shared" si="860"/>
        <v>0</v>
      </c>
      <c r="CY331" s="204">
        <f t="shared" si="860"/>
        <v>0</v>
      </c>
      <c r="CZ331" s="204">
        <f t="shared" si="860"/>
        <v>0</v>
      </c>
      <c r="DA331" s="204">
        <f t="shared" si="860"/>
        <v>0.11612694335757408</v>
      </c>
      <c r="DB331" s="204">
        <f t="shared" si="860"/>
        <v>1.9083476391020968E-28</v>
      </c>
      <c r="DC331" s="204">
        <f t="shared" si="860"/>
        <v>4.5644102299019607E-15</v>
      </c>
      <c r="DD331" s="204">
        <f t="shared" si="860"/>
        <v>6.0775563835949397E-16</v>
      </c>
      <c r="DE331" s="204">
        <f t="shared" si="860"/>
        <v>3.4799494601736684E-4</v>
      </c>
      <c r="DF331" s="204">
        <f t="shared" si="860"/>
        <v>3.1800485356871325E-11</v>
      </c>
      <c r="DG331" s="204">
        <f t="shared" si="860"/>
        <v>5.9326415599005115E-5</v>
      </c>
      <c r="DH331" s="204">
        <f t="shared" si="860"/>
        <v>0</v>
      </c>
      <c r="DI331" s="204">
        <f t="shared" si="860"/>
        <v>2.6484160379307802E-22</v>
      </c>
      <c r="DJ331" s="204">
        <f t="shared" si="860"/>
        <v>1.0599772234133837E-9</v>
      </c>
      <c r="DK331" s="204">
        <f t="shared" si="860"/>
        <v>5.2348767266459373E-5</v>
      </c>
      <c r="DL331" s="204">
        <f t="shared" si="860"/>
        <v>1.1981929763645937E-11</v>
      </c>
      <c r="DM331" s="204">
        <f t="shared" si="860"/>
        <v>0</v>
      </c>
      <c r="DN331" s="204">
        <f t="shared" si="860"/>
        <v>0</v>
      </c>
      <c r="DO331" s="204">
        <f t="shared" si="860"/>
        <v>0</v>
      </c>
      <c r="DP331" s="204">
        <f t="shared" si="860"/>
        <v>1.9382477504242856E-12</v>
      </c>
      <c r="DQ331" s="204">
        <f t="shared" si="860"/>
        <v>0</v>
      </c>
      <c r="DR331" s="204">
        <f t="shared" si="860"/>
        <v>0</v>
      </c>
      <c r="DS331" s="204">
        <f t="shared" si="860"/>
        <v>0</v>
      </c>
      <c r="DT331" s="204">
        <f t="shared" si="860"/>
        <v>4.7719159843693493E-11</v>
      </c>
      <c r="DU331" s="204">
        <f t="shared" si="860"/>
        <v>0</v>
      </c>
      <c r="DV331" s="204">
        <f t="shared" si="860"/>
        <v>0</v>
      </c>
      <c r="DW331" s="204">
        <f t="shared" si="860"/>
        <v>0</v>
      </c>
      <c r="DX331" s="204">
        <f t="shared" si="860"/>
        <v>5.4128720861801663E-2</v>
      </c>
      <c r="DY331" s="204">
        <f t="shared" ref="DY331:FB331" si="861">DY338</f>
        <v>1.5297362350431186E-30</v>
      </c>
      <c r="DZ331" s="204">
        <f t="shared" si="861"/>
        <v>7.2766600906735685E-16</v>
      </c>
      <c r="EA331" s="204">
        <f t="shared" si="861"/>
        <v>5.6554076904805214E-18</v>
      </c>
      <c r="EB331" s="204">
        <f t="shared" si="861"/>
        <v>1.6701550086358644E-5</v>
      </c>
      <c r="EC331" s="204">
        <f t="shared" si="861"/>
        <v>6.7471949588416383E-14</v>
      </c>
      <c r="ED331" s="204">
        <f t="shared" si="861"/>
        <v>2.5368633107283966E-6</v>
      </c>
      <c r="EE331" s="204">
        <f t="shared" si="861"/>
        <v>0</v>
      </c>
      <c r="EF331" s="204">
        <f t="shared" si="861"/>
        <v>1.3565276743557177E-19</v>
      </c>
      <c r="EG331" s="204">
        <f t="shared" si="861"/>
        <v>1.713815599391345E-9</v>
      </c>
      <c r="EH331" s="204">
        <f t="shared" si="861"/>
        <v>7.8678883206689907E-5</v>
      </c>
      <c r="EI331" s="204">
        <f t="shared" si="861"/>
        <v>4.2772430798099077E-12</v>
      </c>
      <c r="EJ331" s="204">
        <f t="shared" si="861"/>
        <v>0</v>
      </c>
      <c r="EK331" s="204">
        <f t="shared" si="861"/>
        <v>0</v>
      </c>
      <c r="EL331" s="204">
        <f t="shared" si="861"/>
        <v>0</v>
      </c>
      <c r="EM331" s="204">
        <f t="shared" si="861"/>
        <v>6.3008790348837506E-11</v>
      </c>
      <c r="EN331" s="204">
        <f t="shared" si="861"/>
        <v>0</v>
      </c>
      <c r="EO331" s="204">
        <f t="shared" si="861"/>
        <v>0</v>
      </c>
      <c r="EP331" s="204">
        <f t="shared" si="861"/>
        <v>0</v>
      </c>
      <c r="EQ331" s="204">
        <f t="shared" si="861"/>
        <v>2.0297375669465366E-9</v>
      </c>
      <c r="ER331" s="204">
        <f t="shared" si="861"/>
        <v>0</v>
      </c>
      <c r="ES331" s="204">
        <f t="shared" si="861"/>
        <v>0</v>
      </c>
      <c r="ET331" s="204">
        <f t="shared" si="861"/>
        <v>0</v>
      </c>
      <c r="EU331" s="204">
        <f t="shared" si="861"/>
        <v>0.20350256255549046</v>
      </c>
      <c r="EV331" s="204">
        <f t="shared" si="861"/>
        <v>1.444810968025008E-30</v>
      </c>
      <c r="EW331" s="204">
        <f t="shared" si="861"/>
        <v>8.570159519202396E-16</v>
      </c>
      <c r="EX331" s="204">
        <f t="shared" si="861"/>
        <v>5.0876381604722652E-18</v>
      </c>
      <c r="EY331" s="204">
        <f t="shared" si="861"/>
        <v>1.2589488104112489E-4</v>
      </c>
      <c r="EZ331" s="204">
        <f t="shared" si="861"/>
        <v>5.4055261093354888E-13</v>
      </c>
      <c r="FA331" s="204">
        <f t="shared" si="861"/>
        <v>2.4628264775193228E-5</v>
      </c>
      <c r="FB331" s="205">
        <f t="shared" si="861"/>
        <v>0</v>
      </c>
    </row>
    <row r="332" spans="2:158" ht="12.75" customHeight="1" x14ac:dyDescent="0.3">
      <c r="BF332" s="32"/>
      <c r="BG332" s="32"/>
      <c r="BH332" s="32"/>
      <c r="BI332" s="32"/>
    </row>
    <row r="334" spans="2:158" ht="12.75" customHeight="1" x14ac:dyDescent="0.3">
      <c r="B334" s="186" t="s">
        <v>4064</v>
      </c>
      <c r="C334" s="187"/>
      <c r="D334" s="187" t="s">
        <v>3585</v>
      </c>
      <c r="E334" s="187" t="s">
        <v>3586</v>
      </c>
      <c r="F334" s="187" t="s">
        <v>3587</v>
      </c>
      <c r="G334" s="187" t="s">
        <v>3588</v>
      </c>
      <c r="H334" s="187" t="s">
        <v>3589</v>
      </c>
      <c r="I334" s="187" t="s">
        <v>3590</v>
      </c>
      <c r="J334" s="187" t="s">
        <v>3591</v>
      </c>
      <c r="K334" s="187" t="s">
        <v>3592</v>
      </c>
      <c r="L334" s="187" t="s">
        <v>3593</v>
      </c>
      <c r="M334" s="187" t="s">
        <v>3594</v>
      </c>
      <c r="N334" s="187" t="s">
        <v>3595</v>
      </c>
      <c r="O334" s="187" t="s">
        <v>3596</v>
      </c>
      <c r="P334" s="187" t="s">
        <v>3597</v>
      </c>
      <c r="Q334" s="187" t="s">
        <v>3598</v>
      </c>
      <c r="R334" s="187" t="s">
        <v>3599</v>
      </c>
      <c r="S334" s="187" t="s">
        <v>3600</v>
      </c>
      <c r="T334" s="187" t="s">
        <v>3601</v>
      </c>
      <c r="U334" s="187" t="s">
        <v>3602</v>
      </c>
      <c r="V334" s="187" t="s">
        <v>3603</v>
      </c>
      <c r="W334" s="187" t="s">
        <v>3604</v>
      </c>
      <c r="X334" s="187" t="s">
        <v>3605</v>
      </c>
      <c r="Y334" s="187" t="s">
        <v>3606</v>
      </c>
      <c r="Z334" s="187" t="s">
        <v>3607</v>
      </c>
      <c r="AA334" s="187" t="s">
        <v>3608</v>
      </c>
      <c r="AB334" s="187" t="s">
        <v>3609</v>
      </c>
      <c r="AC334" s="187" t="s">
        <v>3610</v>
      </c>
      <c r="AD334" s="187" t="s">
        <v>3611</v>
      </c>
      <c r="AE334" s="187" t="s">
        <v>3612</v>
      </c>
      <c r="AF334" s="187" t="s">
        <v>3613</v>
      </c>
      <c r="AG334" s="187" t="s">
        <v>3614</v>
      </c>
      <c r="AH334" s="187" t="s">
        <v>3615</v>
      </c>
      <c r="AI334" s="187" t="s">
        <v>3616</v>
      </c>
      <c r="AJ334" s="187" t="s">
        <v>3617</v>
      </c>
      <c r="AK334" s="187" t="s">
        <v>3618</v>
      </c>
      <c r="AL334" s="187" t="s">
        <v>3619</v>
      </c>
      <c r="AM334" s="187" t="s">
        <v>3620</v>
      </c>
      <c r="AN334" s="187" t="s">
        <v>3621</v>
      </c>
      <c r="AO334" s="187" t="s">
        <v>3622</v>
      </c>
      <c r="AP334" s="187" t="s">
        <v>3623</v>
      </c>
      <c r="AQ334" s="187" t="s">
        <v>3624</v>
      </c>
      <c r="AR334" s="187" t="s">
        <v>3625</v>
      </c>
      <c r="AS334" s="187" t="s">
        <v>3626</v>
      </c>
      <c r="AT334" s="187" t="s">
        <v>3627</v>
      </c>
      <c r="AU334" s="187" t="s">
        <v>3628</v>
      </c>
      <c r="AV334" s="187" t="s">
        <v>3629</v>
      </c>
      <c r="AW334" s="187" t="s">
        <v>3630</v>
      </c>
      <c r="AX334" s="187" t="s">
        <v>3631</v>
      </c>
      <c r="AY334" s="187" t="s">
        <v>3632</v>
      </c>
      <c r="AZ334" s="187" t="s">
        <v>3633</v>
      </c>
      <c r="BA334" s="187" t="s">
        <v>3634</v>
      </c>
      <c r="BB334" s="187" t="s">
        <v>3635</v>
      </c>
      <c r="BC334" s="187" t="s">
        <v>3636</v>
      </c>
      <c r="BD334" s="187" t="s">
        <v>3637</v>
      </c>
      <c r="BE334" s="187" t="s">
        <v>3638</v>
      </c>
      <c r="BF334" s="187" t="s">
        <v>3639</v>
      </c>
      <c r="BG334" s="187" t="s">
        <v>3640</v>
      </c>
      <c r="BH334" s="187" t="s">
        <v>3641</v>
      </c>
      <c r="BI334" s="187" t="s">
        <v>3642</v>
      </c>
      <c r="BJ334" s="187" t="s">
        <v>3643</v>
      </c>
      <c r="BK334" s="187" t="s">
        <v>3644</v>
      </c>
      <c r="BL334" s="187" t="s">
        <v>3645</v>
      </c>
      <c r="BM334" s="187" t="s">
        <v>3646</v>
      </c>
      <c r="BN334" s="187" t="s">
        <v>3647</v>
      </c>
      <c r="BO334" s="187" t="s">
        <v>3648</v>
      </c>
      <c r="BP334" s="187" t="s">
        <v>3649</v>
      </c>
      <c r="BQ334" s="187" t="s">
        <v>3650</v>
      </c>
      <c r="BR334" s="187" t="s">
        <v>3651</v>
      </c>
      <c r="BS334" s="187" t="s">
        <v>3652</v>
      </c>
      <c r="BT334" s="187" t="s">
        <v>3653</v>
      </c>
      <c r="BU334" s="187" t="s">
        <v>3654</v>
      </c>
      <c r="BV334" s="187" t="s">
        <v>3655</v>
      </c>
      <c r="BW334" s="187" t="s">
        <v>3656</v>
      </c>
      <c r="BX334" s="187" t="s">
        <v>3657</v>
      </c>
      <c r="BY334" s="187" t="s">
        <v>3658</v>
      </c>
      <c r="BZ334" s="187" t="s">
        <v>3659</v>
      </c>
      <c r="CA334" s="187" t="s">
        <v>3660</v>
      </c>
      <c r="CB334" s="187" t="s">
        <v>3661</v>
      </c>
      <c r="CC334" s="187" t="s">
        <v>3662</v>
      </c>
      <c r="CD334" s="187" t="s">
        <v>3663</v>
      </c>
      <c r="CE334" s="187" t="s">
        <v>3664</v>
      </c>
      <c r="CF334" s="187" t="s">
        <v>3665</v>
      </c>
      <c r="CG334" s="187" t="s">
        <v>3666</v>
      </c>
      <c r="CH334" s="187" t="s">
        <v>3667</v>
      </c>
      <c r="CI334" s="187" t="s">
        <v>3668</v>
      </c>
      <c r="CJ334" s="187" t="s">
        <v>3669</v>
      </c>
      <c r="CK334" s="187" t="s">
        <v>3670</v>
      </c>
      <c r="CL334" s="187" t="s">
        <v>3671</v>
      </c>
      <c r="CM334" s="187" t="s">
        <v>3672</v>
      </c>
      <c r="CN334" s="187" t="s">
        <v>3673</v>
      </c>
      <c r="CO334" s="187" t="s">
        <v>3674</v>
      </c>
      <c r="CP334" s="187" t="s">
        <v>3675</v>
      </c>
      <c r="CQ334" s="187" t="s">
        <v>3676</v>
      </c>
      <c r="CR334" s="187" t="s">
        <v>3677</v>
      </c>
      <c r="CS334" s="187" t="s">
        <v>3678</v>
      </c>
      <c r="CT334" s="187" t="s">
        <v>3679</v>
      </c>
      <c r="CU334" s="187" t="s">
        <v>3680</v>
      </c>
      <c r="CV334" s="187" t="s">
        <v>3681</v>
      </c>
      <c r="CW334" s="187" t="s">
        <v>3682</v>
      </c>
      <c r="CX334" s="187" t="s">
        <v>3683</v>
      </c>
      <c r="CY334" s="187" t="s">
        <v>3684</v>
      </c>
      <c r="CZ334" s="187" t="s">
        <v>3685</v>
      </c>
      <c r="DA334" s="187" t="s">
        <v>3686</v>
      </c>
      <c r="DB334" s="187" t="s">
        <v>3687</v>
      </c>
      <c r="DC334" s="187" t="s">
        <v>3688</v>
      </c>
      <c r="DD334" s="187" t="s">
        <v>3689</v>
      </c>
      <c r="DE334" s="187" t="s">
        <v>3690</v>
      </c>
      <c r="DF334" s="187" t="s">
        <v>3691</v>
      </c>
      <c r="DG334" s="187" t="s">
        <v>3692</v>
      </c>
      <c r="DH334" s="187" t="s">
        <v>3693</v>
      </c>
      <c r="DI334" s="187" t="s">
        <v>3694</v>
      </c>
      <c r="DJ334" s="187" t="s">
        <v>3695</v>
      </c>
      <c r="DK334" s="187" t="s">
        <v>3696</v>
      </c>
      <c r="DL334" s="187" t="s">
        <v>3697</v>
      </c>
      <c r="DM334" s="187" t="s">
        <v>3698</v>
      </c>
      <c r="DN334" s="187" t="s">
        <v>3699</v>
      </c>
      <c r="DO334" s="187" t="s">
        <v>3700</v>
      </c>
      <c r="DP334" s="187" t="s">
        <v>3701</v>
      </c>
      <c r="DQ334" s="187" t="s">
        <v>3702</v>
      </c>
      <c r="DR334" s="187" t="s">
        <v>3703</v>
      </c>
      <c r="DS334" s="187" t="s">
        <v>3704</v>
      </c>
      <c r="DT334" s="187" t="s">
        <v>3705</v>
      </c>
      <c r="DU334" s="187" t="s">
        <v>3706</v>
      </c>
      <c r="DV334" s="187" t="s">
        <v>3707</v>
      </c>
      <c r="DW334" s="187" t="s">
        <v>3708</v>
      </c>
      <c r="DX334" s="187" t="s">
        <v>3709</v>
      </c>
      <c r="DY334" s="187" t="s">
        <v>3710</v>
      </c>
      <c r="DZ334" s="187" t="s">
        <v>3711</v>
      </c>
      <c r="EA334" s="187" t="s">
        <v>3712</v>
      </c>
      <c r="EB334" s="187" t="s">
        <v>3713</v>
      </c>
      <c r="EC334" s="187" t="s">
        <v>3714</v>
      </c>
      <c r="ED334" s="187" t="s">
        <v>3715</v>
      </c>
      <c r="EE334" s="187" t="s">
        <v>3716</v>
      </c>
      <c r="EF334" s="187" t="s">
        <v>3717</v>
      </c>
      <c r="EG334" s="187" t="s">
        <v>3718</v>
      </c>
      <c r="EH334" s="187" t="s">
        <v>3719</v>
      </c>
      <c r="EI334" s="187" t="s">
        <v>3720</v>
      </c>
      <c r="EJ334" s="187" t="s">
        <v>3721</v>
      </c>
      <c r="EK334" s="187" t="s">
        <v>3722</v>
      </c>
      <c r="EL334" s="187" t="s">
        <v>3723</v>
      </c>
      <c r="EM334" s="187" t="s">
        <v>3724</v>
      </c>
      <c r="EN334" s="187" t="s">
        <v>3725</v>
      </c>
      <c r="EO334" s="187" t="s">
        <v>3726</v>
      </c>
      <c r="EP334" s="187" t="s">
        <v>3727</v>
      </c>
      <c r="EQ334" s="187" t="s">
        <v>3728</v>
      </c>
      <c r="ER334" s="187" t="s">
        <v>3729</v>
      </c>
      <c r="ES334" s="187" t="s">
        <v>3730</v>
      </c>
      <c r="ET334" s="187" t="s">
        <v>3731</v>
      </c>
      <c r="EU334" s="187" t="s">
        <v>3732</v>
      </c>
      <c r="EV334" s="187" t="s">
        <v>3733</v>
      </c>
      <c r="EW334" s="187" t="s">
        <v>3734</v>
      </c>
      <c r="EX334" s="187" t="s">
        <v>3735</v>
      </c>
      <c r="EY334" s="187" t="s">
        <v>3736</v>
      </c>
      <c r="EZ334" s="187" t="s">
        <v>3737</v>
      </c>
      <c r="FA334" s="187" t="s">
        <v>3738</v>
      </c>
      <c r="FB334" s="194" t="s">
        <v>3739</v>
      </c>
    </row>
    <row r="335" spans="2:158" ht="12.75" customHeight="1" x14ac:dyDescent="0.3">
      <c r="B335" s="188" t="s">
        <v>3742</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4065</v>
      </c>
      <c r="C336" s="176">
        <f>SUM(D336:EY336)</f>
        <v>11958.166070326835</v>
      </c>
      <c r="D336" s="185">
        <f>SUM($D$176:$FB$176)</f>
        <v>1.3531633864715456E-18</v>
      </c>
      <c r="E336" s="185">
        <f>SUM($D$177:$FB$177)</f>
        <v>3.454919882572436E-3</v>
      </c>
      <c r="F336" s="185">
        <f>SUM($D$178:$FB$178)</f>
        <v>2.5004132674627799</v>
      </c>
      <c r="G336" s="185">
        <f>SUM($D$179:$FB$179)</f>
        <v>8.5729659111280863E-3</v>
      </c>
      <c r="H336" s="185">
        <f>SUM($D$180:$FB$180)</f>
        <v>5.4032570634447198E-2</v>
      </c>
      <c r="I336" s="185">
        <f>SUM($D$181:$FB$181)</f>
        <v>4.4150454465616946E-2</v>
      </c>
      <c r="J336" s="185">
        <f>SUM($D$182:$FB$182)</f>
        <v>7.5146239353776128E-3</v>
      </c>
      <c r="K336" s="185">
        <f>SUM($D$183:$FB$183)</f>
        <v>0.27549588130691244</v>
      </c>
      <c r="L336" s="185">
        <f>SUM($D$184:$FB$184)</f>
        <v>9.9133903318267703E-4</v>
      </c>
      <c r="M336" s="185">
        <f>SUM($D$185:$FB$185)</f>
        <v>4.7758692074455116E-3</v>
      </c>
      <c r="N336" s="185">
        <f>SUM($D$186:$FB$186)</f>
        <v>2.6319744427308639E-5</v>
      </c>
      <c r="O336" s="185">
        <f>SUM($D$187:$FB$187)</f>
        <v>46.786587177666235</v>
      </c>
      <c r="P336" s="185">
        <f>SUM($D$188:$FB$188)</f>
        <v>1.0904733858404601E-2</v>
      </c>
      <c r="Q336" s="185">
        <f>SUM($D$189:$FB$189)</f>
        <v>2.4240867456714756</v>
      </c>
      <c r="R336" s="185">
        <f>SUM($D$190:$FB$190)</f>
        <v>0.71208336898508928</v>
      </c>
      <c r="S336" s="185">
        <f>SUM($D$191:$FB$191)</f>
        <v>2.0927668682071832</v>
      </c>
      <c r="T336" s="185">
        <f>SUM($D$192:$FB$192)</f>
        <v>1.4743738855068494E-3</v>
      </c>
      <c r="U336" s="185">
        <f>SUM($D$193:$FB$193)</f>
        <v>0.79973352265634601</v>
      </c>
      <c r="V336" s="185">
        <f>SUM($D$194:$FB$194)</f>
        <v>5.2264307924903691E-3</v>
      </c>
      <c r="W336" s="185">
        <f>SUM($D$195:$FB$195)</f>
        <v>0.23371148630765809</v>
      </c>
      <c r="X336" s="185">
        <f>SUM($D$196:$FB$196)</f>
        <v>9.6838932158238416E-12</v>
      </c>
      <c r="Y336" s="185">
        <f>SUM($D$197:$FB$197)</f>
        <v>1.7372629470743771E-5</v>
      </c>
      <c r="Z336" s="185">
        <f>SUM($D$198:$FB$198)</f>
        <v>1.8064700663804969E-5</v>
      </c>
      <c r="AA336" s="185">
        <f>SUM($D$199:$FB$199)</f>
        <v>46.921504654583394</v>
      </c>
      <c r="AB336" s="185">
        <f>SUM($D$200:$FB$200)</f>
        <v>3.5749177644435067E-7</v>
      </c>
      <c r="AC336" s="185">
        <f>SUM($D$201:$FB$201)</f>
        <v>0.17939962164990231</v>
      </c>
      <c r="AD336" s="185">
        <f>SUM($D$202:$FB$202)</f>
        <v>0.69752303455050124</v>
      </c>
      <c r="AE336" s="185">
        <f>SUM($D$203:$FB$203)</f>
        <v>0.85787135694793426</v>
      </c>
      <c r="AF336" s="185">
        <f>SUM($D$204:$FB$204)</f>
        <v>2.5147225366182404E-11</v>
      </c>
      <c r="AG336" s="185">
        <f>SUM($D$205:$FB$205)</f>
        <v>2.978439143829816E-4</v>
      </c>
      <c r="AH336" s="185">
        <f>SUM($D$206:$FB$206)</f>
        <v>9.5408425429792322E-4</v>
      </c>
      <c r="AI336" s="185">
        <f>SUM($D$207:$FB$207)</f>
        <v>9.4831574967538634E-2</v>
      </c>
      <c r="AJ336" s="185">
        <f>SUM($D$208:$FB$208)</f>
        <v>6.462114145573096E-2</v>
      </c>
      <c r="AK336" s="185">
        <f>SUM($D$209:$FB$209)</f>
        <v>8.0016927399920723E-2</v>
      </c>
      <c r="AL336" s="185">
        <f>SUM($D$210:$FB$210)</f>
        <v>1.7071612114089463E-2</v>
      </c>
      <c r="AM336" s="185">
        <f>SUM($D$211:$FB$211)</f>
        <v>3.123532831126604</v>
      </c>
      <c r="AN336" s="185">
        <f>SUM($D$212:$FB$212)</f>
        <v>0.14360253656829058</v>
      </c>
      <c r="AO336" s="185">
        <f>SUM($D$213:$FB$213)</f>
        <v>2.4332944758711776</v>
      </c>
      <c r="AP336" s="185">
        <f>SUM($D$214:$FB$214)</f>
        <v>0.7213242845835961</v>
      </c>
      <c r="AQ336" s="185">
        <f>SUM($D$215:$FB$215)</f>
        <v>3.5122785675064369E-2</v>
      </c>
      <c r="AR336" s="185">
        <f>SUM($D$216:$FB$216)</f>
        <v>2.3933756094715177E-2</v>
      </c>
      <c r="AS336" s="185">
        <f>SUM($D$217:$FB$217)</f>
        <v>2.9633584243707128E-2</v>
      </c>
      <c r="AT336" s="185">
        <f>SUM($D$218:$FB$218)</f>
        <v>6.3221179425369265E-3</v>
      </c>
      <c r="AU336" s="185">
        <f>SUM($D$219:$FB$219)</f>
        <v>3.1478806290182622E-18</v>
      </c>
      <c r="AV336" s="185">
        <f>SUM($D$220:$FB$220)</f>
        <v>0.52482710782719755</v>
      </c>
      <c r="AW336" s="185">
        <f>SUM($D$221:$FB$221)</f>
        <v>2.9150531838592277</v>
      </c>
      <c r="AX336" s="185">
        <f>SUM($D$222:$FB$222)</f>
        <v>2.7246579020791758E-3</v>
      </c>
      <c r="AY336" s="185">
        <f>SUM($D$223:$FB$223)</f>
        <v>1.1155408825597655E-2</v>
      </c>
      <c r="AZ336" s="185">
        <f>SUM($D$224:$FB$224)</f>
        <v>0.19560306339931618</v>
      </c>
      <c r="BA336" s="185">
        <f>SUM($D$225:$FB$225)</f>
        <v>2.6293296804382896E-3</v>
      </c>
      <c r="BB336" s="185">
        <f>SUM($D$226:$FB$226)</f>
        <v>2.3681707697791377E-2</v>
      </c>
      <c r="BC336" s="185">
        <f>SUM($D$227:$FB$227)</f>
        <v>9.9451577700589833E-5</v>
      </c>
      <c r="BD336" s="185">
        <f>SUM($D$228:$FB$228)</f>
        <v>2.4315627958776025E-3</v>
      </c>
      <c r="BE336" s="185">
        <f>SUM($D$229:$FB$229)</f>
        <v>3.9588776993781274E-6</v>
      </c>
      <c r="BF336" s="185">
        <f>SUM($D$230:$FB$230)</f>
        <v>2.3122568926330089</v>
      </c>
      <c r="BG336" s="185">
        <f>SUM($D$231:$FB$231)</f>
        <v>1.093967805327081E-3</v>
      </c>
      <c r="BH336" s="185">
        <f>SUM($D$232:$FB$232)</f>
        <v>2.6899491178981116E-2</v>
      </c>
      <c r="BI336" s="185">
        <f>SUM($D$233:$FB$233)</f>
        <v>3.0542305268215425E-4</v>
      </c>
      <c r="BJ336" s="185">
        <f>SUM($D$234:$FB$234)</f>
        <v>57.859581108878245</v>
      </c>
      <c r="BK336" s="185">
        <f>SUM($D$235:$FB$235)</f>
        <v>3.2359836901788043E-2</v>
      </c>
      <c r="BL336" s="185">
        <f>SUM($D$236:$FB$236)</f>
        <v>0.89736346168773373</v>
      </c>
      <c r="BM336" s="185">
        <f>SUM($D$237:$FB$237)</f>
        <v>2.3449684157203369E-3</v>
      </c>
      <c r="BN336" s="185">
        <f>SUM($D$238:$FB$238)</f>
        <v>2.0048289431719487E-2</v>
      </c>
      <c r="BO336" s="185">
        <f>SUM($D$239:$FB$239)</f>
        <v>9.7149252310359633E-13</v>
      </c>
      <c r="BP336" s="185">
        <f>SUM($D$240:$FB$240)</f>
        <v>8.8450149641186495E-6</v>
      </c>
      <c r="BQ336" s="185">
        <f>SUM($D$241:$FB$241)</f>
        <v>2.7171971529935305E-6</v>
      </c>
      <c r="BR336" s="185">
        <f>SUM($D$242:$FB$242)</f>
        <v>2.2848945971377677</v>
      </c>
      <c r="BS336" s="185">
        <f>SUM($D$243:$FB$243)</f>
        <v>1.3254697550696144E-10</v>
      </c>
      <c r="BT336" s="185">
        <f>SUM($D$244:$FB$244)</f>
        <v>1.990751759886332E-3</v>
      </c>
      <c r="BU336" s="185">
        <f>SUM($D$245:$FB$245)</f>
        <v>2.9917793062864226E-4</v>
      </c>
      <c r="BV336" s="185">
        <f>SUM($D$246:$FB$246)</f>
        <v>34.460904434124153</v>
      </c>
      <c r="BW336" s="185">
        <f>SUM($D$247:$FB$247)</f>
        <v>2.7608995885362436E-11</v>
      </c>
      <c r="BX336" s="185">
        <f>SUM($D$248:$FB$248)</f>
        <v>1.8606653280178384E-5</v>
      </c>
      <c r="BY336" s="185">
        <f>SUM($D$249:$FB$249)</f>
        <v>2.8787017462008602E-5</v>
      </c>
      <c r="BZ336" s="185">
        <f>SUM($D$250:$FB$250)</f>
        <v>7.0564544845843055E-2</v>
      </c>
      <c r="CA336" s="185">
        <f>SUM($D$251:$FB$251)</f>
        <v>6.4881455835382774E-3</v>
      </c>
      <c r="CB336" s="185">
        <f>SUM($D$252:$FB$252)</f>
        <v>7.0710061584820377E-2</v>
      </c>
      <c r="CC336" s="185">
        <f>SUM($D$253:$FB$253)</f>
        <v>1.856857060540486E-3</v>
      </c>
      <c r="CD336" s="185">
        <f>SUM($D$254:$FB$254)</f>
        <v>0.15920458074186811</v>
      </c>
      <c r="CE336" s="185">
        <f>SUM($D$255:$FB$255)</f>
        <v>1.4418101296751723E-2</v>
      </c>
      <c r="CF336" s="185">
        <f>SUM($D$256:$FB$256)</f>
        <v>0.15713243871280175</v>
      </c>
      <c r="CG336" s="185">
        <f>SUM($D$257:$FB$257)</f>
        <v>4.126036496713518E-3</v>
      </c>
      <c r="CH336" s="185">
        <f>SUM($D$258:$FB$258)</f>
        <v>2.6135014614721005E-2</v>
      </c>
      <c r="CI336" s="185">
        <f>SUM($D$259:$FB$259)</f>
        <v>2.403016882791955E-3</v>
      </c>
      <c r="CJ336" s="185">
        <f>SUM($D$260:$FB$260)</f>
        <v>2.6188679286279666E-2</v>
      </c>
      <c r="CK336" s="185">
        <f>SUM($D$261:$FB$261)</f>
        <v>6.8765441880988694E-4</v>
      </c>
      <c r="CL336" s="185">
        <f>SUM($D$262:$FB$262)</f>
        <v>1.5061820770862163E-16</v>
      </c>
      <c r="CM336" s="185">
        <f>SUM($D$263:$FB$263)</f>
        <v>1.5896417230043352E-2</v>
      </c>
      <c r="CN336" s="185">
        <f>SUM($D$264:$FB$264)</f>
        <v>1.7438460674386036</v>
      </c>
      <c r="CO336" s="185">
        <f>SUM($D$265:$FB$265)</f>
        <v>1.0129622660161215E-4</v>
      </c>
      <c r="CP336" s="185">
        <f>SUM($D$266:$FB$266)</f>
        <v>9.3393891490068629E-4</v>
      </c>
      <c r="CQ336" s="185">
        <f>SUM($D$267:$FB$267)</f>
        <v>0.42543124181112946</v>
      </c>
      <c r="CR336" s="185">
        <f>SUM($D$268:$FB$268)</f>
        <v>9.841655265682902E-5</v>
      </c>
      <c r="CS336" s="185">
        <f>SUM($D$269:$FB$269)</f>
        <v>1185.7133169441734</v>
      </c>
      <c r="CT336" s="185">
        <f>SUM($D$270:$FB$270)</f>
        <v>1.2283476715560526E-3</v>
      </c>
      <c r="CU336" s="185">
        <f>SUM($D$271:$FB$271)</f>
        <v>0.63200183323691028</v>
      </c>
      <c r="CV336" s="185">
        <f>SUM($D$272:$FB$272)</f>
        <v>6.6123423614236656E-5</v>
      </c>
      <c r="CW336" s="185">
        <f>SUM($D$273:$FB$273)</f>
        <v>1538.100619081597</v>
      </c>
      <c r="CX336" s="185">
        <f>SUM($D$274:$FB$274)</f>
        <v>5.1025962036969796E-8</v>
      </c>
      <c r="CY336" s="185">
        <f>SUM($D$275:$FB$275)</f>
        <v>1.3043762435651855E-2</v>
      </c>
      <c r="CZ336" s="185">
        <f>SUM($D$276:$FB$276)</f>
        <v>2.8999593308907659E-6</v>
      </c>
      <c r="DA336" s="185">
        <f>SUM($D$277:$FB$277)</f>
        <v>376.86294848058685</v>
      </c>
      <c r="DB336" s="185">
        <f>SUM($D$278:$FB$278)</f>
        <v>1.4658880548388205E-18</v>
      </c>
      <c r="DC336" s="185">
        <f>SUM($D$279:$FB$279)</f>
        <v>1.8064762507171896E-8</v>
      </c>
      <c r="DD336" s="185">
        <f>SUM($D$280:$FB$280)</f>
        <v>2.4053406062046103E-9</v>
      </c>
      <c r="DE336" s="185">
        <f>SUM($D$281:$FB$281)</f>
        <v>0.3043293867830697</v>
      </c>
      <c r="DF336" s="185">
        <f>SUM($D$282:$FB$282)</f>
        <v>1.0348677681321424E-3</v>
      </c>
      <c r="DG336" s="185">
        <f>SUM($D$283:$FB$283)</f>
        <v>0.31290408328310826</v>
      </c>
      <c r="DH336" s="185">
        <f>SUM($D$284:$FB$284)</f>
        <v>2.904766386117348E-4</v>
      </c>
      <c r="DI336" s="185">
        <f>SUM($D$285:$FB$285)</f>
        <v>6.2967494452690294E-18</v>
      </c>
      <c r="DJ336" s="185">
        <f>SUM($D$286:$FB$286)</f>
        <v>1.2874105921963634E-4</v>
      </c>
      <c r="DK336" s="185">
        <f>SUM($D$287:$FB$287)</f>
        <v>0.26470386172523563</v>
      </c>
      <c r="DL336" s="185">
        <f>SUM($D$288:$FB$288)</f>
        <v>9.1967930135963139E-7</v>
      </c>
      <c r="DM336" s="185">
        <f>SUM($D$289:$FB$289)</f>
        <v>5.1781863584090276E-6</v>
      </c>
      <c r="DN336" s="185">
        <f>SUM($D$290:$FB$290)</f>
        <v>5.3922570067516488E-2</v>
      </c>
      <c r="DO336" s="185">
        <f>SUM($D$291:$FB$291)</f>
        <v>8.6431353251459315E-7</v>
      </c>
      <c r="DP336" s="185">
        <f>SUM($D$292:$FB$292)</f>
        <v>871.05365265266551</v>
      </c>
      <c r="DQ336" s="185">
        <f>SUM($D$293:$FB$293)</f>
        <v>1.0776788817696244E-5</v>
      </c>
      <c r="DR336" s="185">
        <f>SUM($D$294:$FB$294)</f>
        <v>0.13134712282575925</v>
      </c>
      <c r="DS336" s="185">
        <f>SUM($D$295:$FB$295)</f>
        <v>8.3590887551039709E-7</v>
      </c>
      <c r="DT336" s="185">
        <f>SUM($D$296:$FB$296)</f>
        <v>1118.95315531191</v>
      </c>
      <c r="DU336" s="185">
        <f>SUM($D$297:$FB$297)</f>
        <v>5.2408878850489408E-10</v>
      </c>
      <c r="DV336" s="185">
        <f>SUM($D$298:$FB$298)</f>
        <v>2.9355320070416952E-3</v>
      </c>
      <c r="DW336" s="185">
        <f>SUM($D$299:$FB$299)</f>
        <v>3.8094590460994789E-8</v>
      </c>
      <c r="DX336" s="185">
        <f>SUM($D$300:$FB$300)</f>
        <v>247.9506985322455</v>
      </c>
      <c r="DY336" s="185">
        <f>SUM($D$301:$FB$301)</f>
        <v>1.6307260313802437E-20</v>
      </c>
      <c r="DZ336" s="185">
        <f>SUM($D$302:$FB$302)</f>
        <v>4.0650584975312414E-9</v>
      </c>
      <c r="EA336" s="185">
        <f>SUM($D$303:$FB$303)</f>
        <v>3.1593564633666032E-11</v>
      </c>
      <c r="EB336" s="185">
        <f>SUM($D$304:$FB$304)</f>
        <v>3.6404690421356925E-2</v>
      </c>
      <c r="EC336" s="185">
        <f>SUM($D$305:$FB$305)</f>
        <v>5.7899106168579027E-6</v>
      </c>
      <c r="ED336" s="185">
        <f>SUM($D$306:$FB$306)</f>
        <v>3.6782078146319945E-2</v>
      </c>
      <c r="EE336" s="185">
        <f>SUM($D$307:$FB$307)</f>
        <v>1.7942923515717331E-6</v>
      </c>
      <c r="EF336" s="185">
        <f>SUM($D$308:$FB$308)</f>
        <v>3.1426091839299119E-15</v>
      </c>
      <c r="EG336" s="185">
        <f>SUM($D$309:$FB$309)</f>
        <v>2.2298605558864382E-4</v>
      </c>
      <c r="EH336" s="185">
        <f>SUM($D$310:$FB$310)</f>
        <v>0.45847452162358626</v>
      </c>
      <c r="EI336" s="185">
        <f>SUM($D$311:$FB$311)</f>
        <v>1.6207444584662469E-6</v>
      </c>
      <c r="EJ336" s="185">
        <f>SUM($D$312:$FB$312)</f>
        <v>1.6649457734971345E-5</v>
      </c>
      <c r="EK336" s="185">
        <f>SUM($D$313:$FB$313)</f>
        <v>0.17485187965623816</v>
      </c>
      <c r="EL336" s="185">
        <f>SUM($D$314:$FB$314)</f>
        <v>1.6043969187787815E-6</v>
      </c>
      <c r="EM336" s="185">
        <f>SUM($D$315:$FB$315)</f>
        <v>2268.5000984994922</v>
      </c>
      <c r="EN336" s="185">
        <f>SUM($D$316:$FB$316)</f>
        <v>2.6470238026250273E-5</v>
      </c>
      <c r="EO336" s="185">
        <f>SUM($D$317:$FB$317)</f>
        <v>0.30459419510815239</v>
      </c>
      <c r="EP336" s="185">
        <f>SUM($D$318:$FB$318)</f>
        <v>1.3436657508193907E-6</v>
      </c>
      <c r="EQ336" s="185">
        <f>SUM($D$319:$FB$319)</f>
        <v>3200.3303143481862</v>
      </c>
      <c r="ER336" s="185">
        <f>SUM($D$320:$FB$320)</f>
        <v>9.5958049944967722E-10</v>
      </c>
      <c r="ES336" s="185">
        <f>SUM($D$321:$FB$321)</f>
        <v>5.7606135258335255E-3</v>
      </c>
      <c r="ET336" s="185">
        <f>SUM($D$322:$FB$322)</f>
        <v>5.7100618453699573E-8</v>
      </c>
      <c r="EU336" s="185">
        <f>SUM($D$323:$FB$323)</f>
        <v>932.19646645666137</v>
      </c>
      <c r="EV336" s="185">
        <f>SUM($D$324:$FB$324)</f>
        <v>2.6371560031899629E-20</v>
      </c>
      <c r="EW336" s="185">
        <f>SUM($D$325:$FB$325)</f>
        <v>7.9794385634186098E-9</v>
      </c>
      <c r="EX336" s="190">
        <f>SUM($D$326:$FB$326)</f>
        <v>4.7369592180205682E-11</v>
      </c>
      <c r="EY336" s="185">
        <f>SUM($D$327:$FB$327)</f>
        <v>6.7965180475380374E-2</v>
      </c>
      <c r="EZ336" s="185">
        <f>SUM($D$328:$FB$328)</f>
        <v>9.7984042968774927E-6</v>
      </c>
      <c r="FA336" s="185">
        <f>SUM($D$329:$FB$329)</f>
        <v>7.1642549509215586E-2</v>
      </c>
      <c r="FB336" s="192">
        <f>SUM($D$330:$FB$330)</f>
        <v>2.681840768283399E-6</v>
      </c>
    </row>
    <row r="337" spans="2:158" ht="12.75" customHeight="1" x14ac:dyDescent="0.3">
      <c r="B337" s="188" t="s">
        <v>4066</v>
      </c>
      <c r="C337" s="176">
        <f>SUM(D337:EY337)</f>
        <v>11958.166094955101</v>
      </c>
      <c r="D337" s="176">
        <f t="shared" ref="D337:AI337" si="867">SUM(D176:D330)</f>
        <v>1.3531329499713687E-18</v>
      </c>
      <c r="E337" s="176">
        <f t="shared" si="867"/>
        <v>2.9430648065777145</v>
      </c>
      <c r="F337" s="176">
        <f t="shared" si="867"/>
        <v>2.5003207636687494</v>
      </c>
      <c r="G337" s="176">
        <f t="shared" si="867"/>
        <v>8.5729287058395609E-3</v>
      </c>
      <c r="H337" s="176">
        <f t="shared" si="867"/>
        <v>5.4032570634447184E-2</v>
      </c>
      <c r="I337" s="176">
        <f t="shared" si="867"/>
        <v>4.4150454465616933E-2</v>
      </c>
      <c r="J337" s="176">
        <f t="shared" si="867"/>
        <v>7.5146239353776102E-3</v>
      </c>
      <c r="K337" s="176">
        <f t="shared" si="867"/>
        <v>0.27549588130684477</v>
      </c>
      <c r="L337" s="176">
        <f t="shared" si="867"/>
        <v>9.9133903318267703E-4</v>
      </c>
      <c r="M337" s="176">
        <f t="shared" si="867"/>
        <v>4.775869207445509E-3</v>
      </c>
      <c r="N337" s="176">
        <f>SUM(N176:N330)</f>
        <v>2.6319744427308645E-5</v>
      </c>
      <c r="O337" s="176">
        <f t="shared" si="867"/>
        <v>46.786587177666213</v>
      </c>
      <c r="P337" s="176">
        <f t="shared" si="867"/>
        <v>2.9505350280796518</v>
      </c>
      <c r="Q337" s="176">
        <f t="shared" si="867"/>
        <v>2.4240867456714761</v>
      </c>
      <c r="R337" s="176">
        <f t="shared" si="867"/>
        <v>0.71208336898508906</v>
      </c>
      <c r="S337" s="176">
        <f t="shared" si="867"/>
        <v>2.0927668682071809</v>
      </c>
      <c r="T337" s="176">
        <f t="shared" si="867"/>
        <v>1.4743738855068494E-3</v>
      </c>
      <c r="U337" s="176">
        <f t="shared" si="867"/>
        <v>0.79973352265634601</v>
      </c>
      <c r="V337" s="176">
        <f t="shared" si="867"/>
        <v>5.22643079249037E-3</v>
      </c>
      <c r="W337" s="176">
        <f t="shared" si="867"/>
        <v>0</v>
      </c>
      <c r="X337" s="176">
        <f t="shared" si="867"/>
        <v>9.683887342272515E-12</v>
      </c>
      <c r="Y337" s="176">
        <f t="shared" si="867"/>
        <v>1.6999746690929456E-5</v>
      </c>
      <c r="Z337" s="176">
        <f t="shared" si="867"/>
        <v>1.7676963400923902E-5</v>
      </c>
      <c r="AA337" s="176">
        <f t="shared" si="867"/>
        <v>42.308277147573641</v>
      </c>
      <c r="AB337" s="176">
        <f t="shared" si="867"/>
        <v>3.5749160329698881E-7</v>
      </c>
      <c r="AC337" s="176">
        <f t="shared" si="867"/>
        <v>0.17618156439913599</v>
      </c>
      <c r="AD337" s="176">
        <f t="shared" si="867"/>
        <v>0.68501091753337517</v>
      </c>
      <c r="AE337" s="176">
        <f t="shared" si="867"/>
        <v>0.77817820601803211</v>
      </c>
      <c r="AF337" s="176">
        <f t="shared" si="867"/>
        <v>2.5147223085555505E-11</v>
      </c>
      <c r="AG337" s="176">
        <f t="shared" si="867"/>
        <v>2.9782085585549722E-4</v>
      </c>
      <c r="AH337" s="176">
        <f t="shared" si="867"/>
        <v>9.5401039085154181E-4</v>
      </c>
      <c r="AI337" s="176">
        <f t="shared" si="867"/>
        <v>9.4723136840151698E-2</v>
      </c>
      <c r="AJ337" s="176">
        <f t="shared" ref="AJ337:BO337" si="868">SUM(AJ176:AJ330)</f>
        <v>6.4621139469985822E-2</v>
      </c>
      <c r="AK337" s="176">
        <f t="shared" si="868"/>
        <v>8.0001756241270178E-2</v>
      </c>
      <c r="AL337" s="176">
        <f t="shared" si="868"/>
        <v>1.7071612114089467E-2</v>
      </c>
      <c r="AM337" s="176">
        <f t="shared" si="868"/>
        <v>3.1199611293964113</v>
      </c>
      <c r="AN337" s="176">
        <f t="shared" si="868"/>
        <v>3.0832327618135604</v>
      </c>
      <c r="AO337" s="176">
        <f t="shared" si="868"/>
        <v>2.4330812437111176</v>
      </c>
      <c r="AP337" s="176">
        <f t="shared" si="868"/>
        <v>0.72132428458359599</v>
      </c>
      <c r="AQ337" s="176">
        <f t="shared" si="868"/>
        <v>3.5082623428381011E-2</v>
      </c>
      <c r="AR337" s="176">
        <f t="shared" si="868"/>
        <v>2.3933754787393447E-2</v>
      </c>
      <c r="AS337" s="176">
        <f t="shared" si="868"/>
        <v>2.9627965734942127E-2</v>
      </c>
      <c r="AT337" s="176">
        <f t="shared" si="868"/>
        <v>6.3221179425369265E-3</v>
      </c>
      <c r="AU337" s="176">
        <f t="shared" si="868"/>
        <v>3.1477589843966397E-18</v>
      </c>
      <c r="AV337" s="176">
        <f t="shared" si="868"/>
        <v>0.52482289454816722</v>
      </c>
      <c r="AW337" s="176">
        <f t="shared" si="868"/>
        <v>2.9146433573759558</v>
      </c>
      <c r="AX337" s="176">
        <f t="shared" si="868"/>
        <v>2.7246448841330719E-3</v>
      </c>
      <c r="AY337" s="176">
        <f t="shared" si="868"/>
        <v>1.1155408825597657E-2</v>
      </c>
      <c r="AZ337" s="176">
        <f t="shared" si="868"/>
        <v>0.19560306339931616</v>
      </c>
      <c r="BA337" s="176">
        <f t="shared" si="868"/>
        <v>2.6293296804382892E-3</v>
      </c>
      <c r="BB337" s="176">
        <f t="shared" si="868"/>
        <v>2.3681707697785482E-2</v>
      </c>
      <c r="BC337" s="176">
        <f t="shared" si="868"/>
        <v>9.945157770058982E-5</v>
      </c>
      <c r="BD337" s="176">
        <f t="shared" si="868"/>
        <v>2.4315627958776016E-3</v>
      </c>
      <c r="BE337" s="176">
        <f t="shared" si="868"/>
        <v>3.9588776993781274E-6</v>
      </c>
      <c r="BF337" s="176">
        <f t="shared" si="868"/>
        <v>2.312256892633008</v>
      </c>
      <c r="BG337" s="176">
        <f t="shared" si="868"/>
        <v>1.0939678053270806E-3</v>
      </c>
      <c r="BH337" s="176">
        <f t="shared" si="868"/>
        <v>2.6899491178981116E-2</v>
      </c>
      <c r="BI337" s="176">
        <f t="shared" si="868"/>
        <v>3.0542305268215425E-4</v>
      </c>
      <c r="BJ337" s="176">
        <f t="shared" si="868"/>
        <v>57.859581108876213</v>
      </c>
      <c r="BK337" s="176">
        <f t="shared" si="868"/>
        <v>3.2359836901788029E-2</v>
      </c>
      <c r="BL337" s="176">
        <f t="shared" si="868"/>
        <v>0.89736346168773362</v>
      </c>
      <c r="BM337" s="176">
        <f t="shared" si="868"/>
        <v>2.3449684157203369E-3</v>
      </c>
      <c r="BN337" s="176">
        <f t="shared" si="868"/>
        <v>0</v>
      </c>
      <c r="BO337" s="176">
        <f t="shared" si="868"/>
        <v>9.7149235210433362E-13</v>
      </c>
      <c r="BP337" s="176">
        <f t="shared" ref="BP337:CU337" si="869">SUM(BP176:BP330)</f>
        <v>8.6565238530448217E-6</v>
      </c>
      <c r="BQ337" s="176">
        <f t="shared" si="869"/>
        <v>2.6592925013392256E-6</v>
      </c>
      <c r="BR337" s="176">
        <f t="shared" si="869"/>
        <v>2.0582307903819697</v>
      </c>
      <c r="BS337" s="176">
        <f t="shared" si="869"/>
        <v>1.3254695377889422E-10</v>
      </c>
      <c r="BT337" s="176">
        <f t="shared" si="869"/>
        <v>1.9551978489787624E-3</v>
      </c>
      <c r="BU337" s="176">
        <f t="shared" si="869"/>
        <v>2.9383475037612851E-4</v>
      </c>
      <c r="BV337" s="176">
        <f t="shared" si="869"/>
        <v>31.210658127808987</v>
      </c>
      <c r="BW337" s="176">
        <f t="shared" si="869"/>
        <v>2.7608994785223976E-11</v>
      </c>
      <c r="BX337" s="176">
        <f t="shared" si="869"/>
        <v>1.860521428039696E-5</v>
      </c>
      <c r="BY337" s="176">
        <f t="shared" si="869"/>
        <v>2.8784791134081065E-5</v>
      </c>
      <c r="BZ337" s="176">
        <f t="shared" si="869"/>
        <v>7.0483855612266444E-2</v>
      </c>
      <c r="CA337" s="176">
        <f t="shared" si="869"/>
        <v>6.4881453841638403E-3</v>
      </c>
      <c r="CB337" s="176">
        <f t="shared" si="869"/>
        <v>7.0696655002021588E-2</v>
      </c>
      <c r="CC337" s="176">
        <f t="shared" si="869"/>
        <v>1.8568570605404862E-3</v>
      </c>
      <c r="CD337" s="176">
        <f t="shared" si="869"/>
        <v>0.15902253326318511</v>
      </c>
      <c r="CE337" s="176">
        <f t="shared" si="869"/>
        <v>1.4418100974199821E-2</v>
      </c>
      <c r="CF337" s="176">
        <f t="shared" si="869"/>
        <v>0.15711866903155086</v>
      </c>
      <c r="CG337" s="176">
        <f t="shared" si="869"/>
        <v>4.1260364967135171E-3</v>
      </c>
      <c r="CH337" s="176">
        <f t="shared" si="869"/>
        <v>2.6105129715677407E-2</v>
      </c>
      <c r="CI337" s="176">
        <f t="shared" si="869"/>
        <v>2.4030167515331508E-3</v>
      </c>
      <c r="CJ337" s="176">
        <f t="shared" si="869"/>
        <v>2.6183713929308211E-2</v>
      </c>
      <c r="CK337" s="176">
        <f t="shared" si="869"/>
        <v>6.8765441880988705E-4</v>
      </c>
      <c r="CL337" s="176">
        <f t="shared" si="869"/>
        <v>1.506121267127572E-16</v>
      </c>
      <c r="CM337" s="176">
        <f t="shared" si="869"/>
        <v>1.5896292900149191E-2</v>
      </c>
      <c r="CN337" s="176">
        <f t="shared" si="869"/>
        <v>1.7435905393536599</v>
      </c>
      <c r="CO337" s="176">
        <f t="shared" si="869"/>
        <v>1.0129573933621216E-4</v>
      </c>
      <c r="CP337" s="176">
        <f t="shared" si="869"/>
        <v>9.3393891490068607E-4</v>
      </c>
      <c r="CQ337" s="176">
        <f t="shared" si="869"/>
        <v>0.42543124181112951</v>
      </c>
      <c r="CR337" s="176">
        <f t="shared" si="869"/>
        <v>9.8416552656829047E-5</v>
      </c>
      <c r="CS337" s="176">
        <f t="shared" si="869"/>
        <v>1185.7133169441622</v>
      </c>
      <c r="CT337" s="176">
        <f t="shared" si="869"/>
        <v>1.2283476715560528E-3</v>
      </c>
      <c r="CU337" s="176">
        <f t="shared" si="869"/>
        <v>0.6320018332369105</v>
      </c>
      <c r="CV337" s="176">
        <f t="shared" ref="CV337:EA337" si="870">SUM(CV176:CV330)</f>
        <v>6.6123423614236669E-5</v>
      </c>
      <c r="CW337" s="176">
        <f t="shared" si="870"/>
        <v>1538.1006190812634</v>
      </c>
      <c r="CX337" s="176">
        <f t="shared" si="870"/>
        <v>5.1025962036969816E-8</v>
      </c>
      <c r="CY337" s="176">
        <f t="shared" si="870"/>
        <v>1.3043762435651857E-2</v>
      </c>
      <c r="CZ337" s="176">
        <f t="shared" si="870"/>
        <v>2.8999593308907647E-6</v>
      </c>
      <c r="DA337" s="176">
        <f t="shared" si="870"/>
        <v>376.74682153722921</v>
      </c>
      <c r="DB337" s="176">
        <f t="shared" si="870"/>
        <v>1.4658880546479855E-18</v>
      </c>
      <c r="DC337" s="176">
        <f t="shared" si="870"/>
        <v>1.8064757942761671E-8</v>
      </c>
      <c r="DD337" s="176">
        <f t="shared" si="870"/>
        <v>2.405339998448973E-9</v>
      </c>
      <c r="DE337" s="176">
        <f t="shared" si="870"/>
        <v>0.30398139183705231</v>
      </c>
      <c r="DF337" s="176">
        <f t="shared" si="870"/>
        <v>1.0348677363316574E-3</v>
      </c>
      <c r="DG337" s="176">
        <f t="shared" si="870"/>
        <v>0.31284475686750923</v>
      </c>
      <c r="DH337" s="176">
        <f t="shared" si="870"/>
        <v>2.9047663861173491E-4</v>
      </c>
      <c r="DI337" s="176">
        <f t="shared" si="870"/>
        <v>6.2964846036652348E-18</v>
      </c>
      <c r="DJ337" s="176">
        <f t="shared" si="870"/>
        <v>1.2873999924241296E-4</v>
      </c>
      <c r="DK337" s="176">
        <f t="shared" si="870"/>
        <v>0.26465151295796918</v>
      </c>
      <c r="DL337" s="176">
        <f t="shared" si="870"/>
        <v>9.1966731942986794E-7</v>
      </c>
      <c r="DM337" s="176">
        <f t="shared" si="870"/>
        <v>5.1781863584090276E-6</v>
      </c>
      <c r="DN337" s="176">
        <f t="shared" si="870"/>
        <v>5.3922570067516488E-2</v>
      </c>
      <c r="DO337" s="176">
        <f t="shared" si="870"/>
        <v>8.6431353251459315E-7</v>
      </c>
      <c r="DP337" s="176">
        <f t="shared" si="870"/>
        <v>871.05365265266357</v>
      </c>
      <c r="DQ337" s="176">
        <f t="shared" si="870"/>
        <v>1.0776788817696241E-5</v>
      </c>
      <c r="DR337" s="176">
        <f t="shared" si="870"/>
        <v>0.13134712282575919</v>
      </c>
      <c r="DS337" s="176">
        <f t="shared" si="870"/>
        <v>8.3590887551039688E-7</v>
      </c>
      <c r="DT337" s="176">
        <f t="shared" si="870"/>
        <v>1118.9531553118622</v>
      </c>
      <c r="DU337" s="176">
        <f t="shared" si="870"/>
        <v>5.2408878850489429E-10</v>
      </c>
      <c r="DV337" s="176">
        <f t="shared" si="870"/>
        <v>2.9355320070416965E-3</v>
      </c>
      <c r="DW337" s="176">
        <f t="shared" si="870"/>
        <v>3.8094590460994783E-8</v>
      </c>
      <c r="DX337" s="176">
        <f t="shared" si="870"/>
        <v>247.89656981138361</v>
      </c>
      <c r="DY337" s="176">
        <f t="shared" si="870"/>
        <v>1.6307260312272695E-20</v>
      </c>
      <c r="DZ337" s="176">
        <f t="shared" si="870"/>
        <v>4.065057769865231E-9</v>
      </c>
      <c r="EA337" s="176">
        <f t="shared" si="870"/>
        <v>3.159355897825835E-11</v>
      </c>
      <c r="EB337" s="176">
        <f t="shared" ref="EB337:FB337" si="871">SUM(EB176:EB330)</f>
        <v>3.6387988871270566E-2</v>
      </c>
      <c r="EC337" s="176">
        <f t="shared" si="871"/>
        <v>5.7899105493859534E-6</v>
      </c>
      <c r="ED337" s="176">
        <f t="shared" si="871"/>
        <v>3.6779541283009212E-2</v>
      </c>
      <c r="EE337" s="176">
        <f t="shared" si="871"/>
        <v>1.7942923515717335E-6</v>
      </c>
      <c r="EF337" s="176">
        <f t="shared" si="871"/>
        <v>3.1424735311624766E-15</v>
      </c>
      <c r="EG337" s="176">
        <f t="shared" si="871"/>
        <v>2.2298434177304448E-4</v>
      </c>
      <c r="EH337" s="176">
        <f t="shared" si="871"/>
        <v>0.4583958427403797</v>
      </c>
      <c r="EI337" s="176">
        <f t="shared" si="871"/>
        <v>1.6207401812231673E-6</v>
      </c>
      <c r="EJ337" s="176">
        <f t="shared" si="871"/>
        <v>1.6649457734971345E-5</v>
      </c>
      <c r="EK337" s="176">
        <f t="shared" si="871"/>
        <v>0.17485187965623819</v>
      </c>
      <c r="EL337" s="176">
        <f t="shared" si="871"/>
        <v>1.6043969187787815E-6</v>
      </c>
      <c r="EM337" s="176">
        <f t="shared" si="871"/>
        <v>2268.5000984994294</v>
      </c>
      <c r="EN337" s="176">
        <f t="shared" si="871"/>
        <v>2.6470238026250273E-5</v>
      </c>
      <c r="EO337" s="176">
        <f t="shared" si="871"/>
        <v>0.30459419510815233</v>
      </c>
      <c r="EP337" s="176">
        <f t="shared" si="871"/>
        <v>1.34366575081939E-6</v>
      </c>
      <c r="EQ337" s="176">
        <f t="shared" si="871"/>
        <v>3200.3303143461562</v>
      </c>
      <c r="ER337" s="176">
        <f t="shared" si="871"/>
        <v>9.5958049944967722E-10</v>
      </c>
      <c r="ES337" s="176">
        <f t="shared" si="871"/>
        <v>5.7606135258335299E-3</v>
      </c>
      <c r="ET337" s="176">
        <f t="shared" si="871"/>
        <v>5.7100618453699613E-8</v>
      </c>
      <c r="EU337" s="176">
        <f t="shared" si="871"/>
        <v>931.99296389410608</v>
      </c>
      <c r="EV337" s="176">
        <f t="shared" si="871"/>
        <v>2.6371560030454826E-20</v>
      </c>
      <c r="EW337" s="176">
        <f t="shared" si="871"/>
        <v>7.9794377064026563E-9</v>
      </c>
      <c r="EX337" s="176">
        <f t="shared" si="871"/>
        <v>4.7369587092567515E-11</v>
      </c>
      <c r="EY337" s="176">
        <f t="shared" si="871"/>
        <v>6.7839285594339244E-2</v>
      </c>
      <c r="EZ337" s="176">
        <f t="shared" si="871"/>
        <v>9.7984037563248826E-6</v>
      </c>
      <c r="FA337" s="176">
        <f t="shared" si="871"/>
        <v>7.1617921244440386E-2</v>
      </c>
      <c r="FB337" s="206">
        <f t="shared" si="871"/>
        <v>2.6818407682833994E-6</v>
      </c>
    </row>
    <row r="338" spans="2:158" ht="12.75" customHeight="1" x14ac:dyDescent="0.3">
      <c r="B338" s="207" t="s">
        <v>4067</v>
      </c>
      <c r="C338" s="176">
        <f>SUM(D338:EY338)</f>
        <v>8.8188662543986069</v>
      </c>
      <c r="D338" s="176">
        <f>k.aRG*D168</f>
        <v>3.0436500176902062E-23</v>
      </c>
      <c r="E338" s="176">
        <f>k.aRS*E168</f>
        <v>2.0407526104148994E-5</v>
      </c>
      <c r="F338" s="176">
        <f>k.aRA*F168</f>
        <v>9.2503794030892298E-5</v>
      </c>
      <c r="G338" s="176">
        <f>k.aRP*G168</f>
        <v>3.7205288526966223E-8</v>
      </c>
      <c r="H338" s="176">
        <v>0</v>
      </c>
      <c r="I338" s="176">
        <v>0</v>
      </c>
      <c r="J338" s="176">
        <v>0</v>
      </c>
      <c r="K338" s="176">
        <f>k.w0RD*K168</f>
        <v>6.7619969574084934E-14</v>
      </c>
      <c r="L338" s="176">
        <f>k.w0RS*L168</f>
        <v>0</v>
      </c>
      <c r="M338" s="176">
        <f>k.w0RA*M168</f>
        <v>0</v>
      </c>
      <c r="N338" s="176">
        <f>k.w0RP*N168</f>
        <v>0</v>
      </c>
      <c r="O338" s="176">
        <f>k.w1RD*O168</f>
        <v>1.3421382705098211E-14</v>
      </c>
      <c r="P338" s="176">
        <f>k.w1RS*P168</f>
        <v>0</v>
      </c>
      <c r="Q338" s="176">
        <f>k.w1RA*Q168</f>
        <v>0</v>
      </c>
      <c r="R338" s="176">
        <f>k.w1RP*R168</f>
        <v>0</v>
      </c>
      <c r="S338" s="176">
        <f>k.w2RD*S168</f>
        <v>2.4842751603088299E-15</v>
      </c>
      <c r="T338" s="176">
        <f>k.w2RS*T168</f>
        <v>0</v>
      </c>
      <c r="U338" s="176">
        <f>k.w2RA*U168</f>
        <v>0</v>
      </c>
      <c r="V338" s="176">
        <f>k.w2RP*V168</f>
        <v>0</v>
      </c>
      <c r="W338" s="176">
        <f>k.sd0RD*W168</f>
        <v>0.23371148630765803</v>
      </c>
      <c r="X338" s="176">
        <f>k.sd0RS*X168</f>
        <v>5.8735513237633491E-18</v>
      </c>
      <c r="Y338" s="176">
        <f>k.sd0RA*Y168</f>
        <v>3.7288277981431954E-7</v>
      </c>
      <c r="Z338" s="176">
        <f>k.sd0RP*Z168</f>
        <v>3.8773726288106871E-7</v>
      </c>
      <c r="AA338" s="176">
        <f>k.sd1RD*AA168</f>
        <v>4.6132275070097535</v>
      </c>
      <c r="AB338" s="176">
        <f>k.sd1RS*AB168</f>
        <v>1.7314736194722743E-13</v>
      </c>
      <c r="AC338" s="176">
        <f>k.sd1RA*AC168</f>
        <v>3.2180572507663546E-3</v>
      </c>
      <c r="AD338" s="176">
        <f>k.sd1RP*AD168</f>
        <v>1.2512117017126472E-2</v>
      </c>
      <c r="AE338" s="176">
        <f>k.sd2RD*AE168</f>
        <v>7.9693150929902049E-2</v>
      </c>
      <c r="AF338" s="176">
        <f>k.sd2RS*AF168</f>
        <v>2.2806268898701681E-18</v>
      </c>
      <c r="AG338" s="176">
        <f>k.sd2RA*AG168</f>
        <v>2.3058527484336784E-8</v>
      </c>
      <c r="AH338" s="176">
        <f>k.sd2RP*AH168</f>
        <v>7.3863446381561113E-8</v>
      </c>
      <c r="AI338" s="176">
        <f>k.s1RD*AI168</f>
        <v>1.0843812738693552E-4</v>
      </c>
      <c r="AJ338" s="176">
        <f>k.s1RS*AJ168</f>
        <v>1.9857451607719618E-9</v>
      </c>
      <c r="AK338" s="176">
        <f>k.s1RA*AK168</f>
        <v>1.5171158650518579E-5</v>
      </c>
      <c r="AL338" s="176">
        <f>k.s1RP*AL168</f>
        <v>0</v>
      </c>
      <c r="AM338" s="176">
        <f>k.s2RD*AM168</f>
        <v>3.5717017301921091E-3</v>
      </c>
      <c r="AN338" s="176">
        <f>k.s2RS*AN168</f>
        <v>6.8975976881695839E-8</v>
      </c>
      <c r="AO338" s="176">
        <f>k.s2RA*AO168</f>
        <v>2.132321600601491E-4</v>
      </c>
      <c r="AP338" s="176">
        <f>k.s2RP*AP168</f>
        <v>0</v>
      </c>
      <c r="AQ338" s="176">
        <f>k.s3RD*AQ168</f>
        <v>4.0162246683347651E-5</v>
      </c>
      <c r="AR338" s="176">
        <f>k.s3RS*AR168</f>
        <v>1.3073217283390425E-9</v>
      </c>
      <c r="AS338" s="176">
        <f>k.s3RA*AS168</f>
        <v>5.618508764999568E-6</v>
      </c>
      <c r="AT338" s="176">
        <f>k.s3RP*AT168</f>
        <v>0</v>
      </c>
      <c r="AU338" s="176">
        <f>k.aC*AU168</f>
        <v>1.2164462162365996E-22</v>
      </c>
      <c r="AV338" s="176">
        <f>k.aCS*AV168</f>
        <v>4.2132790303651173E-6</v>
      </c>
      <c r="AW338" s="176">
        <f>k.aCA*AW168</f>
        <v>4.0982648327194461E-4</v>
      </c>
      <c r="AX338" s="176">
        <f>k.aCP*AX168</f>
        <v>1.3017946105417013E-8</v>
      </c>
      <c r="AY338" s="176">
        <v>0</v>
      </c>
      <c r="AZ338" s="176">
        <v>0</v>
      </c>
      <c r="BA338" s="176">
        <v>0</v>
      </c>
      <c r="BB338" s="176">
        <f>k.w0C*BB168</f>
        <v>5.8934069477255549E-15</v>
      </c>
      <c r="BC338" s="176">
        <f>k.w0CS*BC168</f>
        <v>0</v>
      </c>
      <c r="BD338" s="176">
        <f>k.w0CA*BD168</f>
        <v>0</v>
      </c>
      <c r="BE338" s="176">
        <f>k.w0CP*BE168</f>
        <v>0</v>
      </c>
      <c r="BF338" s="176">
        <f>k.w1C*BF168</f>
        <v>6.7405223278602733E-16</v>
      </c>
      <c r="BG338" s="176">
        <f>k.w1CS*BG168</f>
        <v>0</v>
      </c>
      <c r="BH338" s="176">
        <f>k.w1CA*BH168</f>
        <v>0</v>
      </c>
      <c r="BI338" s="176">
        <f>k.w1CP*BI168</f>
        <v>0</v>
      </c>
      <c r="BJ338" s="176">
        <f>k.w2C*BJ168</f>
        <v>2.0315534761982448E-12</v>
      </c>
      <c r="BK338" s="176">
        <f>k.w2CS*BK168</f>
        <v>0</v>
      </c>
      <c r="BL338" s="176">
        <f>k.w2CA*BL168</f>
        <v>0</v>
      </c>
      <c r="BM338" s="176">
        <f>k.w2CP*BM168</f>
        <v>0</v>
      </c>
      <c r="BN338" s="176">
        <f>k.sd0CD*BN168</f>
        <v>2.0048289431719494E-2</v>
      </c>
      <c r="BO338" s="176">
        <f>k.sd0CS*BO168</f>
        <v>1.7099926295474252E-19</v>
      </c>
      <c r="BP338" s="176">
        <f>k.sd0CA*BP168</f>
        <v>1.8849111107382977E-7</v>
      </c>
      <c r="BQ338" s="176">
        <f>k.sd0CP*BQ168</f>
        <v>5.7904651654304053E-8</v>
      </c>
      <c r="BR338" s="176">
        <f>k.sd1C*BR168</f>
        <v>0.22666380675579817</v>
      </c>
      <c r="BS338" s="176">
        <f>k.sd1CS*BS168</f>
        <v>2.1728067251895255E-17</v>
      </c>
      <c r="BT338" s="176">
        <f>k.sd1CA*BT168</f>
        <v>3.5553910907569131E-5</v>
      </c>
      <c r="BU338" s="176">
        <f>k.sd1CP*BU168</f>
        <v>5.3431802525137525E-6</v>
      </c>
      <c r="BV338" s="176">
        <f>k.sd2C*BV168</f>
        <v>3.250246306315169</v>
      </c>
      <c r="BW338" s="176">
        <f>k.sd2CS*BW168</f>
        <v>1.1001384596249798E-18</v>
      </c>
      <c r="BX338" s="176">
        <f>k.sd2CA*BX168</f>
        <v>1.4389997814274506E-9</v>
      </c>
      <c r="BY338" s="176">
        <f>k.sd2CP*BY168</f>
        <v>2.2263279275434235E-9</v>
      </c>
      <c r="BZ338" s="176">
        <f>k.s1C*BZ168</f>
        <v>8.0689233576621884E-5</v>
      </c>
      <c r="CA338" s="176">
        <f>k.s1CS*CA168</f>
        <v>1.9937443698238018E-10</v>
      </c>
      <c r="CB338" s="176">
        <f>k.s1CA*CB168</f>
        <v>1.3406582798783054E-5</v>
      </c>
      <c r="CC338" s="176">
        <f>k.s1CP*CC168</f>
        <v>0</v>
      </c>
      <c r="CD338" s="176">
        <f>k.s2C*CD168</f>
        <v>1.8204747868302205E-4</v>
      </c>
      <c r="CE338" s="176">
        <f>k.s2CS*CE168</f>
        <v>3.2255190454365686E-10</v>
      </c>
      <c r="CF338" s="176">
        <f>k.s2CA*CF168</f>
        <v>1.376968125087033E-5</v>
      </c>
      <c r="CG338" s="176">
        <f>k.s2CP*CG168</f>
        <v>0</v>
      </c>
      <c r="CH338" s="176">
        <f>k.s3C*CH168</f>
        <v>2.9884899043600645E-5</v>
      </c>
      <c r="CI338" s="176">
        <f>k.s3CS*CI168</f>
        <v>1.3125880334065723E-10</v>
      </c>
      <c r="CJ338" s="176">
        <f>k.s3CA*CJ168</f>
        <v>4.9653569714561719E-6</v>
      </c>
      <c r="CK338" s="176">
        <f>k.s3CP*CK168</f>
        <v>0</v>
      </c>
      <c r="CL338" s="176">
        <f>k.aM*CL168</f>
        <v>6.0809958644331184E-21</v>
      </c>
      <c r="CM338" s="176">
        <f>k.aMS*CM168</f>
        <v>1.2432989415974744E-7</v>
      </c>
      <c r="CN338" s="176">
        <f>k.aMA*CN168</f>
        <v>2.5552808494371697E-4</v>
      </c>
      <c r="CO338" s="176">
        <f>k.aMP*CO168</f>
        <v>4.8726539996078884E-10</v>
      </c>
      <c r="CP338" s="176">
        <v>0</v>
      </c>
      <c r="CQ338" s="176">
        <v>0</v>
      </c>
      <c r="CR338" s="176">
        <v>0</v>
      </c>
      <c r="CS338" s="176">
        <f>k.w2M*CS168</f>
        <v>1.1108404812226126E-11</v>
      </c>
      <c r="CT338" s="176">
        <f>k.w2MS*CT168</f>
        <v>0</v>
      </c>
      <c r="CU338" s="176">
        <f>k.w2MA*CU168</f>
        <v>0</v>
      </c>
      <c r="CV338" s="176">
        <f>k.w2MP*CV168</f>
        <v>0</v>
      </c>
      <c r="CW338" s="176">
        <f>k.w3M*CW168</f>
        <v>3.332551616036994E-10</v>
      </c>
      <c r="CX338" s="176">
        <f>k.w3MS*CX168</f>
        <v>0</v>
      </c>
      <c r="CY338" s="176">
        <f>k.w3MA*CY168</f>
        <v>0</v>
      </c>
      <c r="CZ338" s="176">
        <f>k.w3MP*CZ168</f>
        <v>0</v>
      </c>
      <c r="DA338" s="176">
        <f>k.sdM*DA168</f>
        <v>0.11612694335757408</v>
      </c>
      <c r="DB338" s="176">
        <f>k.sdMS*DB168</f>
        <v>1.9083476391020968E-28</v>
      </c>
      <c r="DC338" s="176">
        <f>k.sdMA*DC168</f>
        <v>4.5644102299019607E-15</v>
      </c>
      <c r="DD338" s="176">
        <f>k.sdMP*DD168</f>
        <v>6.0775563835949397E-16</v>
      </c>
      <c r="DE338" s="176">
        <f>k.sM*DE168</f>
        <v>3.4799494601736684E-4</v>
      </c>
      <c r="DF338" s="176">
        <f>k.sMS*DF168</f>
        <v>3.1800485356871325E-11</v>
      </c>
      <c r="DG338" s="176">
        <f>k.sMA*DG168</f>
        <v>5.9326415599005115E-5</v>
      </c>
      <c r="DH338" s="176">
        <f>k.sMP*DH168</f>
        <v>0</v>
      </c>
      <c r="DI338" s="176">
        <f>k.aA*DI168</f>
        <v>2.6484160379307802E-22</v>
      </c>
      <c r="DJ338" s="176">
        <f>k.aAS*DJ168</f>
        <v>1.0599772234133837E-9</v>
      </c>
      <c r="DK338" s="176">
        <f>k.aAA*DK168</f>
        <v>5.2348767266459373E-5</v>
      </c>
      <c r="DL338" s="176">
        <f>k.aAP*DL168</f>
        <v>1.1981929763645937E-11</v>
      </c>
      <c r="DM338" s="176">
        <v>0</v>
      </c>
      <c r="DN338" s="176">
        <v>0</v>
      </c>
      <c r="DO338" s="176">
        <v>0</v>
      </c>
      <c r="DP338" s="176">
        <f>k.w2A*DP168</f>
        <v>1.9382477504242856E-12</v>
      </c>
      <c r="DQ338" s="176">
        <f>k.w2AS*DQ168</f>
        <v>0</v>
      </c>
      <c r="DR338" s="176">
        <f>k.w2AA*DR168</f>
        <v>0</v>
      </c>
      <c r="DS338" s="176">
        <f>k.w2AP*DS168</f>
        <v>0</v>
      </c>
      <c r="DT338" s="176">
        <f>k.w3A*DT168</f>
        <v>4.7719159843693493E-11</v>
      </c>
      <c r="DU338" s="176">
        <f>k.w3AS*DU168</f>
        <v>0</v>
      </c>
      <c r="DV338" s="176">
        <f>k.w3AA*DV168</f>
        <v>0</v>
      </c>
      <c r="DW338" s="176">
        <f>k.w3AP*DW168</f>
        <v>0</v>
      </c>
      <c r="DX338" s="176">
        <f>k.sdA*DX168</f>
        <v>5.4128720861801663E-2</v>
      </c>
      <c r="DY338" s="176">
        <f>k.sdAS*DY168</f>
        <v>1.5297362350431186E-30</v>
      </c>
      <c r="DZ338" s="176">
        <f>k.sdAA*DZ168</f>
        <v>7.2766600906735685E-16</v>
      </c>
      <c r="EA338" s="176">
        <f>k.sdAP*EA168</f>
        <v>5.6554076904805214E-18</v>
      </c>
      <c r="EB338" s="176">
        <f>k.sA*EB168</f>
        <v>1.6701550086358644E-5</v>
      </c>
      <c r="EC338" s="176">
        <f>k.sAS*EC168</f>
        <v>6.7471949588416383E-14</v>
      </c>
      <c r="ED338" s="176">
        <f>k.sAA*ED168</f>
        <v>2.5368633107283966E-6</v>
      </c>
      <c r="EE338" s="176">
        <f>k.sAP*EE168</f>
        <v>0</v>
      </c>
      <c r="EF338" s="176">
        <f>k.aT*EF168</f>
        <v>1.3565276743557177E-19</v>
      </c>
      <c r="EG338" s="176">
        <f>k.aTS*EG168</f>
        <v>1.713815599391345E-9</v>
      </c>
      <c r="EH338" s="176">
        <f>k.aTA*EH168</f>
        <v>7.8678883206689907E-5</v>
      </c>
      <c r="EI338" s="176">
        <f>k.aTP*EI168</f>
        <v>4.2772430798099077E-12</v>
      </c>
      <c r="EJ338" s="176">
        <v>0</v>
      </c>
      <c r="EK338" s="176">
        <v>0</v>
      </c>
      <c r="EL338" s="176">
        <v>0</v>
      </c>
      <c r="EM338" s="176">
        <f>k.w2T*EM168</f>
        <v>6.3008790348837506E-11</v>
      </c>
      <c r="EN338" s="176">
        <f>k.w2TS*EN168</f>
        <v>0</v>
      </c>
      <c r="EO338" s="176">
        <f>k.w2TA*EO168</f>
        <v>0</v>
      </c>
      <c r="EP338" s="176">
        <f>k.w2TP*EP168</f>
        <v>0</v>
      </c>
      <c r="EQ338" s="176">
        <f>k.w3T*EQ168</f>
        <v>2.0297375669465366E-9</v>
      </c>
      <c r="ER338" s="176">
        <f>k.w3TS*ER168</f>
        <v>0</v>
      </c>
      <c r="ES338" s="176">
        <f>k.w3TA*ES168</f>
        <v>0</v>
      </c>
      <c r="ET338" s="176">
        <f>k.w3TP*ET168</f>
        <v>0</v>
      </c>
      <c r="EU338" s="176">
        <f>k.sdT*EU168</f>
        <v>0.20350256255549046</v>
      </c>
      <c r="EV338" s="176">
        <f>k.sdTS*EV168</f>
        <v>1.444810968025008E-30</v>
      </c>
      <c r="EW338" s="176">
        <f>k.sdTA*EW168</f>
        <v>8.570159519202396E-16</v>
      </c>
      <c r="EX338" s="176">
        <f>k.sdTP*EX168</f>
        <v>5.0876381604722652E-18</v>
      </c>
      <c r="EY338" s="176">
        <f>k.sT*EY168</f>
        <v>1.2589488104112489E-4</v>
      </c>
      <c r="EZ338" s="176">
        <f>k.sTS*EZ168</f>
        <v>5.4055261093354888E-13</v>
      </c>
      <c r="FA338" s="176">
        <f>k.sTA*FA168</f>
        <v>2.4628264775193228E-5</v>
      </c>
      <c r="FB338" s="176">
        <f>k.sTP*FB168</f>
        <v>0</v>
      </c>
    </row>
    <row r="339" spans="2:158" ht="12.75" customHeight="1" x14ac:dyDescent="0.3">
      <c r="B339" s="208" t="s">
        <v>4068</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2"/>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4"/>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5"/>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7"/>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8"/>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9"/>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10"/>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11"/>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12"/>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13"/>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15"/>
      <headerFooter alignWithMargins="0">
        <oddHeader>&amp;L&amp;D, &amp;T&amp;C&amp;P&amp;R&amp;F</oddHeader>
      </headerFooter>
    </customSheetView>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4069</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4070</v>
      </c>
      <c r="AP2" s="494"/>
    </row>
    <row r="3" spans="1:164" ht="12.75" customHeight="1" x14ac:dyDescent="0.3">
      <c r="A3" s="489"/>
      <c r="B3" s="489"/>
      <c r="C3" s="489"/>
      <c r="D3" s="489"/>
      <c r="G3" s="669"/>
      <c r="AP3" s="494"/>
    </row>
    <row r="4" spans="1:164" ht="12.75" customHeight="1" x14ac:dyDescent="0.3">
      <c r="A4" s="489"/>
      <c r="B4" s="489"/>
      <c r="C4" s="489"/>
      <c r="D4" s="489"/>
      <c r="F4" s="654" t="s">
        <v>57</v>
      </c>
      <c r="G4" s="172" t="s">
        <v>4071</v>
      </c>
      <c r="H4" s="685"/>
      <c r="I4" s="685"/>
      <c r="J4" s="493"/>
      <c r="AP4" s="494"/>
    </row>
    <row r="5" spans="1:164" ht="12.75" customHeight="1" x14ac:dyDescent="0.3">
      <c r="A5" s="489"/>
      <c r="B5" s="489"/>
      <c r="C5" s="489"/>
      <c r="D5" s="489"/>
      <c r="F5" s="654" t="s">
        <v>61</v>
      </c>
      <c r="G5" s="686" t="str">
        <f>ChemName</f>
        <v>nAg_10nm</v>
      </c>
      <c r="H5" s="685"/>
      <c r="I5" s="685"/>
      <c r="J5" s="493"/>
      <c r="AP5" s="494"/>
    </row>
    <row r="6" spans="1:164" ht="12.75" customHeight="1" x14ac:dyDescent="0.3">
      <c r="A6" s="489"/>
      <c r="B6" s="489"/>
      <c r="C6" s="489"/>
      <c r="D6" s="489"/>
      <c r="F6" s="654" t="s">
        <v>63</v>
      </c>
      <c r="G6" s="687" t="str">
        <f>ScenarioName</f>
        <v>default scenario</v>
      </c>
      <c r="H6" s="685"/>
      <c r="I6" s="685"/>
      <c r="J6" s="493"/>
      <c r="AP6" s="494"/>
    </row>
    <row r="7" spans="1:164" ht="12.75" customHeight="1" x14ac:dyDescent="0.3">
      <c r="A7" s="489"/>
      <c r="B7" s="489"/>
      <c r="C7" s="489"/>
      <c r="D7" s="489"/>
      <c r="F7" s="654" t="s">
        <v>65</v>
      </c>
      <c r="G7" s="687" t="str">
        <f>CaseName</f>
        <v>defaults only</v>
      </c>
      <c r="H7" s="685"/>
      <c r="I7" s="685"/>
      <c r="J7" s="493"/>
      <c r="AP7" s="494"/>
    </row>
    <row r="8" spans="1:164" ht="12.75" customHeight="1" x14ac:dyDescent="0.3">
      <c r="A8" s="489"/>
      <c r="B8" s="489"/>
      <c r="C8" s="489"/>
      <c r="D8" s="489"/>
      <c r="F8" s="688" t="s">
        <v>4072</v>
      </c>
      <c r="G8" s="685"/>
      <c r="H8" s="292">
        <f>(M.tot/Emis.tot)/(3600*24*365)</f>
        <v>3425.6594048914812</v>
      </c>
      <c r="I8" s="335" t="s">
        <v>4073</v>
      </c>
      <c r="J8" s="493"/>
      <c r="AP8" s="494"/>
    </row>
    <row r="9" spans="1:164" ht="12.75" customHeight="1" x14ac:dyDescent="0.3">
      <c r="A9" s="489"/>
      <c r="B9" s="489"/>
      <c r="C9" s="489"/>
      <c r="D9" s="489"/>
      <c r="F9" s="654" t="s">
        <v>4074</v>
      </c>
      <c r="G9" s="685"/>
      <c r="H9" s="739">
        <v>1</v>
      </c>
      <c r="I9" s="335" t="s">
        <v>4075</v>
      </c>
      <c r="J9" s="493"/>
      <c r="K9" s="23" t="s">
        <v>4076</v>
      </c>
      <c r="AP9" s="494"/>
    </row>
    <row r="10" spans="1:164" ht="12.75" customHeight="1" x14ac:dyDescent="0.3">
      <c r="A10" s="489"/>
      <c r="B10" s="489"/>
      <c r="C10" s="489"/>
      <c r="D10" s="489"/>
      <c r="F10" s="657" t="s">
        <v>4077</v>
      </c>
      <c r="G10" s="689">
        <v>0</v>
      </c>
      <c r="H10" s="689">
        <f>G11</f>
        <v>3425.6594048914812</v>
      </c>
      <c r="I10" s="335" t="s">
        <v>4073</v>
      </c>
      <c r="J10" s="493"/>
      <c r="K10" s="897" t="s">
        <v>4078</v>
      </c>
      <c r="AP10" s="494"/>
    </row>
    <row r="11" spans="1:164" ht="12.75" customHeight="1" x14ac:dyDescent="0.3">
      <c r="A11" s="489"/>
      <c r="B11" s="489"/>
      <c r="C11" s="489"/>
      <c r="D11" s="489"/>
      <c r="F11" s="657" t="s">
        <v>4079</v>
      </c>
      <c r="G11" s="689">
        <f>Scale*(M.tot/Emis.tot)/(3600*24*365)</f>
        <v>3425.6594048914812</v>
      </c>
      <c r="H11" s="689">
        <f>2*Scale*(M.tot/Emis.tot)/(3600*24*365)</f>
        <v>6851.3188097829625</v>
      </c>
      <c r="I11" s="335" t="s">
        <v>4073</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4080</v>
      </c>
      <c r="K13" s="497" t="s">
        <v>4081</v>
      </c>
      <c r="L13" s="497" t="s">
        <v>4082</v>
      </c>
      <c r="M13" s="497" t="s">
        <v>4083</v>
      </c>
      <c r="N13" s="497" t="s">
        <v>3589</v>
      </c>
      <c r="O13" s="497" t="s">
        <v>3590</v>
      </c>
      <c r="P13" s="497" t="s">
        <v>3591</v>
      </c>
      <c r="Q13" s="498" t="s">
        <v>3592</v>
      </c>
      <c r="R13" s="498" t="s">
        <v>3593</v>
      </c>
      <c r="S13" s="498" t="s">
        <v>3594</v>
      </c>
      <c r="T13" s="498" t="s">
        <v>3595</v>
      </c>
      <c r="U13" s="499" t="s">
        <v>87</v>
      </c>
      <c r="V13" s="498" t="s">
        <v>3597</v>
      </c>
      <c r="W13" s="498" t="s">
        <v>3598</v>
      </c>
      <c r="X13" s="498" t="s">
        <v>3599</v>
      </c>
      <c r="Y13" s="499" t="s">
        <v>88</v>
      </c>
      <c r="Z13" s="498" t="s">
        <v>3601</v>
      </c>
      <c r="AA13" s="498" t="s">
        <v>3602</v>
      </c>
      <c r="AB13" s="498" t="s">
        <v>3603</v>
      </c>
      <c r="AC13" s="498" t="s">
        <v>3604</v>
      </c>
      <c r="AD13" s="498" t="s">
        <v>3605</v>
      </c>
      <c r="AE13" s="498" t="s">
        <v>3606</v>
      </c>
      <c r="AF13" s="498" t="s">
        <v>3607</v>
      </c>
      <c r="AG13" s="498" t="s">
        <v>3608</v>
      </c>
      <c r="AH13" s="498" t="s">
        <v>3609</v>
      </c>
      <c r="AI13" s="498" t="s">
        <v>3610</v>
      </c>
      <c r="AJ13" s="498" t="s">
        <v>3611</v>
      </c>
      <c r="AK13" s="498" t="s">
        <v>3612</v>
      </c>
      <c r="AL13" s="498" t="s">
        <v>3613</v>
      </c>
      <c r="AM13" s="498" t="s">
        <v>3614</v>
      </c>
      <c r="AN13" s="498" t="s">
        <v>3615</v>
      </c>
      <c r="AO13" s="498" t="s">
        <v>3616</v>
      </c>
      <c r="AP13" s="498" t="s">
        <v>3617</v>
      </c>
      <c r="AQ13" s="498" t="s">
        <v>3618</v>
      </c>
      <c r="AR13" s="498" t="s">
        <v>3619</v>
      </c>
      <c r="AS13" s="498" t="s">
        <v>3620</v>
      </c>
      <c r="AT13" s="498" t="s">
        <v>3621</v>
      </c>
      <c r="AU13" s="498" t="s">
        <v>3622</v>
      </c>
      <c r="AV13" s="498" t="s">
        <v>3623</v>
      </c>
      <c r="AW13" s="498" t="s">
        <v>3624</v>
      </c>
      <c r="AX13" s="498" t="s">
        <v>3625</v>
      </c>
      <c r="AY13" s="498" t="s">
        <v>3626</v>
      </c>
      <c r="AZ13" s="498" t="s">
        <v>3627</v>
      </c>
      <c r="BA13" s="498" t="s">
        <v>3628</v>
      </c>
      <c r="BB13" s="498" t="s">
        <v>3629</v>
      </c>
      <c r="BC13" s="498" t="s">
        <v>3630</v>
      </c>
      <c r="BD13" s="498" t="s">
        <v>3631</v>
      </c>
      <c r="BE13" s="498" t="s">
        <v>3632</v>
      </c>
      <c r="BF13" s="498" t="s">
        <v>3633</v>
      </c>
      <c r="BG13" s="498" t="s">
        <v>3634</v>
      </c>
      <c r="BH13" s="498" t="s">
        <v>3635</v>
      </c>
      <c r="BI13" s="498" t="s">
        <v>3636</v>
      </c>
      <c r="BJ13" s="498" t="s">
        <v>3637</v>
      </c>
      <c r="BK13" s="498" t="s">
        <v>3638</v>
      </c>
      <c r="BL13" s="498" t="s">
        <v>3639</v>
      </c>
      <c r="BM13" s="498" t="s">
        <v>3640</v>
      </c>
      <c r="BN13" s="498" t="s">
        <v>3641</v>
      </c>
      <c r="BO13" s="498" t="s">
        <v>3642</v>
      </c>
      <c r="BP13" s="498" t="s">
        <v>3643</v>
      </c>
      <c r="BQ13" s="498" t="s">
        <v>3644</v>
      </c>
      <c r="BR13" s="498" t="s">
        <v>3645</v>
      </c>
      <c r="BS13" s="498" t="s">
        <v>3646</v>
      </c>
      <c r="BT13" s="498" t="s">
        <v>3647</v>
      </c>
      <c r="BU13" s="498" t="s">
        <v>3648</v>
      </c>
      <c r="BV13" s="498" t="s">
        <v>3649</v>
      </c>
      <c r="BW13" s="498" t="s">
        <v>3650</v>
      </c>
      <c r="BX13" s="498" t="s">
        <v>3651</v>
      </c>
      <c r="BY13" s="498" t="s">
        <v>3652</v>
      </c>
      <c r="BZ13" s="498" t="s">
        <v>3653</v>
      </c>
      <c r="CA13" s="498" t="s">
        <v>3654</v>
      </c>
      <c r="CB13" s="498" t="s">
        <v>3655</v>
      </c>
      <c r="CC13" s="498" t="s">
        <v>3656</v>
      </c>
      <c r="CD13" s="498" t="s">
        <v>3657</v>
      </c>
      <c r="CE13" s="498" t="s">
        <v>3658</v>
      </c>
      <c r="CF13" s="498" t="s">
        <v>3659</v>
      </c>
      <c r="CG13" s="498" t="s">
        <v>3660</v>
      </c>
      <c r="CH13" s="498" t="s">
        <v>3661</v>
      </c>
      <c r="CI13" s="498" t="s">
        <v>3662</v>
      </c>
      <c r="CJ13" s="498" t="s">
        <v>3663</v>
      </c>
      <c r="CK13" s="498" t="s">
        <v>3664</v>
      </c>
      <c r="CL13" s="498" t="s">
        <v>3665</v>
      </c>
      <c r="CM13" s="498" t="s">
        <v>3666</v>
      </c>
      <c r="CN13" s="498" t="s">
        <v>3667</v>
      </c>
      <c r="CO13" s="498" t="s">
        <v>3668</v>
      </c>
      <c r="CP13" s="498" t="s">
        <v>3669</v>
      </c>
      <c r="CQ13" s="498" t="s">
        <v>3670</v>
      </c>
      <c r="CR13" s="498" t="s">
        <v>3671</v>
      </c>
      <c r="CS13" s="498" t="s">
        <v>3672</v>
      </c>
      <c r="CT13" s="498" t="s">
        <v>3673</v>
      </c>
      <c r="CU13" s="498" t="s">
        <v>3674</v>
      </c>
      <c r="CV13" s="498" t="s">
        <v>3675</v>
      </c>
      <c r="CW13" s="498" t="s">
        <v>3676</v>
      </c>
      <c r="CX13" s="498" t="s">
        <v>3677</v>
      </c>
      <c r="CY13" s="498" t="s">
        <v>3678</v>
      </c>
      <c r="CZ13" s="498" t="s">
        <v>3679</v>
      </c>
      <c r="DA13" s="498" t="s">
        <v>3680</v>
      </c>
      <c r="DB13" s="498" t="s">
        <v>3681</v>
      </c>
      <c r="DC13" s="498" t="s">
        <v>3682</v>
      </c>
      <c r="DD13" s="498" t="s">
        <v>3683</v>
      </c>
      <c r="DE13" s="498" t="s">
        <v>3684</v>
      </c>
      <c r="DF13" s="498" t="s">
        <v>3685</v>
      </c>
      <c r="DG13" s="498" t="s">
        <v>3686</v>
      </c>
      <c r="DH13" s="498" t="s">
        <v>3687</v>
      </c>
      <c r="DI13" s="498" t="s">
        <v>3688</v>
      </c>
      <c r="DJ13" s="498" t="s">
        <v>3689</v>
      </c>
      <c r="DK13" s="498" t="s">
        <v>3690</v>
      </c>
      <c r="DL13" s="498" t="s">
        <v>3691</v>
      </c>
      <c r="DM13" s="498" t="s">
        <v>3692</v>
      </c>
      <c r="DN13" s="498" t="s">
        <v>3693</v>
      </c>
      <c r="DO13" s="498" t="s">
        <v>3694</v>
      </c>
      <c r="DP13" s="498" t="s">
        <v>3695</v>
      </c>
      <c r="DQ13" s="498" t="s">
        <v>3696</v>
      </c>
      <c r="DR13" s="498" t="s">
        <v>3697</v>
      </c>
      <c r="DS13" s="498" t="s">
        <v>3698</v>
      </c>
      <c r="DT13" s="498" t="s">
        <v>3699</v>
      </c>
      <c r="DU13" s="498" t="s">
        <v>3700</v>
      </c>
      <c r="DV13" s="498" t="s">
        <v>3701</v>
      </c>
      <c r="DW13" s="498" t="s">
        <v>3702</v>
      </c>
      <c r="DX13" s="498" t="s">
        <v>3703</v>
      </c>
      <c r="DY13" s="498" t="s">
        <v>3704</v>
      </c>
      <c r="DZ13" s="498" t="s">
        <v>3705</v>
      </c>
      <c r="EA13" s="498" t="s">
        <v>3706</v>
      </c>
      <c r="EB13" s="498" t="s">
        <v>3707</v>
      </c>
      <c r="EC13" s="498" t="s">
        <v>3708</v>
      </c>
      <c r="ED13" s="498" t="s">
        <v>3709</v>
      </c>
      <c r="EE13" s="498" t="s">
        <v>3710</v>
      </c>
      <c r="EF13" s="498" t="s">
        <v>3711</v>
      </c>
      <c r="EG13" s="498" t="s">
        <v>3712</v>
      </c>
      <c r="EH13" s="498" t="s">
        <v>3713</v>
      </c>
      <c r="EI13" s="498" t="s">
        <v>3714</v>
      </c>
      <c r="EJ13" s="498" t="s">
        <v>3715</v>
      </c>
      <c r="EK13" s="498" t="s">
        <v>3716</v>
      </c>
      <c r="EL13" s="498" t="s">
        <v>3717</v>
      </c>
      <c r="EM13" s="498" t="s">
        <v>3718</v>
      </c>
      <c r="EN13" s="498" t="s">
        <v>3719</v>
      </c>
      <c r="EO13" s="498" t="s">
        <v>3720</v>
      </c>
      <c r="EP13" s="498" t="s">
        <v>3721</v>
      </c>
      <c r="EQ13" s="498" t="s">
        <v>3722</v>
      </c>
      <c r="ER13" s="498" t="s">
        <v>3723</v>
      </c>
      <c r="ES13" s="498" t="s">
        <v>3724</v>
      </c>
      <c r="ET13" s="498" t="s">
        <v>3725</v>
      </c>
      <c r="EU13" s="498" t="s">
        <v>3726</v>
      </c>
      <c r="EV13" s="498" t="s">
        <v>3727</v>
      </c>
      <c r="EW13" s="498" t="s">
        <v>3728</v>
      </c>
      <c r="EX13" s="498" t="s">
        <v>3729</v>
      </c>
      <c r="EY13" s="498" t="s">
        <v>3730</v>
      </c>
      <c r="EZ13" s="498" t="s">
        <v>3731</v>
      </c>
      <c r="FA13" s="498" t="s">
        <v>3732</v>
      </c>
      <c r="FB13" s="498" t="s">
        <v>3733</v>
      </c>
      <c r="FC13" s="498" t="s">
        <v>3734</v>
      </c>
      <c r="FD13" s="498" t="s">
        <v>3735</v>
      </c>
      <c r="FE13" s="498" t="s">
        <v>3736</v>
      </c>
      <c r="FF13" s="498" t="s">
        <v>3737</v>
      </c>
      <c r="FG13" s="498" t="s">
        <v>3738</v>
      </c>
      <c r="FH13" s="500" t="s">
        <v>3739</v>
      </c>
    </row>
    <row r="14" spans="1:164" ht="12.75" customHeight="1" x14ac:dyDescent="0.3">
      <c r="A14" s="489"/>
      <c r="B14" s="489"/>
      <c r="C14" s="489"/>
      <c r="D14" s="489"/>
      <c r="E14" s="493"/>
      <c r="F14" s="671"/>
      <c r="G14" s="501"/>
      <c r="H14" s="502"/>
      <c r="I14" s="494" t="s">
        <v>4084</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4085</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4086</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4087</v>
      </c>
      <c r="J19" s="746" t="s">
        <v>4080</v>
      </c>
      <c r="K19" s="497" t="s">
        <v>4081</v>
      </c>
      <c r="L19" s="497" t="s">
        <v>4082</v>
      </c>
      <c r="M19" s="497" t="s">
        <v>4083</v>
      </c>
      <c r="N19" s="497" t="s">
        <v>3589</v>
      </c>
      <c r="O19" s="497" t="s">
        <v>3590</v>
      </c>
      <c r="P19" s="497" t="s">
        <v>3591</v>
      </c>
      <c r="Q19" s="498" t="s">
        <v>4088</v>
      </c>
      <c r="R19" s="498" t="s">
        <v>4089</v>
      </c>
      <c r="S19" s="498" t="s">
        <v>4090</v>
      </c>
      <c r="T19" s="498" t="s">
        <v>4091</v>
      </c>
      <c r="U19" s="499" t="s">
        <v>4092</v>
      </c>
      <c r="V19" s="498" t="s">
        <v>4093</v>
      </c>
      <c r="W19" s="498" t="s">
        <v>4094</v>
      </c>
      <c r="X19" s="498" t="s">
        <v>4095</v>
      </c>
      <c r="Y19" s="499" t="s">
        <v>4096</v>
      </c>
      <c r="Z19" s="498" t="s">
        <v>4097</v>
      </c>
      <c r="AA19" s="498" t="s">
        <v>4098</v>
      </c>
      <c r="AB19" s="498" t="s">
        <v>4099</v>
      </c>
      <c r="AC19" s="498" t="s">
        <v>3604</v>
      </c>
      <c r="AD19" s="498" t="s">
        <v>3605</v>
      </c>
      <c r="AE19" s="498" t="s">
        <v>3606</v>
      </c>
      <c r="AF19" s="498" t="s">
        <v>3607</v>
      </c>
      <c r="AG19" s="498" t="s">
        <v>4100</v>
      </c>
      <c r="AH19" s="498" t="s">
        <v>4101</v>
      </c>
      <c r="AI19" s="498" t="s">
        <v>4102</v>
      </c>
      <c r="AJ19" s="498" t="s">
        <v>4103</v>
      </c>
      <c r="AK19" s="498" t="s">
        <v>4104</v>
      </c>
      <c r="AL19" s="498" t="s">
        <v>4105</v>
      </c>
      <c r="AM19" s="498" t="s">
        <v>4106</v>
      </c>
      <c r="AN19" s="498" t="s">
        <v>4107</v>
      </c>
      <c r="AO19" s="498" t="s">
        <v>4108</v>
      </c>
      <c r="AP19" s="498" t="s">
        <v>4109</v>
      </c>
      <c r="AQ19" s="498" t="s">
        <v>4110</v>
      </c>
      <c r="AR19" s="498" t="s">
        <v>4111</v>
      </c>
      <c r="AS19" s="498" t="s">
        <v>4112</v>
      </c>
      <c r="AT19" s="498" t="s">
        <v>4113</v>
      </c>
      <c r="AU19" s="498" t="s">
        <v>4114</v>
      </c>
      <c r="AV19" s="498" t="s">
        <v>4115</v>
      </c>
      <c r="AW19" s="498" t="s">
        <v>4116</v>
      </c>
      <c r="AX19" s="498" t="s">
        <v>4117</v>
      </c>
      <c r="AY19" s="498" t="s">
        <v>4118</v>
      </c>
      <c r="AZ19" s="498" t="s">
        <v>4119</v>
      </c>
      <c r="BA19" s="498" t="s">
        <v>4120</v>
      </c>
      <c r="BB19" s="498" t="s">
        <v>4121</v>
      </c>
      <c r="BC19" s="498" t="s">
        <v>4122</v>
      </c>
      <c r="BD19" s="498" t="s">
        <v>4123</v>
      </c>
      <c r="BE19" s="498" t="s">
        <v>3632</v>
      </c>
      <c r="BF19" s="498" t="s">
        <v>3633</v>
      </c>
      <c r="BG19" s="498" t="s">
        <v>3634</v>
      </c>
      <c r="BH19" s="498" t="s">
        <v>4124</v>
      </c>
      <c r="BI19" s="498" t="s">
        <v>4125</v>
      </c>
      <c r="BJ19" s="498" t="s">
        <v>4126</v>
      </c>
      <c r="BK19" s="498" t="s">
        <v>4127</v>
      </c>
      <c r="BL19" s="498" t="s">
        <v>4128</v>
      </c>
      <c r="BM19" s="498" t="s">
        <v>4129</v>
      </c>
      <c r="BN19" s="498" t="s">
        <v>4130</v>
      </c>
      <c r="BO19" s="498" t="s">
        <v>4131</v>
      </c>
      <c r="BP19" s="498" t="s">
        <v>4132</v>
      </c>
      <c r="BQ19" s="498" t="s">
        <v>4133</v>
      </c>
      <c r="BR19" s="498" t="s">
        <v>4134</v>
      </c>
      <c r="BS19" s="498" t="s">
        <v>4135</v>
      </c>
      <c r="BT19" s="498" t="s">
        <v>3647</v>
      </c>
      <c r="BU19" s="498" t="s">
        <v>3648</v>
      </c>
      <c r="BV19" s="498" t="s">
        <v>3649</v>
      </c>
      <c r="BW19" s="498" t="s">
        <v>3650</v>
      </c>
      <c r="BX19" s="498" t="s">
        <v>4136</v>
      </c>
      <c r="BY19" s="498" t="s">
        <v>4137</v>
      </c>
      <c r="BZ19" s="498" t="s">
        <v>4138</v>
      </c>
      <c r="CA19" s="498" t="s">
        <v>4139</v>
      </c>
      <c r="CB19" s="498" t="s">
        <v>4140</v>
      </c>
      <c r="CC19" s="498" t="s">
        <v>4141</v>
      </c>
      <c r="CD19" s="498" t="s">
        <v>4142</v>
      </c>
      <c r="CE19" s="498" t="s">
        <v>4143</v>
      </c>
      <c r="CF19" s="498" t="s">
        <v>4144</v>
      </c>
      <c r="CG19" s="498" t="s">
        <v>4145</v>
      </c>
      <c r="CH19" s="498" t="s">
        <v>4146</v>
      </c>
      <c r="CI19" s="498" t="s">
        <v>4147</v>
      </c>
      <c r="CJ19" s="498" t="s">
        <v>4148</v>
      </c>
      <c r="CK19" s="498" t="s">
        <v>4149</v>
      </c>
      <c r="CL19" s="498" t="s">
        <v>4150</v>
      </c>
      <c r="CM19" s="498" t="s">
        <v>4151</v>
      </c>
      <c r="CN19" s="498" t="s">
        <v>4152</v>
      </c>
      <c r="CO19" s="498" t="s">
        <v>4153</v>
      </c>
      <c r="CP19" s="498" t="s">
        <v>4154</v>
      </c>
      <c r="CQ19" s="498" t="s">
        <v>4155</v>
      </c>
      <c r="CR19" s="498" t="s">
        <v>4156</v>
      </c>
      <c r="CS19" s="498" t="s">
        <v>4157</v>
      </c>
      <c r="CT19" s="498" t="s">
        <v>4158</v>
      </c>
      <c r="CU19" s="498" t="s">
        <v>4159</v>
      </c>
      <c r="CV19" s="498" t="s">
        <v>3675</v>
      </c>
      <c r="CW19" s="498" t="s">
        <v>3676</v>
      </c>
      <c r="CX19" s="498" t="s">
        <v>3677</v>
      </c>
      <c r="CY19" s="498" t="s">
        <v>4160</v>
      </c>
      <c r="CZ19" s="498" t="s">
        <v>4161</v>
      </c>
      <c r="DA19" s="498" t="s">
        <v>4162</v>
      </c>
      <c r="DB19" s="498" t="s">
        <v>4163</v>
      </c>
      <c r="DC19" s="498" t="s">
        <v>4164</v>
      </c>
      <c r="DD19" s="498" t="s">
        <v>4165</v>
      </c>
      <c r="DE19" s="498" t="s">
        <v>4166</v>
      </c>
      <c r="DF19" s="498" t="s">
        <v>4167</v>
      </c>
      <c r="DG19" s="498" t="s">
        <v>4168</v>
      </c>
      <c r="DH19" s="498" t="s">
        <v>4169</v>
      </c>
      <c r="DI19" s="498" t="s">
        <v>4170</v>
      </c>
      <c r="DJ19" s="498" t="s">
        <v>4171</v>
      </c>
      <c r="DK19" s="498" t="s">
        <v>4172</v>
      </c>
      <c r="DL19" s="498" t="s">
        <v>4173</v>
      </c>
      <c r="DM19" s="498" t="s">
        <v>4174</v>
      </c>
      <c r="DN19" s="498" t="s">
        <v>4175</v>
      </c>
      <c r="DO19" s="498" t="s">
        <v>4176</v>
      </c>
      <c r="DP19" s="498" t="s">
        <v>4177</v>
      </c>
      <c r="DQ19" s="498" t="s">
        <v>4178</v>
      </c>
      <c r="DR19" s="498" t="s">
        <v>4179</v>
      </c>
      <c r="DS19" s="498" t="s">
        <v>3698</v>
      </c>
      <c r="DT19" s="498" t="s">
        <v>3699</v>
      </c>
      <c r="DU19" s="498" t="s">
        <v>3700</v>
      </c>
      <c r="DV19" s="498" t="s">
        <v>4180</v>
      </c>
      <c r="DW19" s="498" t="s">
        <v>4181</v>
      </c>
      <c r="DX19" s="498" t="s">
        <v>4182</v>
      </c>
      <c r="DY19" s="498" t="s">
        <v>4183</v>
      </c>
      <c r="DZ19" s="498" t="s">
        <v>4184</v>
      </c>
      <c r="EA19" s="498" t="s">
        <v>4185</v>
      </c>
      <c r="EB19" s="498" t="s">
        <v>4186</v>
      </c>
      <c r="EC19" s="498" t="s">
        <v>4187</v>
      </c>
      <c r="ED19" s="498" t="s">
        <v>4188</v>
      </c>
      <c r="EE19" s="498" t="s">
        <v>4189</v>
      </c>
      <c r="EF19" s="498" t="s">
        <v>4190</v>
      </c>
      <c r="EG19" s="498" t="s">
        <v>4191</v>
      </c>
      <c r="EH19" s="498" t="s">
        <v>4192</v>
      </c>
      <c r="EI19" s="498" t="s">
        <v>4193</v>
      </c>
      <c r="EJ19" s="498" t="s">
        <v>4194</v>
      </c>
      <c r="EK19" s="498" t="s">
        <v>4195</v>
      </c>
      <c r="EL19" s="498" t="s">
        <v>4196</v>
      </c>
      <c r="EM19" s="498" t="s">
        <v>4197</v>
      </c>
      <c r="EN19" s="498" t="s">
        <v>4198</v>
      </c>
      <c r="EO19" s="498" t="s">
        <v>4199</v>
      </c>
      <c r="EP19" s="498" t="s">
        <v>3721</v>
      </c>
      <c r="EQ19" s="498" t="s">
        <v>3722</v>
      </c>
      <c r="ER19" s="498" t="s">
        <v>3723</v>
      </c>
      <c r="ES19" s="498" t="s">
        <v>4200</v>
      </c>
      <c r="ET19" s="498" t="s">
        <v>4201</v>
      </c>
      <c r="EU19" s="498" t="s">
        <v>4202</v>
      </c>
      <c r="EV19" s="498" t="s">
        <v>4203</v>
      </c>
      <c r="EW19" s="498" t="s">
        <v>4204</v>
      </c>
      <c r="EX19" s="498" t="s">
        <v>4205</v>
      </c>
      <c r="EY19" s="498" t="s">
        <v>4206</v>
      </c>
      <c r="EZ19" s="498" t="s">
        <v>4207</v>
      </c>
      <c r="FA19" s="498" t="s">
        <v>4208</v>
      </c>
      <c r="FB19" s="498" t="s">
        <v>4209</v>
      </c>
      <c r="FC19" s="498" t="s">
        <v>4210</v>
      </c>
      <c r="FD19" s="498" t="s">
        <v>4211</v>
      </c>
      <c r="FE19" s="498" t="s">
        <v>4212</v>
      </c>
      <c r="FF19" s="498" t="s">
        <v>4213</v>
      </c>
      <c r="FG19" s="498" t="s">
        <v>4214</v>
      </c>
      <c r="FH19" s="500" t="s">
        <v>4215</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4216</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4217</v>
      </c>
      <c r="B3" s="219" t="s">
        <v>4218</v>
      </c>
      <c r="C3" s="220" t="s">
        <v>4219</v>
      </c>
      <c r="D3" s="518" t="s">
        <v>523</v>
      </c>
      <c r="E3" s="519" t="s">
        <v>541</v>
      </c>
      <c r="F3" s="519" t="s">
        <v>526</v>
      </c>
      <c r="G3" s="221" t="s">
        <v>584</v>
      </c>
      <c r="H3" s="222" t="s">
        <v>570</v>
      </c>
      <c r="I3" s="222" t="s">
        <v>578</v>
      </c>
      <c r="J3" s="223" t="s">
        <v>4220</v>
      </c>
      <c r="K3" s="223" t="s">
        <v>537</v>
      </c>
      <c r="L3" s="223" t="s">
        <v>4221</v>
      </c>
      <c r="M3" s="223" t="s">
        <v>4222</v>
      </c>
      <c r="N3" s="223" t="s">
        <v>4223</v>
      </c>
      <c r="O3" s="223" t="s">
        <v>4224</v>
      </c>
      <c r="P3" s="223" t="s">
        <v>4225</v>
      </c>
      <c r="Q3" s="222" t="s">
        <v>4226</v>
      </c>
      <c r="R3" s="222" t="s">
        <v>4227</v>
      </c>
      <c r="S3" s="222" t="s">
        <v>4228</v>
      </c>
      <c r="T3" s="222" t="s">
        <v>4229</v>
      </c>
      <c r="U3" s="247" t="s">
        <v>4230</v>
      </c>
      <c r="V3" s="247" t="s">
        <v>4231</v>
      </c>
      <c r="W3" s="223" t="s">
        <v>4232</v>
      </c>
      <c r="X3" s="252" t="s">
        <v>4233</v>
      </c>
      <c r="Y3" s="252" t="s">
        <v>4234</v>
      </c>
      <c r="Z3" s="252" t="s">
        <v>4235</v>
      </c>
      <c r="AA3" s="290"/>
      <c r="AB3" s="736"/>
      <c r="AC3" s="224"/>
      <c r="AD3" s="783" t="s">
        <v>277</v>
      </c>
      <c r="AE3" s="783" t="s">
        <v>281</v>
      </c>
      <c r="AF3" s="604" t="s">
        <v>285</v>
      </c>
      <c r="AG3" s="674" t="s">
        <v>290</v>
      </c>
      <c r="AH3" s="674" t="s">
        <v>294</v>
      </c>
      <c r="AI3" s="604" t="s">
        <v>296</v>
      </c>
      <c r="AJ3" s="604" t="s">
        <v>298</v>
      </c>
      <c r="AK3" s="604" t="s">
        <v>300</v>
      </c>
      <c r="AL3" s="604" t="s">
        <v>302</v>
      </c>
      <c r="AM3" s="604" t="s">
        <v>304</v>
      </c>
      <c r="AN3" s="604" t="s">
        <v>306</v>
      </c>
      <c r="AO3" s="604" t="s">
        <v>308</v>
      </c>
      <c r="AP3" s="604" t="s">
        <v>310</v>
      </c>
      <c r="AQ3" s="604" t="s">
        <v>312</v>
      </c>
      <c r="AR3" s="604" t="s">
        <v>314</v>
      </c>
      <c r="AS3" s="604" t="s">
        <v>316</v>
      </c>
      <c r="AT3" s="604" t="s">
        <v>318</v>
      </c>
      <c r="AU3" s="604" t="s">
        <v>320</v>
      </c>
      <c r="AV3" s="604" t="s">
        <v>322</v>
      </c>
      <c r="AW3" s="604" t="s">
        <v>324</v>
      </c>
      <c r="AX3" s="604" t="s">
        <v>326</v>
      </c>
      <c r="AY3" s="604" t="s">
        <v>328</v>
      </c>
      <c r="AZ3" s="676" t="s">
        <v>330</v>
      </c>
      <c r="BA3" s="604" t="s">
        <v>334</v>
      </c>
      <c r="BB3" s="604" t="s">
        <v>357</v>
      </c>
      <c r="BC3" s="604" t="s">
        <v>359</v>
      </c>
      <c r="BD3" s="604" t="s">
        <v>338</v>
      </c>
      <c r="BE3" s="604" t="s">
        <v>361</v>
      </c>
      <c r="BF3" s="604" t="s">
        <v>363</v>
      </c>
      <c r="BG3" s="604" t="s">
        <v>340</v>
      </c>
      <c r="BH3" s="604" t="s">
        <v>365</v>
      </c>
      <c r="BI3" s="604" t="s">
        <v>367</v>
      </c>
      <c r="BJ3" s="604" t="s">
        <v>342</v>
      </c>
      <c r="BK3" s="604" t="s">
        <v>369</v>
      </c>
      <c r="BL3" s="604" t="s">
        <v>371</v>
      </c>
      <c r="BM3" s="604" t="s">
        <v>344</v>
      </c>
      <c r="BN3" s="604" t="s">
        <v>373</v>
      </c>
      <c r="BO3" s="604" t="s">
        <v>375</v>
      </c>
      <c r="BP3" s="604" t="s">
        <v>346</v>
      </c>
      <c r="BQ3" s="604" t="s">
        <v>377</v>
      </c>
      <c r="BR3" s="604" t="s">
        <v>379</v>
      </c>
      <c r="BS3" s="604" t="s">
        <v>348</v>
      </c>
      <c r="BT3" s="604" t="s">
        <v>381</v>
      </c>
      <c r="BU3" s="604" t="s">
        <v>383</v>
      </c>
      <c r="BV3" s="604" t="s">
        <v>350</v>
      </c>
      <c r="BW3" s="604" t="s">
        <v>385</v>
      </c>
      <c r="BX3" s="604" t="s">
        <v>387</v>
      </c>
      <c r="BY3" s="604" t="s">
        <v>352</v>
      </c>
      <c r="BZ3" s="604" t="s">
        <v>389</v>
      </c>
      <c r="CA3" s="604" t="s">
        <v>391</v>
      </c>
      <c r="CB3" s="604" t="s">
        <v>354</v>
      </c>
      <c r="CC3" s="604" t="s">
        <v>393</v>
      </c>
      <c r="CD3" s="676" t="s">
        <v>395</v>
      </c>
      <c r="CE3" s="567" t="s">
        <v>398</v>
      </c>
      <c r="CF3" s="802" t="s">
        <v>400</v>
      </c>
      <c r="CG3" s="802" t="s">
        <v>402</v>
      </c>
      <c r="CH3" s="567" t="s">
        <v>404</v>
      </c>
      <c r="CI3" s="567" t="s">
        <v>406</v>
      </c>
      <c r="CJ3" s="802" t="s">
        <v>408</v>
      </c>
      <c r="CK3" s="802" t="s">
        <v>410</v>
      </c>
      <c r="CL3" s="567" t="s">
        <v>412</v>
      </c>
      <c r="CM3" s="802" t="s">
        <v>414</v>
      </c>
      <c r="CN3" s="802" t="s">
        <v>416</v>
      </c>
      <c r="CO3" s="567" t="s">
        <v>418</v>
      </c>
      <c r="CP3" s="567" t="s">
        <v>420</v>
      </c>
      <c r="CQ3" s="567" t="s">
        <v>422</v>
      </c>
      <c r="CR3" s="802" t="s">
        <v>424</v>
      </c>
      <c r="CS3" s="802" t="s">
        <v>426</v>
      </c>
      <c r="CT3" s="567" t="s">
        <v>428</v>
      </c>
      <c r="CU3" s="567" t="s">
        <v>430</v>
      </c>
      <c r="CV3" s="567" t="s">
        <v>432</v>
      </c>
      <c r="CW3" s="802" t="s">
        <v>434</v>
      </c>
      <c r="CX3" s="802" t="s">
        <v>436</v>
      </c>
      <c r="CY3" s="567" t="s">
        <v>438</v>
      </c>
      <c r="CZ3" s="802" t="s">
        <v>439</v>
      </c>
      <c r="DA3" s="802" t="s">
        <v>440</v>
      </c>
    </row>
    <row r="4" spans="1:107" ht="12.75" customHeight="1" x14ac:dyDescent="0.3">
      <c r="A4" s="520"/>
      <c r="B4" s="521"/>
      <c r="C4" s="522"/>
      <c r="D4" s="523"/>
      <c r="E4" s="524" t="s">
        <v>292</v>
      </c>
      <c r="F4" s="520" t="s">
        <v>4236</v>
      </c>
      <c r="G4" s="525" t="s">
        <v>4237</v>
      </c>
      <c r="H4" s="523" t="s">
        <v>572</v>
      </c>
      <c r="I4" s="523" t="s">
        <v>4238</v>
      </c>
      <c r="J4" s="523" t="s">
        <v>292</v>
      </c>
      <c r="K4" s="523" t="s">
        <v>292</v>
      </c>
      <c r="L4" s="523" t="s">
        <v>292</v>
      </c>
      <c r="M4" s="526" t="s">
        <v>1091</v>
      </c>
      <c r="N4" s="526" t="s">
        <v>1091</v>
      </c>
      <c r="O4" s="526" t="s">
        <v>1091</v>
      </c>
      <c r="P4" s="526" t="s">
        <v>1091</v>
      </c>
      <c r="Q4" s="523" t="s">
        <v>1041</v>
      </c>
      <c r="R4" s="523" t="s">
        <v>1041</v>
      </c>
      <c r="S4" s="523" t="s">
        <v>1041</v>
      </c>
      <c r="T4" s="523" t="s">
        <v>1041</v>
      </c>
      <c r="U4" s="527" t="s">
        <v>134</v>
      </c>
      <c r="V4" s="527" t="s">
        <v>134</v>
      </c>
      <c r="W4" s="526" t="s">
        <v>4239</v>
      </c>
      <c r="X4" s="528" t="s">
        <v>292</v>
      </c>
      <c r="Y4" s="528" t="s">
        <v>292</v>
      </c>
      <c r="Z4" s="528" t="s">
        <v>292</v>
      </c>
      <c r="AA4" s="529"/>
      <c r="AB4" s="737"/>
      <c r="AC4" s="224"/>
      <c r="AD4" s="783" t="s">
        <v>278</v>
      </c>
      <c r="AE4" s="783" t="s">
        <v>282</v>
      </c>
      <c r="AF4" s="604" t="s">
        <v>286</v>
      </c>
      <c r="AG4" s="604" t="s">
        <v>291</v>
      </c>
      <c r="AH4" s="604" t="s">
        <v>291</v>
      </c>
      <c r="AI4" s="604" t="s">
        <v>291</v>
      </c>
      <c r="AJ4" s="604" t="s">
        <v>291</v>
      </c>
      <c r="AK4" s="604" t="s">
        <v>291</v>
      </c>
      <c r="AL4" s="604" t="s">
        <v>291</v>
      </c>
      <c r="AM4" s="604" t="s">
        <v>291</v>
      </c>
      <c r="AN4" s="604" t="s">
        <v>291</v>
      </c>
      <c r="AO4" s="604" t="s">
        <v>291</v>
      </c>
      <c r="AP4" s="604" t="s">
        <v>291</v>
      </c>
      <c r="AQ4" s="604" t="s">
        <v>291</v>
      </c>
      <c r="AR4" s="604" t="s">
        <v>291</v>
      </c>
      <c r="AS4" s="604" t="s">
        <v>291</v>
      </c>
      <c r="AT4" s="604" t="s">
        <v>291</v>
      </c>
      <c r="AU4" s="604" t="s">
        <v>291</v>
      </c>
      <c r="AV4" s="604" t="s">
        <v>291</v>
      </c>
      <c r="AW4" s="604" t="s">
        <v>291</v>
      </c>
      <c r="AX4" s="604" t="s">
        <v>291</v>
      </c>
      <c r="AY4" s="604" t="s">
        <v>291</v>
      </c>
      <c r="AZ4" s="676" t="s">
        <v>291</v>
      </c>
      <c r="BA4" s="604" t="s">
        <v>335</v>
      </c>
      <c r="BB4" s="604" t="s">
        <v>335</v>
      </c>
      <c r="BC4" s="604" t="s">
        <v>335</v>
      </c>
      <c r="BD4" s="604" t="s">
        <v>335</v>
      </c>
      <c r="BE4" s="604" t="s">
        <v>335</v>
      </c>
      <c r="BF4" s="604" t="s">
        <v>335</v>
      </c>
      <c r="BG4" s="604" t="s">
        <v>335</v>
      </c>
      <c r="BH4" s="604" t="s">
        <v>335</v>
      </c>
      <c r="BI4" s="604" t="s">
        <v>335</v>
      </c>
      <c r="BJ4" s="604" t="s">
        <v>335</v>
      </c>
      <c r="BK4" s="604" t="s">
        <v>335</v>
      </c>
      <c r="BL4" s="604" t="s">
        <v>335</v>
      </c>
      <c r="BM4" s="604" t="s">
        <v>335</v>
      </c>
      <c r="BN4" s="604" t="s">
        <v>335</v>
      </c>
      <c r="BO4" s="604" t="s">
        <v>335</v>
      </c>
      <c r="BP4" s="604" t="s">
        <v>335</v>
      </c>
      <c r="BQ4" s="604" t="s">
        <v>335</v>
      </c>
      <c r="BR4" s="604" t="s">
        <v>335</v>
      </c>
      <c r="BS4" s="604" t="s">
        <v>335</v>
      </c>
      <c r="BT4" s="604" t="s">
        <v>335</v>
      </c>
      <c r="BU4" s="604" t="s">
        <v>335</v>
      </c>
      <c r="BV4" s="604" t="s">
        <v>335</v>
      </c>
      <c r="BW4" s="604" t="s">
        <v>335</v>
      </c>
      <c r="BX4" s="604" t="s">
        <v>335</v>
      </c>
      <c r="BY4" s="604" t="s">
        <v>335</v>
      </c>
      <c r="BZ4" s="604" t="s">
        <v>335</v>
      </c>
      <c r="CA4" s="604" t="s">
        <v>335</v>
      </c>
      <c r="CB4" s="604" t="s">
        <v>335</v>
      </c>
      <c r="CC4" s="604" t="s">
        <v>335</v>
      </c>
      <c r="CD4" s="676" t="s">
        <v>335</v>
      </c>
      <c r="CE4" s="567" t="s">
        <v>335</v>
      </c>
      <c r="CF4" s="567" t="s">
        <v>335</v>
      </c>
      <c r="CG4" s="567" t="s">
        <v>335</v>
      </c>
      <c r="CH4" s="567" t="s">
        <v>335</v>
      </c>
      <c r="CI4" s="567" t="s">
        <v>335</v>
      </c>
      <c r="CJ4" s="567" t="s">
        <v>335</v>
      </c>
      <c r="CK4" s="567" t="s">
        <v>335</v>
      </c>
      <c r="CL4" s="567" t="s">
        <v>335</v>
      </c>
      <c r="CM4" s="567" t="s">
        <v>335</v>
      </c>
      <c r="CN4" s="567" t="s">
        <v>335</v>
      </c>
      <c r="CO4" s="567" t="s">
        <v>335</v>
      </c>
      <c r="CP4" s="567" t="s">
        <v>335</v>
      </c>
      <c r="CQ4" s="567" t="s">
        <v>335</v>
      </c>
      <c r="CR4" s="567" t="s">
        <v>335</v>
      </c>
      <c r="CS4" s="567" t="s">
        <v>335</v>
      </c>
      <c r="CT4" s="567" t="s">
        <v>335</v>
      </c>
      <c r="CU4" s="567" t="s">
        <v>335</v>
      </c>
      <c r="CV4" s="567" t="s">
        <v>335</v>
      </c>
      <c r="CW4" s="567" t="s">
        <v>335</v>
      </c>
      <c r="CX4" s="567" t="s">
        <v>335</v>
      </c>
      <c r="CY4" s="567" t="s">
        <v>335</v>
      </c>
      <c r="CZ4" s="567" t="s">
        <v>335</v>
      </c>
      <c r="DA4" s="567" t="s">
        <v>335</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267</v>
      </c>
      <c r="C8" s="260"/>
      <c r="D8" s="260" t="s">
        <v>4240</v>
      </c>
      <c r="E8" s="263" t="s">
        <v>4241</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398</v>
      </c>
    </row>
    <row r="9" spans="1:107" ht="12.75" customHeight="1" x14ac:dyDescent="0.3">
      <c r="A9" s="241">
        <v>2</v>
      </c>
      <c r="B9" s="260" t="s">
        <v>4242</v>
      </c>
      <c r="C9" s="260"/>
      <c r="D9" s="260" t="s">
        <v>4240</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400</v>
      </c>
    </row>
    <row r="10" spans="1:107" ht="12.75" customHeight="1" x14ac:dyDescent="0.3">
      <c r="A10" s="241">
        <v>3</v>
      </c>
      <c r="B10" s="260" t="s">
        <v>4243</v>
      </c>
      <c r="C10" s="260"/>
      <c r="D10" s="260" t="s">
        <v>4244</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402</v>
      </c>
    </row>
    <row r="11" spans="1:107" ht="12.75" customHeight="1" x14ac:dyDescent="0.3">
      <c r="A11" s="241">
        <v>4</v>
      </c>
      <c r="B11" s="260" t="s">
        <v>4245</v>
      </c>
      <c r="C11" s="260"/>
      <c r="D11" s="260" t="s">
        <v>4246</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404</v>
      </c>
    </row>
    <row r="12" spans="1:107" ht="12.75" customHeight="1" x14ac:dyDescent="0.3">
      <c r="A12" s="241">
        <v>5</v>
      </c>
      <c r="B12" s="260" t="s">
        <v>4247</v>
      </c>
      <c r="C12" s="260"/>
      <c r="D12" s="260" t="s">
        <v>4248</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406</v>
      </c>
    </row>
    <row r="13" spans="1:107" ht="12.75" customHeight="1" x14ac:dyDescent="0.3">
      <c r="A13" s="241">
        <v>6</v>
      </c>
      <c r="B13" s="216" t="s">
        <v>266</v>
      </c>
      <c r="C13" s="260"/>
      <c r="D13" s="608" t="s">
        <v>595</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408</v>
      </c>
    </row>
    <row r="14" spans="1:107" s="386" customFormat="1" ht="12.75" customHeight="1" x14ac:dyDescent="0.3">
      <c r="A14" s="898">
        <v>7</v>
      </c>
      <c r="B14" s="608" t="s">
        <v>4249</v>
      </c>
      <c r="C14" s="608"/>
      <c r="D14" s="608" t="s">
        <v>595</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410</v>
      </c>
    </row>
    <row r="15" spans="1:107" ht="12.75" customHeight="1" x14ac:dyDescent="0.3">
      <c r="A15" s="520">
        <v>8</v>
      </c>
      <c r="B15" s="521" t="s">
        <v>4250</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412</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414</v>
      </c>
    </row>
    <row r="17" spans="1:107" ht="12.75" customHeight="1" x14ac:dyDescent="0.3">
      <c r="A17" s="241">
        <v>11</v>
      </c>
      <c r="B17" s="216" t="s">
        <v>4251</v>
      </c>
      <c r="C17" s="260"/>
      <c r="D17" s="216" t="s">
        <v>4252</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416</v>
      </c>
    </row>
    <row r="18" spans="1:107" ht="12.75" customHeight="1" x14ac:dyDescent="0.3">
      <c r="A18" s="241">
        <v>12</v>
      </c>
      <c r="B18" s="216" t="s">
        <v>4253</v>
      </c>
      <c r="C18" s="260"/>
      <c r="D18" s="216" t="s">
        <v>4252</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4241</v>
      </c>
      <c r="AL18" s="847" t="s">
        <v>4241</v>
      </c>
      <c r="AM18" s="847" t="s">
        <v>4241</v>
      </c>
      <c r="AN18" s="847" t="s">
        <v>4241</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418</v>
      </c>
    </row>
    <row r="19" spans="1:107" ht="12.75" customHeight="1" x14ac:dyDescent="0.3">
      <c r="A19" s="241">
        <v>13</v>
      </c>
      <c r="B19" s="216" t="s">
        <v>4254</v>
      </c>
      <c r="C19" s="260" t="s">
        <v>4255</v>
      </c>
      <c r="D19" s="216" t="s">
        <v>4252</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420</v>
      </c>
    </row>
    <row r="20" spans="1:107" ht="12.75" customHeight="1" x14ac:dyDescent="0.3">
      <c r="A20" s="241">
        <v>14</v>
      </c>
      <c r="B20" s="216" t="s">
        <v>4256</v>
      </c>
      <c r="C20" s="260"/>
      <c r="D20" s="216" t="s">
        <v>4252</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422</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424</v>
      </c>
    </row>
    <row r="22" spans="1:107" ht="12.75" customHeight="1" x14ac:dyDescent="0.3">
      <c r="A22" s="898">
        <v>15</v>
      </c>
      <c r="B22" s="216" t="s">
        <v>4257</v>
      </c>
      <c r="C22" s="260"/>
      <c r="D22" s="216" t="s">
        <v>4252</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426</v>
      </c>
    </row>
    <row r="23" spans="1:107" ht="12.75" customHeight="1" x14ac:dyDescent="0.3">
      <c r="A23" s="898">
        <v>16</v>
      </c>
      <c r="B23" s="216" t="s">
        <v>4258</v>
      </c>
      <c r="C23" s="260" t="s">
        <v>4255</v>
      </c>
      <c r="D23" s="216" t="s">
        <v>4252</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428</v>
      </c>
    </row>
    <row r="24" spans="1:107" ht="12.75" customHeight="1" x14ac:dyDescent="0.3">
      <c r="A24" s="898">
        <v>17</v>
      </c>
      <c r="B24" s="216" t="s">
        <v>4259</v>
      </c>
      <c r="C24" s="260"/>
      <c r="D24" s="216" t="s">
        <v>4252</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430</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432</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434</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436</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438</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439</v>
      </c>
    </row>
    <row r="30" spans="1:107" ht="12.75" customHeight="1" x14ac:dyDescent="0.3">
      <c r="A30" s="241">
        <v>1007</v>
      </c>
      <c r="B30" s="215" t="s">
        <v>4260</v>
      </c>
      <c r="C30" s="260" t="s">
        <v>4255</v>
      </c>
      <c r="D30" s="260" t="s">
        <v>594</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440</v>
      </c>
    </row>
    <row r="31" spans="1:107" ht="12.75" customHeight="1" x14ac:dyDescent="0.3">
      <c r="A31" s="241">
        <v>1008</v>
      </c>
      <c r="B31" s="215" t="s">
        <v>4261</v>
      </c>
      <c r="C31" s="260" t="s">
        <v>4262</v>
      </c>
      <c r="D31" s="260" t="s">
        <v>594</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4263</v>
      </c>
      <c r="C32" s="260" t="s">
        <v>4264</v>
      </c>
      <c r="D32" s="260" t="s">
        <v>594</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4265</v>
      </c>
      <c r="C33" s="260" t="s">
        <v>4264</v>
      </c>
      <c r="D33" s="260" t="s">
        <v>594</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4266</v>
      </c>
      <c r="C34" s="260" t="s">
        <v>4267</v>
      </c>
      <c r="D34" s="260" t="s">
        <v>594</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4268</v>
      </c>
      <c r="C35" s="260" t="s">
        <v>4269</v>
      </c>
      <c r="D35" s="260" t="s">
        <v>594</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4270</v>
      </c>
      <c r="C36" s="260" t="s">
        <v>4271</v>
      </c>
      <c r="D36" s="260" t="s">
        <v>594</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4272</v>
      </c>
      <c r="C37" s="260" t="s">
        <v>4273</v>
      </c>
      <c r="D37" s="260" t="s">
        <v>594</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4274</v>
      </c>
      <c r="C38" s="260" t="s">
        <v>4275</v>
      </c>
      <c r="D38" s="260" t="s">
        <v>594</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4276</v>
      </c>
      <c r="C39" s="260" t="s">
        <v>4277</v>
      </c>
      <c r="D39" s="260" t="s">
        <v>594</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4278</v>
      </c>
      <c r="C40" s="260" t="s">
        <v>4279</v>
      </c>
      <c r="D40" s="260" t="s">
        <v>594</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4280</v>
      </c>
      <c r="C41" s="260" t="s">
        <v>4281</v>
      </c>
      <c r="D41" s="260" t="s">
        <v>594</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4282</v>
      </c>
      <c r="C42" s="260" t="s">
        <v>4283</v>
      </c>
      <c r="D42" s="260" t="s">
        <v>594</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4284</v>
      </c>
      <c r="C43" s="260" t="s">
        <v>4283</v>
      </c>
      <c r="D43" s="260" t="s">
        <v>594</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4285</v>
      </c>
      <c r="C44" s="260" t="s">
        <v>4286</v>
      </c>
      <c r="D44" s="260" t="s">
        <v>594</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4287</v>
      </c>
      <c r="C45" s="260" t="s">
        <v>4288</v>
      </c>
      <c r="D45" s="260" t="s">
        <v>594</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4289</v>
      </c>
      <c r="C46" s="260" t="s">
        <v>4290</v>
      </c>
      <c r="D46" s="260" t="s">
        <v>594</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4291</v>
      </c>
      <c r="C47" s="260" t="s">
        <v>4292</v>
      </c>
      <c r="D47" s="260" t="s">
        <v>594</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4293</v>
      </c>
      <c r="C48" s="260" t="s">
        <v>4294</v>
      </c>
      <c r="D48" s="260" t="s">
        <v>594</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4295</v>
      </c>
      <c r="C49" s="260" t="s">
        <v>4296</v>
      </c>
      <c r="D49" s="260" t="s">
        <v>594</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4297</v>
      </c>
      <c r="C50" s="260" t="s">
        <v>4296</v>
      </c>
      <c r="D50" s="260" t="s">
        <v>594</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4298</v>
      </c>
      <c r="C51" s="260" t="s">
        <v>4299</v>
      </c>
      <c r="D51" s="260" t="s">
        <v>594</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4300</v>
      </c>
      <c r="C52" s="260" t="s">
        <v>4301</v>
      </c>
      <c r="D52" s="260" t="s">
        <v>594</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4302</v>
      </c>
      <c r="C53" s="260" t="s">
        <v>4303</v>
      </c>
      <c r="D53" s="260" t="s">
        <v>594</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4304</v>
      </c>
      <c r="C54" s="260" t="s">
        <v>4305</v>
      </c>
      <c r="D54" s="260" t="s">
        <v>594</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4306</v>
      </c>
      <c r="C55" s="260" t="s">
        <v>4307</v>
      </c>
      <c r="D55" s="260" t="s">
        <v>594</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4308</v>
      </c>
      <c r="C56" s="225" t="s">
        <v>4309</v>
      </c>
      <c r="D56" s="225" t="s">
        <v>594</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4310</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63</v>
      </c>
      <c r="B3" s="167"/>
      <c r="C3" s="167"/>
      <c r="D3" s="167"/>
      <c r="E3" s="167"/>
      <c r="F3" s="167"/>
      <c r="G3" s="211"/>
      <c r="H3" s="212"/>
      <c r="I3" s="538" t="s">
        <v>4311</v>
      </c>
      <c r="J3" s="537" t="s">
        <v>270</v>
      </c>
      <c r="K3" s="537" t="s">
        <v>4312</v>
      </c>
      <c r="L3" s="820" t="s">
        <v>4313</v>
      </c>
      <c r="M3" s="537" t="s">
        <v>4314</v>
      </c>
      <c r="N3" s="820" t="s">
        <v>4315</v>
      </c>
      <c r="O3" s="537" t="s">
        <v>4316</v>
      </c>
      <c r="P3" s="820" t="s">
        <v>4315</v>
      </c>
      <c r="Q3" s="537" t="s">
        <v>4317</v>
      </c>
      <c r="R3" s="537" t="s">
        <v>4318</v>
      </c>
      <c r="S3" s="537" t="s">
        <v>4319</v>
      </c>
      <c r="T3" s="537" t="s">
        <v>4320</v>
      </c>
      <c r="U3" s="537" t="s">
        <v>4321</v>
      </c>
      <c r="V3" s="537"/>
      <c r="W3" s="537"/>
      <c r="X3" s="537"/>
      <c r="Y3" s="537"/>
      <c r="Z3" s="537"/>
      <c r="AA3" s="537"/>
      <c r="AB3" s="537"/>
      <c r="AC3" s="537"/>
      <c r="AD3" s="330"/>
      <c r="AE3" s="330"/>
      <c r="AF3" s="330"/>
      <c r="AG3" s="330"/>
      <c r="AH3" s="956"/>
    </row>
    <row r="4" spans="1:34" customFormat="1" ht="12.75" customHeight="1" x14ac:dyDescent="0.3">
      <c r="A4" s="147" t="s">
        <v>484</v>
      </c>
      <c r="B4" s="147"/>
      <c r="C4" s="147"/>
      <c r="D4" s="147"/>
      <c r="E4" s="147"/>
      <c r="F4" s="147"/>
      <c r="G4" s="148" t="s">
        <v>258</v>
      </c>
      <c r="H4" s="148" t="s">
        <v>274</v>
      </c>
      <c r="I4" s="331" t="s">
        <v>259</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4322</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58</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485</v>
      </c>
      <c r="C8" s="243"/>
      <c r="D8" s="228"/>
      <c r="E8" s="17"/>
      <c r="F8" s="17"/>
      <c r="G8" s="38" t="s">
        <v>486</v>
      </c>
      <c r="H8" s="38" t="s">
        <v>487</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489</v>
      </c>
      <c r="C9" s="243"/>
      <c r="D9" s="228"/>
      <c r="E9" s="17"/>
      <c r="F9" s="17"/>
      <c r="G9" s="38" t="s">
        <v>490</v>
      </c>
      <c r="H9" s="38" t="s">
        <v>487</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4323</v>
      </c>
      <c r="C10" s="243"/>
      <c r="D10" s="228"/>
      <c r="E10" s="17"/>
      <c r="F10" s="17"/>
      <c r="G10" s="38" t="s">
        <v>492</v>
      </c>
      <c r="H10" s="38" t="s">
        <v>487</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4324</v>
      </c>
      <c r="C11" s="243"/>
      <c r="D11" s="228"/>
      <c r="E11" s="17"/>
      <c r="F11" s="17"/>
      <c r="G11" s="38" t="s">
        <v>494</v>
      </c>
      <c r="H11" s="38" t="s">
        <v>487</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495</v>
      </c>
      <c r="C12" s="243"/>
      <c r="D12" s="228"/>
      <c r="E12" s="17"/>
      <c r="F12" s="17"/>
      <c r="G12" s="38" t="s">
        <v>496</v>
      </c>
      <c r="H12" s="38" t="s">
        <v>487</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497</v>
      </c>
      <c r="C13" s="243"/>
      <c r="D13" s="228"/>
      <c r="E13" s="17"/>
      <c r="F13" s="17"/>
      <c r="G13" s="38" t="s">
        <v>498</v>
      </c>
      <c r="H13" s="38" t="s">
        <v>487</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500</v>
      </c>
      <c r="C14" s="243"/>
      <c r="D14" s="228"/>
      <c r="E14" s="17"/>
      <c r="F14" s="17"/>
      <c r="G14" s="38" t="s">
        <v>501</v>
      </c>
      <c r="H14" s="38" t="s">
        <v>487</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211</v>
      </c>
      <c r="B15" s="228"/>
      <c r="C15" s="243"/>
      <c r="D15" s="228"/>
      <c r="E15" s="17"/>
      <c r="F15" s="17"/>
      <c r="G15" s="149"/>
      <c r="H15" s="38"/>
      <c r="I15" s="142"/>
      <c r="J15" s="293"/>
      <c r="K15" s="293"/>
      <c r="L15" s="293"/>
      <c r="M15" s="293"/>
      <c r="N15" s="293"/>
      <c r="O15" s="293"/>
      <c r="P15" s="293"/>
      <c r="Q15" s="735" t="s">
        <v>4241</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485</v>
      </c>
      <c r="C16" s="243"/>
      <c r="D16" s="228"/>
      <c r="E16" s="17"/>
      <c r="F16" s="17"/>
      <c r="G16" s="38" t="s">
        <v>502</v>
      </c>
      <c r="H16" s="38" t="s">
        <v>487</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489</v>
      </c>
      <c r="C17" s="243"/>
      <c r="D17" s="228"/>
      <c r="E17" s="17"/>
      <c r="F17" s="17"/>
      <c r="G17" s="38" t="s">
        <v>503</v>
      </c>
      <c r="H17" s="38" t="s">
        <v>487</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4323</v>
      </c>
      <c r="C18" s="243"/>
      <c r="D18" s="228"/>
      <c r="E18" s="17"/>
      <c r="F18" s="17"/>
      <c r="G18" s="38" t="s">
        <v>504</v>
      </c>
      <c r="H18" s="38" t="s">
        <v>487</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4324</v>
      </c>
      <c r="C19" s="243"/>
      <c r="D19" s="228"/>
      <c r="E19" s="17"/>
      <c r="F19" s="17"/>
      <c r="G19" s="38" t="s">
        <v>505</v>
      </c>
      <c r="H19" s="38" t="s">
        <v>487</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495</v>
      </c>
      <c r="C20" s="243"/>
      <c r="D20" s="228"/>
      <c r="E20" s="17"/>
      <c r="F20" s="17"/>
      <c r="G20" s="38" t="s">
        <v>506</v>
      </c>
      <c r="H20" s="38" t="s">
        <v>487</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497</v>
      </c>
      <c r="C21" s="243"/>
      <c r="D21" s="228"/>
      <c r="E21" s="17"/>
      <c r="F21" s="17"/>
      <c r="G21" s="38" t="s">
        <v>507</v>
      </c>
      <c r="H21" s="38" t="s">
        <v>487</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500</v>
      </c>
      <c r="C22" s="243"/>
      <c r="D22" s="228"/>
      <c r="E22" s="17"/>
      <c r="F22" s="17"/>
      <c r="G22" s="38" t="s">
        <v>508</v>
      </c>
      <c r="H22" s="38" t="s">
        <v>487</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227</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485</v>
      </c>
      <c r="C24" s="243"/>
      <c r="D24" s="228"/>
      <c r="E24" s="17"/>
      <c r="F24" s="17"/>
      <c r="G24" s="38" t="s">
        <v>509</v>
      </c>
      <c r="H24" s="38" t="s">
        <v>487</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510</v>
      </c>
      <c r="C25" s="243"/>
      <c r="D25" s="228"/>
      <c r="E25" s="17"/>
      <c r="F25" s="17"/>
      <c r="G25" s="38" t="s">
        <v>511</v>
      </c>
      <c r="H25" s="38" t="s">
        <v>487</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512</v>
      </c>
      <c r="C26" s="243"/>
      <c r="D26" s="228"/>
      <c r="E26" s="17"/>
      <c r="F26" s="17"/>
      <c r="G26" s="38" t="s">
        <v>513</v>
      </c>
      <c r="H26" s="38" t="s">
        <v>487</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228</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485</v>
      </c>
      <c r="C28" s="243"/>
      <c r="D28" s="228"/>
      <c r="E28" s="17"/>
      <c r="F28" s="17"/>
      <c r="G28" s="38" t="s">
        <v>514</v>
      </c>
      <c r="H28" s="38" t="s">
        <v>487</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510</v>
      </c>
      <c r="C29" s="243"/>
      <c r="D29" s="228"/>
      <c r="E29" s="17"/>
      <c r="F29" s="17"/>
      <c r="G29" s="38" t="s">
        <v>515</v>
      </c>
      <c r="H29" s="38" t="s">
        <v>487</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512</v>
      </c>
      <c r="C30" s="243"/>
      <c r="D30" s="228"/>
      <c r="E30" s="17"/>
      <c r="F30" s="17"/>
      <c r="G30" s="38" t="s">
        <v>516</v>
      </c>
      <c r="H30" s="38" t="s">
        <v>487</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517</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485</v>
      </c>
      <c r="C32" s="243"/>
      <c r="D32" s="228"/>
      <c r="E32" s="17"/>
      <c r="F32" s="17"/>
      <c r="G32" s="38" t="s">
        <v>518</v>
      </c>
      <c r="H32" s="38" t="s">
        <v>487</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510</v>
      </c>
      <c r="C33" s="243"/>
      <c r="D33" s="228"/>
      <c r="E33" s="17"/>
      <c r="F33" s="17"/>
      <c r="G33" s="38" t="s">
        <v>519</v>
      </c>
      <c r="H33" s="38" t="s">
        <v>487</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512</v>
      </c>
      <c r="C34" s="243"/>
      <c r="D34" s="228"/>
      <c r="E34" s="17"/>
      <c r="F34" s="17"/>
      <c r="G34" s="38" t="s">
        <v>520</v>
      </c>
      <c r="H34" s="38" t="s">
        <v>487</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645</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58</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485</v>
      </c>
      <c r="C38" s="17"/>
      <c r="D38" s="17"/>
      <c r="E38" s="17"/>
      <c r="F38" s="17"/>
      <c r="G38" s="38" t="s">
        <v>646</v>
      </c>
      <c r="H38" s="38" t="s">
        <v>4325</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4326</v>
      </c>
      <c r="C39" s="17"/>
      <c r="D39" s="17"/>
      <c r="E39" s="17"/>
      <c r="F39" s="17"/>
      <c r="G39" s="38" t="s">
        <v>647</v>
      </c>
      <c r="H39" s="38" t="s">
        <v>4325</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4327</v>
      </c>
      <c r="C40" s="17"/>
      <c r="D40" s="17"/>
      <c r="E40" s="17"/>
      <c r="F40" s="17"/>
      <c r="G40" s="38" t="s">
        <v>648</v>
      </c>
      <c r="H40" s="38" t="s">
        <v>4325</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4328</v>
      </c>
      <c r="C41" s="17"/>
      <c r="D41" s="17"/>
      <c r="E41" s="17"/>
      <c r="F41" s="17"/>
      <c r="G41" s="38" t="s">
        <v>649</v>
      </c>
      <c r="H41" s="38" t="s">
        <v>4325</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495</v>
      </c>
      <c r="C42" s="17"/>
      <c r="D42" s="17"/>
      <c r="E42" s="17"/>
      <c r="F42" s="17"/>
      <c r="G42" s="38" t="s">
        <v>650</v>
      </c>
      <c r="H42" s="38" t="s">
        <v>4325</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497</v>
      </c>
      <c r="C43" s="17"/>
      <c r="D43" s="17"/>
      <c r="E43" s="17"/>
      <c r="F43" s="17"/>
      <c r="G43" s="38" t="s">
        <v>651</v>
      </c>
      <c r="H43" s="38" t="s">
        <v>4325</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500</v>
      </c>
      <c r="C44" s="17"/>
      <c r="D44" s="17"/>
      <c r="E44" s="17"/>
      <c r="F44" s="17"/>
      <c r="G44" s="38" t="s">
        <v>652</v>
      </c>
      <c r="H44" s="38" t="s">
        <v>4325</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211</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485</v>
      </c>
      <c r="C46" s="17"/>
      <c r="D46" s="17"/>
      <c r="E46" s="17"/>
      <c r="F46" s="17"/>
      <c r="G46" s="38" t="s">
        <v>653</v>
      </c>
      <c r="H46" s="38" t="s">
        <v>4325</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4326</v>
      </c>
      <c r="C47" s="17"/>
      <c r="D47" s="17"/>
      <c r="E47" s="17"/>
      <c r="F47" s="17"/>
      <c r="G47" s="38" t="s">
        <v>654</v>
      </c>
      <c r="H47" s="38" t="s">
        <v>4325</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4327</v>
      </c>
      <c r="C48" s="17"/>
      <c r="D48" s="17"/>
      <c r="E48" s="17"/>
      <c r="F48" s="17"/>
      <c r="G48" s="38" t="s">
        <v>655</v>
      </c>
      <c r="H48" s="38" t="s">
        <v>4325</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4328</v>
      </c>
      <c r="C49" s="17"/>
      <c r="D49" s="17"/>
      <c r="E49" s="17"/>
      <c r="F49" s="17"/>
      <c r="G49" s="38" t="s">
        <v>656</v>
      </c>
      <c r="H49" s="38" t="s">
        <v>4325</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495</v>
      </c>
      <c r="C50" s="17"/>
      <c r="D50" s="17"/>
      <c r="E50" s="17"/>
      <c r="F50" s="17"/>
      <c r="G50" s="38" t="s">
        <v>657</v>
      </c>
      <c r="H50" s="38" t="s">
        <v>4325</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497</v>
      </c>
      <c r="C51" s="17"/>
      <c r="D51" s="17"/>
      <c r="E51" s="17"/>
      <c r="F51" s="17"/>
      <c r="G51" s="38" t="s">
        <v>658</v>
      </c>
      <c r="H51" s="38" t="s">
        <v>4325</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500</v>
      </c>
      <c r="C52" s="17"/>
      <c r="D52" s="17"/>
      <c r="E52" s="17"/>
      <c r="F52" s="17"/>
      <c r="G52" s="38" t="s">
        <v>659</v>
      </c>
      <c r="H52" s="38" t="s">
        <v>4325</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227</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485</v>
      </c>
      <c r="C54" s="17"/>
      <c r="D54" s="17"/>
      <c r="E54" s="17"/>
      <c r="F54" s="17"/>
      <c r="G54" s="38" t="s">
        <v>660</v>
      </c>
      <c r="H54" s="38" t="s">
        <v>4325</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510</v>
      </c>
      <c r="C55" s="17"/>
      <c r="D55" s="17"/>
      <c r="E55" s="17"/>
      <c r="F55" s="17"/>
      <c r="G55" s="38" t="s">
        <v>661</v>
      </c>
      <c r="H55" s="38" t="s">
        <v>4325</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512</v>
      </c>
      <c r="C56" s="17"/>
      <c r="D56" s="17"/>
      <c r="E56" s="17"/>
      <c r="F56" s="17"/>
      <c r="G56" s="38" t="s">
        <v>662</v>
      </c>
      <c r="H56" s="38" t="s">
        <v>4325</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228</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485</v>
      </c>
      <c r="C58" s="17"/>
      <c r="D58" s="17"/>
      <c r="E58" s="17"/>
      <c r="F58" s="17"/>
      <c r="G58" s="38" t="s">
        <v>663</v>
      </c>
      <c r="H58" s="38" t="s">
        <v>4325</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510</v>
      </c>
      <c r="C59" s="17"/>
      <c r="D59" s="17"/>
      <c r="E59" s="17"/>
      <c r="F59" s="17"/>
      <c r="G59" s="38" t="s">
        <v>664</v>
      </c>
      <c r="H59" s="38" t="s">
        <v>4325</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512</v>
      </c>
      <c r="C60" s="17"/>
      <c r="D60" s="17"/>
      <c r="E60" s="17"/>
      <c r="F60" s="17"/>
      <c r="G60" s="38" t="s">
        <v>665</v>
      </c>
      <c r="H60" s="38" t="s">
        <v>4325</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517</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485</v>
      </c>
      <c r="C62" s="17"/>
      <c r="D62" s="17"/>
      <c r="E62" s="17"/>
      <c r="F62" s="17"/>
      <c r="G62" s="38" t="s">
        <v>666</v>
      </c>
      <c r="H62" s="38" t="s">
        <v>4325</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510</v>
      </c>
      <c r="C63" s="17"/>
      <c r="D63" s="17"/>
      <c r="E63" s="17"/>
      <c r="F63" s="17"/>
      <c r="G63" s="38" t="s">
        <v>667</v>
      </c>
      <c r="H63" s="38" t="s">
        <v>4325</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512</v>
      </c>
      <c r="C64" s="17"/>
      <c r="D64" s="17"/>
      <c r="E64" s="17"/>
      <c r="F64" s="17"/>
      <c r="G64" s="38" t="s">
        <v>668</v>
      </c>
      <c r="H64" s="38" t="s">
        <v>4325</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4329</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58</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670</v>
      </c>
      <c r="B69" s="17"/>
      <c r="C69" s="17"/>
      <c r="D69" s="17"/>
      <c r="E69" s="17"/>
      <c r="F69" s="17"/>
      <c r="G69" s="17" t="s">
        <v>671</v>
      </c>
      <c r="H69" s="146" t="s">
        <v>4330</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674</v>
      </c>
      <c r="B70" s="17"/>
      <c r="C70" s="17"/>
      <c r="D70" s="17"/>
      <c r="E70" s="17"/>
      <c r="F70" s="17"/>
      <c r="G70" s="17" t="s">
        <v>675</v>
      </c>
      <c r="H70" s="146" t="s">
        <v>4330</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676</v>
      </c>
      <c r="B71" s="17"/>
      <c r="C71" s="17"/>
      <c r="D71" s="17"/>
      <c r="E71" s="17"/>
      <c r="F71" s="17"/>
      <c r="G71" s="17" t="s">
        <v>677</v>
      </c>
      <c r="H71" s="17" t="s">
        <v>292</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678</v>
      </c>
      <c r="B72" s="17"/>
      <c r="C72" s="17"/>
      <c r="D72" s="17"/>
      <c r="E72" s="17"/>
      <c r="F72" s="17"/>
      <c r="G72" s="17" t="s">
        <v>679</v>
      </c>
      <c r="H72" s="17" t="s">
        <v>292</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680</v>
      </c>
      <c r="B73" s="17"/>
      <c r="C73" s="17"/>
      <c r="D73" s="17"/>
      <c r="E73" s="17"/>
      <c r="F73" s="17"/>
      <c r="G73" s="17" t="s">
        <v>681</v>
      </c>
      <c r="H73" s="17" t="s">
        <v>292</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682</v>
      </c>
      <c r="B74" s="17"/>
      <c r="C74" s="17"/>
      <c r="D74" s="17"/>
      <c r="E74" s="17"/>
      <c r="F74" s="17"/>
      <c r="G74" s="17" t="s">
        <v>683</v>
      </c>
      <c r="H74" s="17" t="s">
        <v>292</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684</v>
      </c>
      <c r="B75" s="17"/>
      <c r="C75" s="17"/>
      <c r="D75" s="17"/>
      <c r="E75" s="17"/>
      <c r="F75" s="17"/>
      <c r="G75" s="17" t="s">
        <v>685</v>
      </c>
      <c r="H75" s="17" t="s">
        <v>292</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686</v>
      </c>
      <c r="B76" s="17"/>
      <c r="C76" s="17"/>
      <c r="D76" s="17"/>
      <c r="E76" s="17"/>
      <c r="F76" s="17"/>
      <c r="G76" s="17" t="s">
        <v>687</v>
      </c>
      <c r="H76" s="17" t="s">
        <v>4331</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688</v>
      </c>
      <c r="B77" s="17"/>
      <c r="C77" s="17"/>
      <c r="D77" s="17"/>
      <c r="E77" s="17"/>
      <c r="F77" s="17"/>
      <c r="G77" s="17" t="s">
        <v>689</v>
      </c>
      <c r="H77" s="17" t="s">
        <v>882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691</v>
      </c>
      <c r="B78" s="17"/>
      <c r="C78" s="17"/>
      <c r="D78" s="17"/>
      <c r="E78" s="17"/>
      <c r="F78" s="17"/>
      <c r="G78" s="17" t="s">
        <v>692</v>
      </c>
      <c r="H78" s="17" t="s">
        <v>4332</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694</v>
      </c>
      <c r="B79" s="17"/>
      <c r="C79" s="17"/>
      <c r="D79" s="17"/>
      <c r="E79" s="17"/>
      <c r="F79" s="17"/>
      <c r="G79" s="17" t="s">
        <v>695</v>
      </c>
      <c r="H79" s="17" t="s">
        <v>279</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696</v>
      </c>
      <c r="B80" s="17"/>
      <c r="C80" s="17"/>
      <c r="D80" s="17"/>
      <c r="E80" s="17"/>
      <c r="F80" s="17"/>
      <c r="G80" s="17" t="s">
        <v>697</v>
      </c>
      <c r="H80" s="17" t="s">
        <v>279</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698</v>
      </c>
      <c r="B81" s="17"/>
      <c r="C81" s="17"/>
      <c r="D81" s="17"/>
      <c r="E81" s="17"/>
      <c r="F81" s="17"/>
      <c r="G81" s="17" t="s">
        <v>699</v>
      </c>
      <c r="H81" s="17" t="s">
        <v>292</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700</v>
      </c>
      <c r="B82" s="17"/>
      <c r="C82" s="17"/>
      <c r="D82" s="17"/>
      <c r="E82" s="17"/>
      <c r="F82" s="17"/>
      <c r="G82" s="17" t="s">
        <v>701</v>
      </c>
      <c r="H82" s="17" t="s">
        <v>292</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702</v>
      </c>
      <c r="B83" s="17"/>
      <c r="C83" s="17"/>
      <c r="D83" s="17"/>
      <c r="E83" s="17"/>
      <c r="F83" s="17"/>
      <c r="G83" s="17" t="s">
        <v>703</v>
      </c>
      <c r="H83" s="17" t="s">
        <v>292</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704</v>
      </c>
      <c r="B84" s="17"/>
      <c r="C84" s="17"/>
      <c r="D84" s="17"/>
      <c r="E84" s="17"/>
      <c r="F84" s="17"/>
      <c r="G84" s="17" t="s">
        <v>705</v>
      </c>
      <c r="H84" s="17" t="s">
        <v>4332</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706</v>
      </c>
      <c r="B85" s="228"/>
      <c r="C85" s="228"/>
      <c r="D85" s="228"/>
      <c r="E85" s="228"/>
      <c r="F85" s="228"/>
      <c r="G85" s="228" t="s">
        <v>707</v>
      </c>
      <c r="H85" s="216" t="s">
        <v>708</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710</v>
      </c>
      <c r="B86" s="228"/>
      <c r="C86" s="228"/>
      <c r="D86" s="228"/>
      <c r="E86" s="228"/>
      <c r="F86" s="228"/>
      <c r="G86" s="228" t="s">
        <v>711</v>
      </c>
      <c r="H86" s="216" t="s">
        <v>708</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712</v>
      </c>
      <c r="B87" s="228"/>
      <c r="C87" s="228"/>
      <c r="D87" s="228"/>
      <c r="E87" s="228"/>
      <c r="F87" s="228"/>
      <c r="G87" s="228" t="s">
        <v>713</v>
      </c>
      <c r="H87" s="216" t="s">
        <v>708</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714</v>
      </c>
      <c r="B88" s="228"/>
      <c r="C88" s="228"/>
      <c r="D88" s="228"/>
      <c r="E88" s="228"/>
      <c r="F88" s="228"/>
      <c r="G88" s="578" t="s">
        <v>715</v>
      </c>
      <c r="H88" s="216" t="s">
        <v>716</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714</v>
      </c>
      <c r="B89" s="228"/>
      <c r="C89" s="228"/>
      <c r="D89" s="228"/>
      <c r="E89" s="228"/>
      <c r="F89" s="228"/>
      <c r="G89" s="578" t="s">
        <v>718</v>
      </c>
      <c r="H89" s="216" t="s">
        <v>716</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714</v>
      </c>
      <c r="B90" s="228"/>
      <c r="C90" s="228"/>
      <c r="D90" s="228"/>
      <c r="E90" s="228"/>
      <c r="F90" s="228"/>
      <c r="G90" s="578" t="s">
        <v>719</v>
      </c>
      <c r="H90" s="216" t="s">
        <v>716</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720</v>
      </c>
      <c r="B91" s="228"/>
      <c r="C91" s="228"/>
      <c r="D91" s="228"/>
      <c r="E91" s="228"/>
      <c r="F91" s="228"/>
      <c r="G91" s="578" t="s">
        <v>721</v>
      </c>
      <c r="H91" s="216" t="s">
        <v>579</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723</v>
      </c>
      <c r="B92" s="228"/>
      <c r="C92" s="228"/>
      <c r="D92" s="228"/>
      <c r="E92" s="228"/>
      <c r="F92" s="228"/>
      <c r="G92" s="578" t="s">
        <v>724</v>
      </c>
      <c r="H92" s="216" t="s">
        <v>579</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725</v>
      </c>
      <c r="B93" s="228"/>
      <c r="C93" s="228"/>
      <c r="D93" s="228"/>
      <c r="E93" s="228"/>
      <c r="F93" s="228"/>
      <c r="G93" s="578" t="s">
        <v>726</v>
      </c>
      <c r="H93" s="216" t="s">
        <v>579</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727</v>
      </c>
      <c r="B94" s="228"/>
      <c r="C94" s="228"/>
      <c r="D94" s="228"/>
      <c r="E94" s="228"/>
      <c r="F94" s="228"/>
      <c r="G94" s="216" t="s">
        <v>728</v>
      </c>
      <c r="H94" s="216" t="s">
        <v>729</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211</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670</v>
      </c>
      <c r="B97" s="228"/>
      <c r="C97" s="228"/>
      <c r="D97" s="228"/>
      <c r="E97" s="228"/>
      <c r="F97" s="228"/>
      <c r="G97" s="228" t="s">
        <v>732</v>
      </c>
      <c r="H97" s="578" t="s">
        <v>4330</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674</v>
      </c>
      <c r="B98" s="228"/>
      <c r="C98" s="228"/>
      <c r="D98" s="228"/>
      <c r="E98" s="228"/>
      <c r="F98" s="228"/>
      <c r="G98" s="228" t="s">
        <v>733</v>
      </c>
      <c r="H98" s="578" t="s">
        <v>4330</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4708</v>
      </c>
      <c r="B99" s="228"/>
      <c r="C99" s="228"/>
      <c r="D99" s="228"/>
      <c r="E99" s="228"/>
      <c r="F99" s="228"/>
      <c r="G99" s="228" t="s">
        <v>4710</v>
      </c>
      <c r="H99" s="578" t="s">
        <v>4330</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4709</v>
      </c>
      <c r="B100" s="228"/>
      <c r="C100" s="228"/>
      <c r="D100" s="228"/>
      <c r="E100" s="228"/>
      <c r="F100" s="228"/>
      <c r="G100" s="228" t="s">
        <v>4711</v>
      </c>
      <c r="H100" s="578" t="s">
        <v>4330</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676</v>
      </c>
      <c r="B101" s="228"/>
      <c r="C101" s="228"/>
      <c r="D101" s="228"/>
      <c r="E101" s="228"/>
      <c r="F101" s="228"/>
      <c r="G101" s="228" t="s">
        <v>734</v>
      </c>
      <c r="H101" s="228" t="s">
        <v>292</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678</v>
      </c>
      <c r="B102" s="228"/>
      <c r="C102" s="228"/>
      <c r="D102" s="228"/>
      <c r="E102" s="228"/>
      <c r="F102" s="228"/>
      <c r="G102" s="228" t="s">
        <v>735</v>
      </c>
      <c r="H102" s="228" t="s">
        <v>292</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680</v>
      </c>
      <c r="B103" s="228"/>
      <c r="C103" s="228"/>
      <c r="D103" s="228"/>
      <c r="E103" s="228"/>
      <c r="F103" s="228"/>
      <c r="G103" s="228" t="s">
        <v>736</v>
      </c>
      <c r="H103" s="228" t="s">
        <v>292</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682</v>
      </c>
      <c r="B104" s="228"/>
      <c r="C104" s="228"/>
      <c r="D104" s="228"/>
      <c r="E104" s="228"/>
      <c r="F104" s="228"/>
      <c r="G104" s="228" t="s">
        <v>737</v>
      </c>
      <c r="H104" s="228" t="s">
        <v>292</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684</v>
      </c>
      <c r="B105" s="228"/>
      <c r="C105" s="228"/>
      <c r="D105" s="228"/>
      <c r="E105" s="228"/>
      <c r="F105" s="228"/>
      <c r="G105" s="228" t="s">
        <v>738</v>
      </c>
      <c r="H105" s="228" t="s">
        <v>292</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686</v>
      </c>
      <c r="B106" s="228"/>
      <c r="C106" s="228"/>
      <c r="D106" s="228"/>
      <c r="E106" s="228"/>
      <c r="F106" s="228"/>
      <c r="G106" s="228" t="s">
        <v>739</v>
      </c>
      <c r="H106" s="228" t="s">
        <v>4331</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688</v>
      </c>
      <c r="B107" s="228"/>
      <c r="C107" s="228"/>
      <c r="D107" s="228"/>
      <c r="E107" s="228"/>
      <c r="F107" s="228"/>
      <c r="G107" s="228" t="s">
        <v>740</v>
      </c>
      <c r="H107" s="228" t="s">
        <v>882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691</v>
      </c>
      <c r="B108" s="228"/>
      <c r="C108" s="228"/>
      <c r="D108" s="228"/>
      <c r="E108" s="228"/>
      <c r="F108" s="228"/>
      <c r="G108" s="228" t="s">
        <v>741</v>
      </c>
      <c r="H108" s="228" t="s">
        <v>4332</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694</v>
      </c>
      <c r="B109" s="228"/>
      <c r="C109" s="228"/>
      <c r="D109" s="228"/>
      <c r="E109" s="228"/>
      <c r="F109" s="228"/>
      <c r="G109" s="228" t="s">
        <v>742</v>
      </c>
      <c r="H109" s="228" t="s">
        <v>279</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696</v>
      </c>
      <c r="B110" s="228"/>
      <c r="C110" s="228"/>
      <c r="D110" s="228"/>
      <c r="E110" s="228"/>
      <c r="F110" s="228"/>
      <c r="G110" s="228" t="s">
        <v>743</v>
      </c>
      <c r="H110" s="228" t="s">
        <v>279</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744</v>
      </c>
      <c r="B111" s="228"/>
      <c r="C111" s="228"/>
      <c r="D111" s="228"/>
      <c r="E111" s="228"/>
      <c r="F111" s="228"/>
      <c r="G111" s="228" t="s">
        <v>745</v>
      </c>
      <c r="H111" s="228" t="s">
        <v>292</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702</v>
      </c>
      <c r="B112" s="228"/>
      <c r="C112" s="228"/>
      <c r="D112" s="228"/>
      <c r="E112" s="228"/>
      <c r="F112" s="228"/>
      <c r="G112" s="228" t="s">
        <v>746</v>
      </c>
      <c r="H112" s="228" t="s">
        <v>292</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700</v>
      </c>
      <c r="B113" s="228"/>
      <c r="C113" s="228"/>
      <c r="D113" s="228"/>
      <c r="E113" s="228"/>
      <c r="F113" s="228"/>
      <c r="G113" s="228" t="s">
        <v>747</v>
      </c>
      <c r="H113" s="228" t="s">
        <v>292</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704</v>
      </c>
      <c r="B114" s="228"/>
      <c r="C114" s="228"/>
      <c r="D114" s="228"/>
      <c r="E114" s="228"/>
      <c r="F114" s="228"/>
      <c r="G114" s="228" t="s">
        <v>748</v>
      </c>
      <c r="H114" s="228" t="s">
        <v>4332</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706</v>
      </c>
      <c r="B115" s="228"/>
      <c r="C115" s="228"/>
      <c r="D115" s="228"/>
      <c r="E115" s="228"/>
      <c r="F115" s="228"/>
      <c r="G115" s="228" t="s">
        <v>749</v>
      </c>
      <c r="H115" s="216" t="s">
        <v>708</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710</v>
      </c>
      <c r="B116" s="228"/>
      <c r="C116" s="228"/>
      <c r="D116" s="228"/>
      <c r="E116" s="228"/>
      <c r="F116" s="228"/>
      <c r="G116" s="228" t="s">
        <v>750</v>
      </c>
      <c r="H116" s="216" t="s">
        <v>708</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712</v>
      </c>
      <c r="B117" s="228"/>
      <c r="C117" s="228"/>
      <c r="D117" s="228"/>
      <c r="E117" s="228"/>
      <c r="F117" s="228"/>
      <c r="G117" s="228" t="s">
        <v>751</v>
      </c>
      <c r="H117" s="216" t="s">
        <v>708</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714</v>
      </c>
      <c r="B118" s="228"/>
      <c r="C118" s="228"/>
      <c r="D118" s="228"/>
      <c r="E118" s="228"/>
      <c r="F118" s="228"/>
      <c r="G118" s="578" t="s">
        <v>752</v>
      </c>
      <c r="H118" s="216" t="s">
        <v>716</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714</v>
      </c>
      <c r="B119" s="228"/>
      <c r="C119" s="228"/>
      <c r="D119" s="228"/>
      <c r="E119" s="228"/>
      <c r="F119" s="228"/>
      <c r="G119" s="578" t="s">
        <v>753</v>
      </c>
      <c r="H119" s="216" t="s">
        <v>716</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714</v>
      </c>
      <c r="B120" s="228"/>
      <c r="C120" s="228"/>
      <c r="D120" s="228"/>
      <c r="E120" s="228"/>
      <c r="F120" s="228"/>
      <c r="G120" s="578" t="s">
        <v>754</v>
      </c>
      <c r="H120" s="216" t="s">
        <v>716</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723</v>
      </c>
      <c r="B121" s="228"/>
      <c r="C121" s="228"/>
      <c r="D121" s="228"/>
      <c r="E121" s="228"/>
      <c r="F121" s="228"/>
      <c r="G121" s="578" t="s">
        <v>755</v>
      </c>
      <c r="H121" s="216" t="s">
        <v>579</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723</v>
      </c>
      <c r="B122" s="228"/>
      <c r="C122" s="228"/>
      <c r="D122" s="228"/>
      <c r="E122" s="228"/>
      <c r="F122" s="228"/>
      <c r="G122" s="578" t="s">
        <v>756</v>
      </c>
      <c r="H122" s="216" t="s">
        <v>716</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725</v>
      </c>
      <c r="B123" s="228"/>
      <c r="C123" s="228"/>
      <c r="D123" s="228"/>
      <c r="E123" s="228"/>
      <c r="F123" s="228"/>
      <c r="G123" s="578" t="s">
        <v>757</v>
      </c>
      <c r="H123" s="216" t="s">
        <v>716</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727</v>
      </c>
      <c r="B124" s="228"/>
      <c r="C124" s="228"/>
      <c r="D124" s="228"/>
      <c r="E124" s="228"/>
      <c r="F124" s="228"/>
      <c r="G124" s="216" t="s">
        <v>758</v>
      </c>
      <c r="H124" s="216" t="s">
        <v>729</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810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811</v>
      </c>
      <c r="C127" s="566"/>
      <c r="D127" s="566"/>
      <c r="E127" s="566"/>
      <c r="F127" s="584"/>
      <c r="G127" s="779" t="s">
        <v>812</v>
      </c>
      <c r="H127" s="567" t="s">
        <v>278</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814</v>
      </c>
      <c r="C128" s="566"/>
      <c r="D128" s="566"/>
      <c r="E128" s="566"/>
      <c r="F128" s="584"/>
      <c r="G128" s="779" t="s">
        <v>815</v>
      </c>
      <c r="H128" s="567" t="s">
        <v>282</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817</v>
      </c>
      <c r="C129" s="566"/>
      <c r="D129" s="566"/>
      <c r="E129" s="566"/>
      <c r="F129" s="584"/>
      <c r="G129" s="779" t="s">
        <v>818</v>
      </c>
      <c r="H129" s="567" t="s">
        <v>278</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819</v>
      </c>
      <c r="C130" s="566"/>
      <c r="D130" s="566"/>
      <c r="E130" s="566"/>
      <c r="F130" s="584"/>
      <c r="G130" s="779" t="s">
        <v>820</v>
      </c>
      <c r="H130" s="567" t="s">
        <v>282</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821</v>
      </c>
      <c r="C131" s="566"/>
      <c r="D131" s="566"/>
      <c r="E131" s="566"/>
      <c r="F131" s="584"/>
      <c r="G131" s="779" t="s">
        <v>822</v>
      </c>
      <c r="H131" s="566" t="s">
        <v>823</v>
      </c>
      <c r="I131" s="236">
        <f>RadCP.a*1000000</f>
        <v>0.89999999999999991</v>
      </c>
      <c r="L131" s="185">
        <v>0.9</v>
      </c>
      <c r="N131" s="185">
        <v>0.9</v>
      </c>
      <c r="P131" s="185">
        <v>0.9</v>
      </c>
      <c r="R131" s="185">
        <v>0.69499999999999995</v>
      </c>
      <c r="S131" s="185">
        <v>0.69499999999999995</v>
      </c>
      <c r="T131" s="185">
        <v>0.69499999999999995</v>
      </c>
      <c r="U131" s="185">
        <v>0.69499999999999995</v>
      </c>
    </row>
    <row r="132" spans="1:33" x14ac:dyDescent="0.3">
      <c r="A132" s="566"/>
      <c r="B132" s="566" t="s">
        <v>824</v>
      </c>
      <c r="C132" s="566"/>
      <c r="D132" s="566"/>
      <c r="E132" s="566"/>
      <c r="F132" s="584"/>
      <c r="G132" s="779" t="s">
        <v>825</v>
      </c>
      <c r="H132" s="567" t="s">
        <v>282</v>
      </c>
      <c r="I132" s="236">
        <f>RhoCP.a</f>
        <v>2000</v>
      </c>
      <c r="L132" s="185">
        <v>1600</v>
      </c>
      <c r="N132" s="185">
        <v>1600</v>
      </c>
      <c r="P132" s="185">
        <v>1600</v>
      </c>
      <c r="R132" s="185">
        <v>2000</v>
      </c>
      <c r="S132" s="185">
        <v>2000</v>
      </c>
      <c r="T132" s="185">
        <v>2000</v>
      </c>
      <c r="U132" s="185">
        <v>2000</v>
      </c>
    </row>
    <row r="133" spans="1:33" x14ac:dyDescent="0.3">
      <c r="A133" s="566"/>
      <c r="B133" s="566" t="s">
        <v>826</v>
      </c>
      <c r="C133" s="566"/>
      <c r="D133" s="566"/>
      <c r="E133" s="566"/>
      <c r="F133" s="577"/>
      <c r="G133" s="779" t="s">
        <v>827</v>
      </c>
      <c r="H133" s="566" t="s">
        <v>278</v>
      </c>
      <c r="I133" s="236">
        <f>RadNC.w*1000000000</f>
        <v>150.00000000000003</v>
      </c>
      <c r="L133" s="185">
        <v>30</v>
      </c>
      <c r="N133" s="185">
        <v>30</v>
      </c>
      <c r="P133" s="185">
        <v>30</v>
      </c>
      <c r="R133" s="185">
        <v>125.00000000000001</v>
      </c>
      <c r="S133" s="185">
        <v>125.00000000000001</v>
      </c>
      <c r="T133" s="185">
        <v>125.00000000000001</v>
      </c>
      <c r="U133" s="185">
        <v>125.00000000000001</v>
      </c>
    </row>
    <row r="134" spans="1:33" x14ac:dyDescent="0.3">
      <c r="A134" s="566"/>
      <c r="B134" s="566" t="s">
        <v>829</v>
      </c>
      <c r="C134" s="566"/>
      <c r="D134" s="566"/>
      <c r="E134" s="566"/>
      <c r="F134" s="577"/>
      <c r="G134" s="779" t="s">
        <v>830</v>
      </c>
      <c r="H134" s="567" t="s">
        <v>282</v>
      </c>
      <c r="I134" s="236">
        <f>RhoNC.w</f>
        <v>2000</v>
      </c>
      <c r="L134" s="185">
        <v>1300</v>
      </c>
      <c r="N134" s="185">
        <v>1300</v>
      </c>
      <c r="P134" s="185">
        <v>1300</v>
      </c>
      <c r="R134" s="185">
        <v>1300</v>
      </c>
      <c r="S134" s="185">
        <v>1300</v>
      </c>
      <c r="T134" s="185">
        <v>1300</v>
      </c>
      <c r="U134" s="185">
        <v>1300</v>
      </c>
    </row>
    <row r="135" spans="1:33" x14ac:dyDescent="0.3">
      <c r="A135" s="566"/>
      <c r="B135" s="566" t="s">
        <v>831</v>
      </c>
      <c r="C135" s="566"/>
      <c r="D135" s="566"/>
      <c r="E135" s="566"/>
      <c r="F135" s="577"/>
      <c r="G135" s="779" t="s">
        <v>832</v>
      </c>
      <c r="H135" s="566" t="s">
        <v>823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row>
    <row r="136" spans="1:33" x14ac:dyDescent="0.3">
      <c r="A136" s="566"/>
      <c r="B136" s="566" t="s">
        <v>833</v>
      </c>
      <c r="C136" s="566"/>
      <c r="D136" s="566"/>
      <c r="E136" s="566"/>
      <c r="F136" s="577"/>
      <c r="G136" s="779" t="s">
        <v>834</v>
      </c>
      <c r="H136" s="567" t="s">
        <v>282</v>
      </c>
      <c r="I136" s="236">
        <f>RhoSPM.w</f>
        <v>2500</v>
      </c>
      <c r="L136" s="185">
        <v>1800</v>
      </c>
      <c r="M136" s="185">
        <v>2200</v>
      </c>
      <c r="N136" s="185">
        <v>2200</v>
      </c>
      <c r="O136" s="185">
        <v>2200</v>
      </c>
      <c r="P136" s="185">
        <v>2200</v>
      </c>
      <c r="R136" s="185">
        <v>2000</v>
      </c>
      <c r="S136" s="185">
        <v>2000</v>
      </c>
      <c r="T136" s="185">
        <v>2000</v>
      </c>
      <c r="U136" s="185">
        <v>2000</v>
      </c>
    </row>
    <row r="137" spans="1:33" x14ac:dyDescent="0.3">
      <c r="A137" s="566"/>
      <c r="B137" s="566" t="s">
        <v>836</v>
      </c>
      <c r="C137" s="566"/>
      <c r="D137" s="566"/>
      <c r="E137" s="566"/>
      <c r="F137" s="577"/>
      <c r="G137" s="779" t="s">
        <v>837</v>
      </c>
      <c r="H137" s="566" t="s">
        <v>278</v>
      </c>
      <c r="I137" s="236">
        <f>RadNC.sd*1000000000</f>
        <v>150.00000000000003</v>
      </c>
      <c r="L137" s="185">
        <v>125</v>
      </c>
      <c r="N137" s="185">
        <v>125</v>
      </c>
      <c r="P137" s="185">
        <v>125</v>
      </c>
      <c r="R137" s="185">
        <v>50.000000000000007</v>
      </c>
      <c r="S137" s="185">
        <v>50.000000000000007</v>
      </c>
      <c r="T137" s="185">
        <v>50.000000000000007</v>
      </c>
      <c r="U137" s="185">
        <v>50.000000000000007</v>
      </c>
    </row>
    <row r="138" spans="1:33" x14ac:dyDescent="0.3">
      <c r="A138" s="566"/>
      <c r="B138" s="566" t="s">
        <v>838</v>
      </c>
      <c r="C138" s="566"/>
      <c r="D138" s="566"/>
      <c r="E138" s="566"/>
      <c r="F138" s="577"/>
      <c r="G138" s="779" t="s">
        <v>839</v>
      </c>
      <c r="H138" s="567" t="s">
        <v>282</v>
      </c>
      <c r="I138" s="236">
        <f>RhoNC.sd</f>
        <v>2000</v>
      </c>
      <c r="R138" s="185">
        <v>1300</v>
      </c>
      <c r="S138" s="185">
        <v>1300</v>
      </c>
      <c r="T138" s="185">
        <v>1300</v>
      </c>
      <c r="U138" s="185">
        <v>1300</v>
      </c>
    </row>
    <row r="139" spans="1:33" x14ac:dyDescent="0.3">
      <c r="A139" s="566"/>
      <c r="B139" s="566" t="s">
        <v>840</v>
      </c>
      <c r="C139" s="566"/>
      <c r="D139" s="566"/>
      <c r="E139" s="566"/>
      <c r="F139" s="584"/>
      <c r="G139" s="779" t="s">
        <v>841</v>
      </c>
      <c r="H139" s="566" t="s">
        <v>823</v>
      </c>
      <c r="I139" s="236">
        <f>RadFP.sd*1000000</f>
        <v>128</v>
      </c>
      <c r="L139" s="185">
        <v>130</v>
      </c>
      <c r="M139" s="185">
        <v>130</v>
      </c>
      <c r="N139" s="185">
        <v>130</v>
      </c>
      <c r="O139" s="185">
        <v>130</v>
      </c>
      <c r="P139" s="185">
        <v>130</v>
      </c>
      <c r="R139" s="185">
        <v>65</v>
      </c>
      <c r="S139" s="185">
        <v>65</v>
      </c>
      <c r="T139" s="185">
        <v>65</v>
      </c>
      <c r="U139" s="185">
        <v>65</v>
      </c>
    </row>
    <row r="140" spans="1:33" x14ac:dyDescent="0.3">
      <c r="A140" s="566"/>
      <c r="B140" s="566" t="s">
        <v>843</v>
      </c>
      <c r="C140" s="566"/>
      <c r="D140" s="566"/>
      <c r="E140" s="566"/>
      <c r="F140" s="577"/>
      <c r="G140" s="779" t="s">
        <v>844</v>
      </c>
      <c r="H140" s="566" t="s">
        <v>278</v>
      </c>
      <c r="I140" s="236">
        <f>RadNC.s*1000000000</f>
        <v>150.00000000000003</v>
      </c>
      <c r="L140" s="185">
        <v>60</v>
      </c>
      <c r="N140" s="185">
        <v>60</v>
      </c>
      <c r="P140" s="185">
        <v>60</v>
      </c>
      <c r="R140" s="185">
        <v>60.000000000000007</v>
      </c>
      <c r="S140" s="185">
        <v>60.000000000000007</v>
      </c>
      <c r="T140" s="185">
        <v>60.000000000000007</v>
      </c>
      <c r="U140" s="185">
        <v>60.000000000000007</v>
      </c>
    </row>
    <row r="141" spans="1:33" x14ac:dyDescent="0.3">
      <c r="A141" s="566"/>
      <c r="B141" s="566" t="s">
        <v>846</v>
      </c>
      <c r="C141" s="566"/>
      <c r="D141" s="566"/>
      <c r="E141" s="566"/>
      <c r="F141" s="577"/>
      <c r="G141" s="779" t="s">
        <v>847</v>
      </c>
      <c r="H141" s="567" t="s">
        <v>282</v>
      </c>
      <c r="I141" s="236">
        <f>RhoNC.s</f>
        <v>2000</v>
      </c>
      <c r="R141" s="185">
        <v>1300</v>
      </c>
      <c r="S141" s="185">
        <v>1300</v>
      </c>
      <c r="T141" s="185">
        <v>1300</v>
      </c>
      <c r="U141" s="185">
        <v>1300</v>
      </c>
    </row>
    <row r="142" spans="1:33" x14ac:dyDescent="0.3">
      <c r="A142" s="566"/>
      <c r="B142" s="566" t="s">
        <v>848</v>
      </c>
      <c r="C142" s="566"/>
      <c r="D142" s="566"/>
      <c r="E142" s="566"/>
      <c r="F142" s="577"/>
      <c r="G142" s="779" t="s">
        <v>849</v>
      </c>
      <c r="H142" s="566" t="s">
        <v>823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row>
    <row r="143" spans="1:33" x14ac:dyDescent="0.3">
      <c r="A143" s="566"/>
      <c r="B143" s="566" t="s">
        <v>851</v>
      </c>
      <c r="C143" s="566"/>
      <c r="D143" s="566"/>
      <c r="E143" s="566"/>
      <c r="F143" s="577"/>
      <c r="G143" s="779" t="s">
        <v>852</v>
      </c>
      <c r="H143" s="567" t="s">
        <v>282</v>
      </c>
      <c r="I143" s="236">
        <f>RhoFP.s</f>
        <v>2500</v>
      </c>
      <c r="L143" s="185">
        <v>2500</v>
      </c>
      <c r="N143" s="185">
        <v>2500</v>
      </c>
      <c r="P143" s="185">
        <v>2500</v>
      </c>
      <c r="R143" s="185">
        <v>2500</v>
      </c>
      <c r="S143" s="185">
        <v>2500</v>
      </c>
      <c r="T143" s="185">
        <v>2500</v>
      </c>
      <c r="U143" s="185">
        <v>2500</v>
      </c>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4333</v>
      </c>
      <c r="B1" s="17"/>
      <c r="C1" s="17"/>
      <c r="D1" s="17"/>
      <c r="E1" s="17"/>
      <c r="F1" s="17"/>
      <c r="G1" s="17"/>
      <c r="H1" s="216"/>
      <c r="I1" s="269"/>
    </row>
    <row r="2" spans="1:26" ht="12.75" customHeight="1" x14ac:dyDescent="0.3">
      <c r="A2" s="21"/>
      <c r="B2" s="17"/>
      <c r="C2" s="17"/>
      <c r="D2" s="17"/>
      <c r="E2" s="17"/>
      <c r="F2" s="17"/>
      <c r="G2" s="17"/>
      <c r="H2" s="17"/>
      <c r="I2" s="269"/>
    </row>
    <row r="3" spans="1:26" ht="26.4"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258</v>
      </c>
      <c r="H4" s="828" t="s">
        <v>274</v>
      </c>
      <c r="I4" s="238" t="s">
        <v>4311</v>
      </c>
      <c r="J4" s="821" t="s">
        <v>272</v>
      </c>
      <c r="K4" s="829" t="s">
        <v>4334</v>
      </c>
      <c r="L4" s="829" t="s">
        <v>4713</v>
      </c>
      <c r="M4" s="830" t="s">
        <v>4335</v>
      </c>
      <c r="N4" s="830" t="s">
        <v>4336</v>
      </c>
      <c r="O4" s="829" t="s">
        <v>4337</v>
      </c>
      <c r="P4" s="830"/>
      <c r="Q4" s="830"/>
      <c r="R4" s="830"/>
      <c r="S4" s="830"/>
      <c r="T4" s="830"/>
      <c r="U4" s="830"/>
      <c r="V4" s="830"/>
      <c r="W4" s="830"/>
      <c r="X4" s="830"/>
      <c r="Y4" s="830"/>
      <c r="Z4" s="830"/>
    </row>
    <row r="5" spans="1:26" ht="26.4" customHeight="1" x14ac:dyDescent="0.3">
      <c r="A5" s="145"/>
      <c r="B5" s="145"/>
      <c r="C5" s="145"/>
      <c r="D5" s="145"/>
      <c r="E5" s="145"/>
      <c r="F5" s="145"/>
      <c r="G5" s="144"/>
      <c r="H5" s="38"/>
      <c r="I5" s="269"/>
      <c r="J5" s="822"/>
    </row>
    <row r="6" spans="1:26" ht="12.75" customHeight="1" x14ac:dyDescent="0.3">
      <c r="A6" s="144" t="s">
        <v>61</v>
      </c>
      <c r="B6" s="17"/>
      <c r="C6" s="17"/>
      <c r="D6" s="17"/>
      <c r="E6" s="17"/>
      <c r="F6" s="17"/>
      <c r="G6" s="144" t="s">
        <v>265</v>
      </c>
      <c r="H6" s="38"/>
      <c r="I6" s="239" t="str">
        <f>IF(ISBLANK(input!H5),"",input!H5)</f>
        <v>nAg_10nm</v>
      </c>
      <c r="J6" s="822"/>
    </row>
    <row r="7" spans="1:26" ht="12.75" customHeight="1" x14ac:dyDescent="0.3">
      <c r="A7" s="38"/>
      <c r="B7" s="17"/>
      <c r="C7" s="17"/>
      <c r="D7" s="17"/>
      <c r="E7" s="17"/>
      <c r="F7" s="17"/>
      <c r="G7" s="38" t="s">
        <v>268</v>
      </c>
      <c r="H7" s="38"/>
      <c r="I7" s="239" t="str">
        <f>IF(ISBLANK(input!I6),"",input!I6)</f>
        <v/>
      </c>
      <c r="O7" s="262" t="s">
        <v>4241</v>
      </c>
    </row>
    <row r="8" spans="1:26" ht="26.4" customHeight="1" x14ac:dyDescent="0.3">
      <c r="A8" s="38"/>
      <c r="B8" s="38"/>
      <c r="C8" s="38"/>
      <c r="D8" s="38"/>
      <c r="E8" s="38"/>
      <c r="F8" s="38"/>
      <c r="G8" s="38"/>
      <c r="H8" s="38"/>
      <c r="I8" s="269"/>
    </row>
    <row r="9" spans="1:26" ht="12.75" customHeight="1" x14ac:dyDescent="0.3">
      <c r="A9" s="145" t="s">
        <v>63</v>
      </c>
      <c r="B9" s="145"/>
      <c r="C9" s="145"/>
      <c r="D9" s="145"/>
      <c r="E9" s="145"/>
      <c r="F9" s="145"/>
      <c r="G9" s="144" t="s">
        <v>269</v>
      </c>
      <c r="H9" s="149"/>
      <c r="I9" s="239" t="str">
        <f>IF(ISBLANK(input!H8),"",input!H8)</f>
        <v>default scenario</v>
      </c>
      <c r="J9" s="822"/>
    </row>
    <row r="10" spans="1:26" ht="26.4" customHeight="1" x14ac:dyDescent="0.3">
      <c r="A10" s="38"/>
      <c r="B10" s="17"/>
      <c r="C10" s="17"/>
      <c r="D10" s="17"/>
      <c r="E10" s="17"/>
      <c r="F10" s="17"/>
      <c r="G10" s="38"/>
      <c r="H10" s="38"/>
      <c r="I10" s="269"/>
      <c r="J10" s="822"/>
    </row>
    <row r="11" spans="1:26" ht="13.5" customHeight="1" x14ac:dyDescent="0.3">
      <c r="A11" s="144" t="s">
        <v>65</v>
      </c>
      <c r="B11" s="17"/>
      <c r="C11" s="17"/>
      <c r="D11" s="17"/>
      <c r="E11" s="17"/>
      <c r="F11" s="17"/>
      <c r="G11" s="144" t="s">
        <v>271</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273</v>
      </c>
      <c r="B13" s="580"/>
      <c r="C13" s="580"/>
      <c r="D13" s="580"/>
      <c r="E13" s="580"/>
      <c r="F13" s="580"/>
      <c r="G13" s="587" t="s">
        <v>258</v>
      </c>
      <c r="H13" s="587" t="s">
        <v>274</v>
      </c>
      <c r="I13" s="150" t="s">
        <v>261</v>
      </c>
      <c r="J13" s="271"/>
      <c r="K13" s="262" t="s">
        <v>261</v>
      </c>
      <c r="O13" s="262" t="s">
        <v>261</v>
      </c>
    </row>
    <row r="14" spans="1:26" ht="12.75" customHeight="1" x14ac:dyDescent="0.3">
      <c r="A14" s="586"/>
      <c r="B14" s="566"/>
      <c r="C14" s="566"/>
      <c r="D14" s="566"/>
      <c r="E14" s="566"/>
      <c r="F14" s="566"/>
      <c r="G14" s="566"/>
      <c r="H14" s="566"/>
      <c r="I14" s="269"/>
    </row>
    <row r="15" spans="1:26" ht="12.75" customHeight="1" x14ac:dyDescent="0.3">
      <c r="A15" s="566"/>
      <c r="B15" s="566" t="s">
        <v>276</v>
      </c>
      <c r="C15" s="566"/>
      <c r="D15" s="566"/>
      <c r="E15" s="566"/>
      <c r="F15" s="591"/>
      <c r="G15" s="778" t="s">
        <v>277</v>
      </c>
      <c r="H15" s="592" t="s">
        <v>278</v>
      </c>
      <c r="I15" s="239" t="str">
        <f>IF(ISBLANK(input!I14),"",input!I14)</f>
        <v/>
      </c>
      <c r="K15" s="262" t="s">
        <v>4241</v>
      </c>
      <c r="O15" s="262">
        <v>9.5</v>
      </c>
    </row>
    <row r="16" spans="1:26" ht="12.75" customHeight="1" x14ac:dyDescent="0.3">
      <c r="A16" s="566"/>
      <c r="B16" s="566" t="s">
        <v>280</v>
      </c>
      <c r="C16" s="566"/>
      <c r="D16" s="566"/>
      <c r="E16" s="566"/>
      <c r="F16" s="591"/>
      <c r="G16" s="778" t="s">
        <v>281</v>
      </c>
      <c r="H16" s="592" t="s">
        <v>282</v>
      </c>
      <c r="I16" s="239" t="str">
        <f>IF(ISBLANK(input!I15),"",input!I15)</f>
        <v/>
      </c>
      <c r="K16" s="262" t="s">
        <v>4241</v>
      </c>
      <c r="O16" s="262">
        <v>4230</v>
      </c>
    </row>
    <row r="17" spans="1:15" ht="12.75" customHeight="1" x14ac:dyDescent="0.3">
      <c r="A17" s="566"/>
      <c r="B17" s="566" t="s">
        <v>284</v>
      </c>
      <c r="C17" s="584"/>
      <c r="D17" s="566"/>
      <c r="E17" s="566"/>
      <c r="F17" s="566"/>
      <c r="G17" s="779" t="s">
        <v>285</v>
      </c>
      <c r="H17" s="566" t="s">
        <v>286</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4241</v>
      </c>
    </row>
    <row r="19" spans="1:15" ht="12.75" customHeight="1" x14ac:dyDescent="0.3">
      <c r="A19" s="580" t="s">
        <v>287</v>
      </c>
      <c r="B19" s="580"/>
      <c r="C19" s="580"/>
      <c r="D19" s="580"/>
      <c r="E19" s="580"/>
      <c r="F19" s="596"/>
      <c r="G19" s="597"/>
      <c r="H19" s="597"/>
      <c r="I19" s="597"/>
      <c r="K19" s="262" t="s">
        <v>4241</v>
      </c>
    </row>
    <row r="20" spans="1:15" ht="12.75" customHeight="1" x14ac:dyDescent="0.3">
      <c r="A20" s="566"/>
      <c r="B20" s="566"/>
      <c r="C20" s="598"/>
      <c r="D20" s="598"/>
      <c r="E20" s="598"/>
      <c r="F20" s="599"/>
      <c r="G20" s="592"/>
      <c r="H20" s="592"/>
      <c r="I20" s="592"/>
      <c r="K20" s="262" t="s">
        <v>4241</v>
      </c>
    </row>
    <row r="21" spans="1:15" ht="12.75" customHeight="1" x14ac:dyDescent="0.3">
      <c r="A21" s="566"/>
      <c r="B21" s="566"/>
      <c r="C21" s="600" t="s">
        <v>288</v>
      </c>
      <c r="D21" s="598"/>
      <c r="E21" s="598"/>
      <c r="F21" s="598"/>
      <c r="G21" s="587" t="s">
        <v>258</v>
      </c>
      <c r="H21" s="587" t="s">
        <v>274</v>
      </c>
      <c r="I21" s="587"/>
      <c r="K21" s="262" t="s">
        <v>4241</v>
      </c>
      <c r="O21" s="262" t="s">
        <v>275</v>
      </c>
    </row>
    <row r="22" spans="1:15" ht="12.75" customHeight="1" x14ac:dyDescent="0.3">
      <c r="A22" s="566"/>
      <c r="B22" s="566"/>
      <c r="C22" s="566" t="s">
        <v>289</v>
      </c>
      <c r="D22" s="566"/>
      <c r="E22" s="566"/>
      <c r="F22" s="566"/>
      <c r="G22" s="780" t="s">
        <v>290</v>
      </c>
      <c r="H22" s="567" t="s">
        <v>291</v>
      </c>
      <c r="I22" s="239" t="str">
        <f>IF(ISBLANK(input!I21),"",input!I21)</f>
        <v/>
      </c>
      <c r="K22" s="262" t="s">
        <v>4241</v>
      </c>
      <c r="O22" s="262">
        <v>0.3</v>
      </c>
    </row>
    <row r="23" spans="1:15" ht="12.75" customHeight="1" x14ac:dyDescent="0.3">
      <c r="A23" s="566"/>
      <c r="B23" s="566"/>
      <c r="C23" s="566" t="s">
        <v>293</v>
      </c>
      <c r="D23" s="566"/>
      <c r="E23" s="566"/>
      <c r="F23" s="566"/>
      <c r="G23" s="780" t="s">
        <v>294</v>
      </c>
      <c r="H23" s="567" t="s">
        <v>291</v>
      </c>
      <c r="I23" s="239" t="str">
        <f>IF(ISBLANK(input!I22),"",input!I22)</f>
        <v/>
      </c>
      <c r="K23" s="262" t="s">
        <v>4241</v>
      </c>
      <c r="O23" s="262">
        <v>1</v>
      </c>
    </row>
    <row r="24" spans="1:15" ht="12.75" customHeight="1" x14ac:dyDescent="0.3">
      <c r="A24" s="566"/>
      <c r="B24" s="566"/>
      <c r="C24" s="566" t="s">
        <v>295</v>
      </c>
      <c r="D24" s="566"/>
      <c r="E24" s="566"/>
      <c r="F24" s="566"/>
      <c r="G24" s="781" t="s">
        <v>296</v>
      </c>
      <c r="H24" s="567" t="s">
        <v>291</v>
      </c>
      <c r="I24" s="239" t="str">
        <f>IF(ISBLANK(input!I23),"",input!I23)</f>
        <v/>
      </c>
      <c r="K24" s="262" t="s">
        <v>4241</v>
      </c>
      <c r="O24" s="262">
        <v>0.3</v>
      </c>
    </row>
    <row r="25" spans="1:15" ht="12.75" customHeight="1" x14ac:dyDescent="0.3">
      <c r="A25" s="566"/>
      <c r="B25" s="566"/>
      <c r="C25" s="566" t="s">
        <v>297</v>
      </c>
      <c r="D25" s="566"/>
      <c r="E25" s="566"/>
      <c r="F25" s="566"/>
      <c r="G25" s="781" t="s">
        <v>298</v>
      </c>
      <c r="H25" s="567" t="s">
        <v>291</v>
      </c>
      <c r="I25" s="239" t="str">
        <f>IF(ISBLANK(input!I24),"",input!I24)</f>
        <v/>
      </c>
      <c r="K25" s="262" t="s">
        <v>4241</v>
      </c>
      <c r="O25" s="262">
        <v>1</v>
      </c>
    </row>
    <row r="26" spans="1:15" ht="12.75" customHeight="1" x14ac:dyDescent="0.3">
      <c r="A26" s="566"/>
      <c r="B26" s="566"/>
      <c r="C26" s="566" t="s">
        <v>299</v>
      </c>
      <c r="D26" s="566"/>
      <c r="E26" s="566"/>
      <c r="F26" s="566"/>
      <c r="G26" s="781" t="s">
        <v>300</v>
      </c>
      <c r="H26" s="567" t="s">
        <v>291</v>
      </c>
      <c r="I26" s="239" t="str">
        <f>IF(ISBLANK(input!I25),"",input!I25)</f>
        <v/>
      </c>
      <c r="K26" s="262" t="s">
        <v>4241</v>
      </c>
      <c r="O26" s="262" t="s">
        <v>4241</v>
      </c>
    </row>
    <row r="27" spans="1:15" ht="12.75" customHeight="1" x14ac:dyDescent="0.3">
      <c r="A27" s="566"/>
      <c r="B27" s="566"/>
      <c r="C27" s="566" t="s">
        <v>301</v>
      </c>
      <c r="D27" s="566"/>
      <c r="E27" s="566"/>
      <c r="F27" s="566"/>
      <c r="G27" s="781" t="s">
        <v>302</v>
      </c>
      <c r="H27" s="567" t="s">
        <v>291</v>
      </c>
      <c r="I27" s="239" t="str">
        <f>IF(ISBLANK(input!I26),"",input!I26)</f>
        <v/>
      </c>
      <c r="K27" s="262" t="s">
        <v>4241</v>
      </c>
      <c r="O27" s="262" t="s">
        <v>4241</v>
      </c>
    </row>
    <row r="28" spans="1:15" ht="12.75" customHeight="1" x14ac:dyDescent="0.3">
      <c r="A28" s="566"/>
      <c r="B28" s="566"/>
      <c r="C28" s="566" t="s">
        <v>303</v>
      </c>
      <c r="D28" s="566"/>
      <c r="E28" s="566"/>
      <c r="F28" s="566"/>
      <c r="G28" s="781" t="s">
        <v>304</v>
      </c>
      <c r="H28" s="567" t="s">
        <v>291</v>
      </c>
      <c r="I28" s="239" t="str">
        <f>IF(ISBLANK(input!I27),"",input!I27)</f>
        <v/>
      </c>
      <c r="K28" s="262" t="s">
        <v>4241</v>
      </c>
      <c r="O28" s="262" t="s">
        <v>4241</v>
      </c>
    </row>
    <row r="29" spans="1:15" ht="12.75" customHeight="1" x14ac:dyDescent="0.3">
      <c r="A29" s="566"/>
      <c r="B29" s="566"/>
      <c r="C29" s="566" t="s">
        <v>305</v>
      </c>
      <c r="D29" s="566"/>
      <c r="E29" s="566"/>
      <c r="F29" s="566"/>
      <c r="G29" s="781" t="s">
        <v>306</v>
      </c>
      <c r="H29" s="567" t="s">
        <v>291</v>
      </c>
      <c r="I29" s="239" t="str">
        <f>IF(ISBLANK(input!I28),"",input!I28)</f>
        <v/>
      </c>
      <c r="K29" s="262" t="s">
        <v>4241</v>
      </c>
      <c r="O29" s="262" t="s">
        <v>4241</v>
      </c>
    </row>
    <row r="30" spans="1:15" ht="12.75" customHeight="1" x14ac:dyDescent="0.3">
      <c r="A30" s="566"/>
      <c r="B30" s="566"/>
      <c r="C30" s="566" t="s">
        <v>307</v>
      </c>
      <c r="D30" s="566"/>
      <c r="E30" s="566"/>
      <c r="F30" s="566"/>
      <c r="G30" s="781" t="s">
        <v>308</v>
      </c>
      <c r="H30" s="567" t="s">
        <v>291</v>
      </c>
      <c r="I30" s="239" t="str">
        <f>IF(ISBLANK(input!I29),"",input!I29)</f>
        <v/>
      </c>
      <c r="K30" s="262" t="s">
        <v>4241</v>
      </c>
      <c r="O30" s="262">
        <v>1</v>
      </c>
    </row>
    <row r="31" spans="1:15" ht="12.75" customHeight="1" x14ac:dyDescent="0.3">
      <c r="A31" s="566"/>
      <c r="B31" s="566"/>
      <c r="C31" s="566" t="s">
        <v>309</v>
      </c>
      <c r="D31" s="566"/>
      <c r="E31" s="566"/>
      <c r="F31" s="566"/>
      <c r="G31" s="781" t="s">
        <v>310</v>
      </c>
      <c r="H31" s="567" t="s">
        <v>291</v>
      </c>
      <c r="I31" s="239" t="str">
        <f>IF(ISBLANK(input!I30),"",input!I30)</f>
        <v/>
      </c>
      <c r="K31" s="262" t="s">
        <v>4241</v>
      </c>
      <c r="O31" s="262">
        <v>1</v>
      </c>
    </row>
    <row r="32" spans="1:15" ht="12.75" customHeight="1" x14ac:dyDescent="0.3">
      <c r="A32" s="566"/>
      <c r="B32" s="566"/>
      <c r="C32" s="566" t="s">
        <v>311</v>
      </c>
      <c r="D32" s="566"/>
      <c r="E32" s="566"/>
      <c r="F32" s="566"/>
      <c r="G32" s="781" t="s">
        <v>312</v>
      </c>
      <c r="H32" s="567" t="s">
        <v>291</v>
      </c>
      <c r="I32" s="239" t="str">
        <f>IF(ISBLANK(input!I31),"",input!I31)</f>
        <v/>
      </c>
      <c r="K32" s="262" t="s">
        <v>4241</v>
      </c>
      <c r="O32" s="262">
        <v>1E-3</v>
      </c>
    </row>
    <row r="33" spans="1:15" ht="12.75" customHeight="1" x14ac:dyDescent="0.3">
      <c r="A33" s="566"/>
      <c r="B33" s="566"/>
      <c r="C33" s="566" t="s">
        <v>313</v>
      </c>
      <c r="D33" s="566"/>
      <c r="E33" s="566"/>
      <c r="F33" s="566"/>
      <c r="G33" s="781" t="s">
        <v>314</v>
      </c>
      <c r="H33" s="567" t="s">
        <v>291</v>
      </c>
      <c r="I33" s="239" t="str">
        <f>IF(ISBLANK(input!I32),"",input!I32)</f>
        <v/>
      </c>
      <c r="K33" s="262" t="s">
        <v>4241</v>
      </c>
      <c r="O33" s="262">
        <v>1</v>
      </c>
    </row>
    <row r="34" spans="1:15" ht="12.75" customHeight="1" x14ac:dyDescent="0.3">
      <c r="A34" s="566"/>
      <c r="B34" s="566"/>
      <c r="C34" s="566" t="s">
        <v>315</v>
      </c>
      <c r="D34" s="566"/>
      <c r="E34" s="566"/>
      <c r="F34" s="566"/>
      <c r="G34" s="781" t="s">
        <v>316</v>
      </c>
      <c r="H34" s="567" t="s">
        <v>291</v>
      </c>
      <c r="I34" s="239" t="str">
        <f>IF(ISBLANK(input!I33),"",input!I33)</f>
        <v/>
      </c>
      <c r="K34" s="262" t="s">
        <v>4241</v>
      </c>
      <c r="O34" s="262">
        <v>1E-3</v>
      </c>
    </row>
    <row r="35" spans="1:15" ht="12.75" customHeight="1" x14ac:dyDescent="0.3">
      <c r="A35" s="566"/>
      <c r="B35" s="566"/>
      <c r="C35" s="566" t="s">
        <v>317</v>
      </c>
      <c r="D35" s="566"/>
      <c r="E35" s="566"/>
      <c r="F35" s="566"/>
      <c r="G35" s="781" t="s">
        <v>318</v>
      </c>
      <c r="H35" s="567" t="s">
        <v>291</v>
      </c>
      <c r="I35" s="239" t="str">
        <f>IF(ISBLANK(input!I34),"",input!I34)</f>
        <v/>
      </c>
      <c r="K35" s="262" t="s">
        <v>4241</v>
      </c>
      <c r="O35" s="262">
        <v>1</v>
      </c>
    </row>
    <row r="36" spans="1:15" ht="12.75" customHeight="1" x14ac:dyDescent="0.3">
      <c r="A36" s="566"/>
      <c r="B36" s="566"/>
      <c r="C36" s="566" t="s">
        <v>319</v>
      </c>
      <c r="D36" s="566"/>
      <c r="E36" s="566"/>
      <c r="F36" s="566"/>
      <c r="G36" s="781" t="s">
        <v>320</v>
      </c>
      <c r="H36" s="567" t="s">
        <v>291</v>
      </c>
      <c r="I36" s="239" t="str">
        <f>IF(ISBLANK(input!I35),"",input!I35)</f>
        <v/>
      </c>
      <c r="K36" s="262" t="s">
        <v>4241</v>
      </c>
      <c r="O36" s="262">
        <v>0.3</v>
      </c>
    </row>
    <row r="37" spans="1:15" ht="12.75" customHeight="1" x14ac:dyDescent="0.3">
      <c r="A37" s="566"/>
      <c r="B37" s="566"/>
      <c r="C37" s="566" t="s">
        <v>321</v>
      </c>
      <c r="D37" s="566"/>
      <c r="E37" s="566"/>
      <c r="F37" s="566"/>
      <c r="G37" s="781" t="s">
        <v>322</v>
      </c>
      <c r="H37" s="567" t="s">
        <v>291</v>
      </c>
      <c r="I37" s="239" t="str">
        <f>IF(ISBLANK(input!I36),"",input!I36)</f>
        <v/>
      </c>
      <c r="K37" s="262" t="s">
        <v>4241</v>
      </c>
      <c r="O37" s="262">
        <v>1</v>
      </c>
    </row>
    <row r="38" spans="1:15" ht="12.75" customHeight="1" x14ac:dyDescent="0.3">
      <c r="A38" s="566"/>
      <c r="B38" s="566"/>
      <c r="C38" s="566" t="s">
        <v>323</v>
      </c>
      <c r="D38" s="566"/>
      <c r="E38" s="566"/>
      <c r="F38" s="566"/>
      <c r="G38" s="781" t="s">
        <v>324</v>
      </c>
      <c r="H38" s="567" t="s">
        <v>291</v>
      </c>
      <c r="I38" s="239" t="str">
        <f>IF(ISBLANK(input!I37),"",input!I37)</f>
        <v/>
      </c>
      <c r="K38" s="262" t="s">
        <v>4241</v>
      </c>
      <c r="O38" s="262">
        <v>0.3</v>
      </c>
    </row>
    <row r="39" spans="1:15" ht="12.75" customHeight="1" x14ac:dyDescent="0.3">
      <c r="A39" s="566"/>
      <c r="B39" s="566"/>
      <c r="C39" s="566" t="s">
        <v>325</v>
      </c>
      <c r="D39" s="566"/>
      <c r="E39" s="566"/>
      <c r="F39" s="566"/>
      <c r="G39" s="781" t="s">
        <v>326</v>
      </c>
      <c r="H39" s="567" t="s">
        <v>291</v>
      </c>
      <c r="I39" s="239" t="str">
        <f>IF(ISBLANK(input!I38),"",input!I38)</f>
        <v/>
      </c>
      <c r="K39" s="262" t="s">
        <v>4241</v>
      </c>
      <c r="O39" s="262">
        <v>1</v>
      </c>
    </row>
    <row r="40" spans="1:15" ht="12.75" customHeight="1" x14ac:dyDescent="0.3">
      <c r="A40" s="566"/>
      <c r="B40" s="566"/>
      <c r="C40" s="566" t="s">
        <v>327</v>
      </c>
      <c r="D40" s="566"/>
      <c r="E40" s="566"/>
      <c r="F40" s="566"/>
      <c r="G40" s="781" t="s">
        <v>328</v>
      </c>
      <c r="H40" s="567" t="s">
        <v>291</v>
      </c>
      <c r="I40" s="239" t="str">
        <f>IF(ISBLANK(input!I39),"",input!I39)</f>
        <v/>
      </c>
      <c r="K40" s="262" t="s">
        <v>4241</v>
      </c>
      <c r="O40" s="262">
        <v>0.3</v>
      </c>
    </row>
    <row r="41" spans="1:15" ht="12.75" customHeight="1" x14ac:dyDescent="0.3">
      <c r="A41" s="566"/>
      <c r="B41" s="566"/>
      <c r="C41" s="598" t="s">
        <v>329</v>
      </c>
      <c r="D41" s="598"/>
      <c r="E41" s="598"/>
      <c r="F41" s="598"/>
      <c r="G41" s="782" t="s">
        <v>330</v>
      </c>
      <c r="H41" s="601" t="s">
        <v>291</v>
      </c>
      <c r="I41" s="239" t="str">
        <f>IF(ISBLANK(input!I40),"",input!I40)</f>
        <v/>
      </c>
      <c r="K41" s="262" t="s">
        <v>4241</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331</v>
      </c>
      <c r="D43" s="598"/>
      <c r="E43" s="598"/>
      <c r="F43" s="598"/>
      <c r="G43" s="587" t="s">
        <v>258</v>
      </c>
      <c r="H43" s="587" t="s">
        <v>274</v>
      </c>
      <c r="I43" s="239" t="str">
        <f>IF(ISBLANK(input!I42),"",input!I42)</f>
        <v>User input</v>
      </c>
      <c r="K43" s="262" t="s">
        <v>4241</v>
      </c>
      <c r="O43" s="262" t="s">
        <v>275</v>
      </c>
    </row>
    <row r="44" spans="1:15" ht="12.75" customHeight="1" x14ac:dyDescent="0.3">
      <c r="A44" s="566"/>
      <c r="B44" s="566"/>
      <c r="C44" s="805" t="s">
        <v>332</v>
      </c>
      <c r="D44" s="566"/>
      <c r="E44" s="566"/>
      <c r="F44" s="566"/>
      <c r="G44" s="567"/>
      <c r="H44" s="567"/>
      <c r="I44" s="239" t="str">
        <f>IF(ISBLANK(input!I43),"",input!I43)</f>
        <v/>
      </c>
      <c r="K44" s="262" t="s">
        <v>4241</v>
      </c>
    </row>
    <row r="45" spans="1:15" ht="12.75" customHeight="1" x14ac:dyDescent="0.3">
      <c r="A45" s="566"/>
      <c r="B45" s="566"/>
      <c r="C45" s="566" t="s">
        <v>333</v>
      </c>
      <c r="D45" s="566"/>
      <c r="E45" s="566"/>
      <c r="F45" s="566"/>
      <c r="G45" s="781" t="s">
        <v>334</v>
      </c>
      <c r="H45" s="567" t="s">
        <v>335</v>
      </c>
      <c r="I45" s="239" t="str">
        <f>IF(ISBLANK(input!I44),"",input!I44)</f>
        <v/>
      </c>
      <c r="J45" s="822"/>
      <c r="K45" s="262" t="s">
        <v>4241</v>
      </c>
      <c r="O45" s="262">
        <v>0</v>
      </c>
    </row>
    <row r="46" spans="1:15" ht="12.75" customHeight="1" x14ac:dyDescent="0.3">
      <c r="A46" s="566"/>
      <c r="B46" s="566"/>
      <c r="C46" s="566" t="s">
        <v>337</v>
      </c>
      <c r="D46" s="566"/>
      <c r="E46" s="566"/>
      <c r="F46" s="566"/>
      <c r="G46" s="781" t="s">
        <v>338</v>
      </c>
      <c r="H46" s="567" t="s">
        <v>335</v>
      </c>
      <c r="I46" s="239" t="str">
        <f>IF(ISBLANK(input!I45),"",input!I45)</f>
        <v/>
      </c>
      <c r="K46" s="262" t="s">
        <v>4241</v>
      </c>
      <c r="O46" s="262">
        <v>0</v>
      </c>
    </row>
    <row r="47" spans="1:15" ht="12.75" customHeight="1" x14ac:dyDescent="0.3">
      <c r="A47" s="566"/>
      <c r="B47" s="566"/>
      <c r="C47" s="566" t="s">
        <v>339</v>
      </c>
      <c r="D47" s="566"/>
      <c r="E47" s="566"/>
      <c r="F47" s="566"/>
      <c r="G47" s="781" t="s">
        <v>340</v>
      </c>
      <c r="H47" s="567" t="s">
        <v>335</v>
      </c>
      <c r="I47" s="239" t="str">
        <f>IF(ISBLANK(input!I46),"",input!I46)</f>
        <v/>
      </c>
      <c r="K47" s="262" t="s">
        <v>4241</v>
      </c>
      <c r="O47" s="262">
        <v>0</v>
      </c>
    </row>
    <row r="48" spans="1:15" ht="12.75" customHeight="1" x14ac:dyDescent="0.3">
      <c r="A48" s="566"/>
      <c r="B48" s="566"/>
      <c r="C48" s="566" t="s">
        <v>341</v>
      </c>
      <c r="D48" s="566"/>
      <c r="E48" s="566"/>
      <c r="F48" s="566"/>
      <c r="G48" s="781" t="s">
        <v>342</v>
      </c>
      <c r="H48" s="567" t="s">
        <v>335</v>
      </c>
      <c r="I48" s="239" t="str">
        <f>IF(ISBLANK(input!I47),"",input!I47)</f>
        <v/>
      </c>
      <c r="K48" s="262" t="s">
        <v>4241</v>
      </c>
      <c r="O48" s="262">
        <v>0</v>
      </c>
    </row>
    <row r="49" spans="1:15" ht="12.75" customHeight="1" x14ac:dyDescent="0.3">
      <c r="A49" s="566"/>
      <c r="B49" s="566"/>
      <c r="C49" s="566" t="s">
        <v>343</v>
      </c>
      <c r="D49" s="566"/>
      <c r="E49" s="566"/>
      <c r="F49" s="566"/>
      <c r="G49" s="781" t="s">
        <v>344</v>
      </c>
      <c r="H49" s="567" t="s">
        <v>335</v>
      </c>
      <c r="I49" s="239" t="str">
        <f>IF(ISBLANK(input!I48),"",input!I48)</f>
        <v/>
      </c>
      <c r="K49" s="262" t="s">
        <v>4241</v>
      </c>
      <c r="O49" s="262">
        <v>0</v>
      </c>
    </row>
    <row r="50" spans="1:15" ht="12.75" customHeight="1" x14ac:dyDescent="0.3">
      <c r="A50" s="566"/>
      <c r="B50" s="566"/>
      <c r="C50" s="566" t="s">
        <v>345</v>
      </c>
      <c r="D50" s="566"/>
      <c r="E50" s="566"/>
      <c r="F50" s="566"/>
      <c r="G50" s="781" t="s">
        <v>346</v>
      </c>
      <c r="H50" s="567" t="s">
        <v>335</v>
      </c>
      <c r="I50" s="239" t="str">
        <f>IF(ISBLANK(input!I49),"",input!I49)</f>
        <v/>
      </c>
      <c r="K50" s="262" t="s">
        <v>4241</v>
      </c>
      <c r="O50" s="262">
        <v>0</v>
      </c>
    </row>
    <row r="51" spans="1:15" ht="12.75" customHeight="1" x14ac:dyDescent="0.3">
      <c r="A51" s="566"/>
      <c r="B51" s="566"/>
      <c r="C51" s="566" t="s">
        <v>347</v>
      </c>
      <c r="D51" s="566"/>
      <c r="E51" s="566"/>
      <c r="F51" s="566"/>
      <c r="G51" s="781" t="s">
        <v>348</v>
      </c>
      <c r="H51" s="567" t="s">
        <v>335</v>
      </c>
      <c r="I51" s="239" t="str">
        <f>IF(ISBLANK(input!I50),"",input!I50)</f>
        <v/>
      </c>
      <c r="K51" s="262" t="s">
        <v>4241</v>
      </c>
      <c r="O51" s="262">
        <v>0</v>
      </c>
    </row>
    <row r="52" spans="1:15" ht="12.75" customHeight="1" x14ac:dyDescent="0.3">
      <c r="A52" s="566"/>
      <c r="B52" s="566"/>
      <c r="C52" s="566" t="s">
        <v>349</v>
      </c>
      <c r="D52" s="566"/>
      <c r="E52" s="566"/>
      <c r="F52" s="566"/>
      <c r="G52" s="781" t="s">
        <v>350</v>
      </c>
      <c r="H52" s="567" t="s">
        <v>335</v>
      </c>
      <c r="I52" s="239" t="str">
        <f>IF(ISBLANK(input!I51),"",input!I51)</f>
        <v/>
      </c>
      <c r="K52" s="262" t="s">
        <v>4241</v>
      </c>
      <c r="O52" s="262">
        <v>0</v>
      </c>
    </row>
    <row r="53" spans="1:15" ht="12.75" customHeight="1" x14ac:dyDescent="0.3">
      <c r="A53" s="566"/>
      <c r="B53" s="566"/>
      <c r="C53" s="566" t="s">
        <v>351</v>
      </c>
      <c r="D53" s="566"/>
      <c r="E53" s="566"/>
      <c r="F53" s="566"/>
      <c r="G53" s="781" t="s">
        <v>352</v>
      </c>
      <c r="H53" s="567" t="s">
        <v>335</v>
      </c>
      <c r="I53" s="239" t="str">
        <f>IF(ISBLANK(input!I52),"",input!I52)</f>
        <v/>
      </c>
      <c r="O53" s="262">
        <v>0</v>
      </c>
    </row>
    <row r="54" spans="1:15" ht="12.75" customHeight="1" x14ac:dyDescent="0.3">
      <c r="A54" s="566"/>
      <c r="B54" s="566"/>
      <c r="C54" s="566" t="s">
        <v>353</v>
      </c>
      <c r="D54" s="566"/>
      <c r="E54" s="566"/>
      <c r="F54" s="566"/>
      <c r="G54" s="781" t="s">
        <v>354</v>
      </c>
      <c r="H54" s="567" t="s">
        <v>335</v>
      </c>
      <c r="I54" s="239" t="str">
        <f>IF(ISBLANK(input!I53),"",input!I53)</f>
        <v/>
      </c>
      <c r="O54" s="262">
        <v>0</v>
      </c>
    </row>
    <row r="55" spans="1:15" ht="12.75" customHeight="1" x14ac:dyDescent="0.3">
      <c r="A55" s="566"/>
      <c r="B55" s="566"/>
      <c r="C55" s="805" t="s">
        <v>4338</v>
      </c>
      <c r="D55" s="566"/>
      <c r="E55" s="566"/>
      <c r="F55" s="566"/>
      <c r="G55" s="781"/>
      <c r="H55" s="567"/>
      <c r="I55" s="239" t="str">
        <f>IF(ISBLANK(input!I54),"",input!I54)</f>
        <v/>
      </c>
    </row>
    <row r="56" spans="1:15" ht="12.75" customHeight="1" x14ac:dyDescent="0.3">
      <c r="A56" s="566"/>
      <c r="B56" s="566"/>
      <c r="C56" s="566" t="s">
        <v>356</v>
      </c>
      <c r="D56" s="566"/>
      <c r="E56" s="566"/>
      <c r="F56" s="566"/>
      <c r="G56" s="781" t="s">
        <v>357</v>
      </c>
      <c r="H56" s="567" t="s">
        <v>335</v>
      </c>
      <c r="I56" s="239" t="str">
        <f>IF(ISBLANK(input!I55),"",input!I55)</f>
        <v/>
      </c>
      <c r="O56" s="262">
        <v>0</v>
      </c>
    </row>
    <row r="57" spans="1:15" ht="12.75" customHeight="1" x14ac:dyDescent="0.3">
      <c r="A57" s="566"/>
      <c r="B57" s="566"/>
      <c r="C57" s="566" t="s">
        <v>358</v>
      </c>
      <c r="D57" s="566"/>
      <c r="E57" s="566"/>
      <c r="F57" s="566"/>
      <c r="G57" s="781" t="s">
        <v>359</v>
      </c>
      <c r="H57" s="567" t="s">
        <v>335</v>
      </c>
      <c r="I57" s="239" t="str">
        <f>IF(ISBLANK(input!I56),"",input!I56)</f>
        <v/>
      </c>
      <c r="J57" s="228"/>
      <c r="O57" s="262">
        <v>0</v>
      </c>
    </row>
    <row r="58" spans="1:15" ht="12.75" customHeight="1" x14ac:dyDescent="0.3">
      <c r="A58" s="566"/>
      <c r="B58" s="566"/>
      <c r="C58" s="566" t="s">
        <v>360</v>
      </c>
      <c r="D58" s="566"/>
      <c r="E58" s="566"/>
      <c r="F58" s="566"/>
      <c r="G58" s="781" t="s">
        <v>361</v>
      </c>
      <c r="H58" s="567" t="s">
        <v>335</v>
      </c>
      <c r="I58" s="239" t="str">
        <f>IF(ISBLANK(input!I57),"",input!I57)</f>
        <v/>
      </c>
      <c r="J58" s="228"/>
      <c r="K58" s="262" t="s">
        <v>4241</v>
      </c>
      <c r="O58" s="262">
        <v>0</v>
      </c>
    </row>
    <row r="59" spans="1:15" ht="12.75" customHeight="1" x14ac:dyDescent="0.3">
      <c r="A59" s="566"/>
      <c r="B59" s="566"/>
      <c r="C59" s="566" t="s">
        <v>362</v>
      </c>
      <c r="D59" s="566"/>
      <c r="E59" s="566"/>
      <c r="F59" s="566"/>
      <c r="G59" s="781" t="s">
        <v>363</v>
      </c>
      <c r="H59" s="567" t="s">
        <v>335</v>
      </c>
      <c r="I59" s="239" t="str">
        <f>IF(ISBLANK(input!I58),"",input!I58)</f>
        <v/>
      </c>
      <c r="K59" s="262" t="s">
        <v>4241</v>
      </c>
      <c r="O59" s="262">
        <v>0</v>
      </c>
    </row>
    <row r="60" spans="1:15" ht="12.75" customHeight="1" x14ac:dyDescent="0.3">
      <c r="A60" s="566"/>
      <c r="B60" s="566"/>
      <c r="C60" s="566" t="s">
        <v>364</v>
      </c>
      <c r="D60" s="566"/>
      <c r="E60" s="566"/>
      <c r="F60" s="566"/>
      <c r="G60" s="781" t="s">
        <v>365</v>
      </c>
      <c r="H60" s="567" t="s">
        <v>335</v>
      </c>
      <c r="I60" s="239" t="str">
        <f>IF(ISBLANK(input!I59),"",input!I59)</f>
        <v/>
      </c>
      <c r="K60" s="262" t="s">
        <v>4241</v>
      </c>
      <c r="O60" s="262">
        <v>0</v>
      </c>
    </row>
    <row r="61" spans="1:15" ht="12.75" customHeight="1" x14ac:dyDescent="0.3">
      <c r="A61" s="566"/>
      <c r="B61" s="566"/>
      <c r="C61" s="566" t="s">
        <v>366</v>
      </c>
      <c r="D61" s="566"/>
      <c r="E61" s="566"/>
      <c r="F61" s="566"/>
      <c r="G61" s="781" t="s">
        <v>367</v>
      </c>
      <c r="H61" s="567" t="s">
        <v>335</v>
      </c>
      <c r="I61" s="239" t="str">
        <f>IF(ISBLANK(input!I60),"",input!I60)</f>
        <v/>
      </c>
      <c r="K61" s="262" t="s">
        <v>4241</v>
      </c>
      <c r="O61" s="262">
        <v>0</v>
      </c>
    </row>
    <row r="62" spans="1:15" ht="12.75" customHeight="1" x14ac:dyDescent="0.3">
      <c r="A62" s="566"/>
      <c r="B62" s="566"/>
      <c r="C62" s="566" t="s">
        <v>368</v>
      </c>
      <c r="D62" s="566"/>
      <c r="E62" s="566"/>
      <c r="F62" s="566"/>
      <c r="G62" s="781" t="s">
        <v>369</v>
      </c>
      <c r="H62" s="567" t="s">
        <v>335</v>
      </c>
      <c r="I62" s="239" t="str">
        <f>IF(ISBLANK(input!I61),"",input!I61)</f>
        <v/>
      </c>
      <c r="K62" s="262" t="s">
        <v>4241</v>
      </c>
      <c r="O62" s="262">
        <v>0</v>
      </c>
    </row>
    <row r="63" spans="1:15" ht="12.75" customHeight="1" x14ac:dyDescent="0.3">
      <c r="A63" s="566"/>
      <c r="B63" s="566"/>
      <c r="C63" s="566" t="s">
        <v>370</v>
      </c>
      <c r="D63" s="566"/>
      <c r="E63" s="566"/>
      <c r="F63" s="566"/>
      <c r="G63" s="781" t="s">
        <v>371</v>
      </c>
      <c r="H63" s="567" t="s">
        <v>335</v>
      </c>
      <c r="I63" s="239" t="str">
        <f>IF(ISBLANK(input!I62),"",input!I62)</f>
        <v/>
      </c>
      <c r="K63" s="262" t="s">
        <v>4241</v>
      </c>
      <c r="O63" s="262">
        <v>0</v>
      </c>
    </row>
    <row r="64" spans="1:15" ht="12.75" customHeight="1" x14ac:dyDescent="0.3">
      <c r="A64" s="566"/>
      <c r="B64" s="566"/>
      <c r="C64" s="566" t="s">
        <v>372</v>
      </c>
      <c r="D64" s="566"/>
      <c r="E64" s="566"/>
      <c r="F64" s="566"/>
      <c r="G64" s="781" t="s">
        <v>373</v>
      </c>
      <c r="H64" s="567" t="s">
        <v>335</v>
      </c>
      <c r="I64" s="239" t="str">
        <f>IF(ISBLANK(input!I63),"",input!I63)</f>
        <v/>
      </c>
      <c r="K64" s="262" t="s">
        <v>4241</v>
      </c>
      <c r="O64" s="262">
        <v>0</v>
      </c>
    </row>
    <row r="65" spans="1:15" ht="12.75" customHeight="1" x14ac:dyDescent="0.3">
      <c r="A65" s="566"/>
      <c r="B65" s="566"/>
      <c r="C65" s="566" t="s">
        <v>374</v>
      </c>
      <c r="D65" s="566"/>
      <c r="E65" s="566"/>
      <c r="F65" s="566"/>
      <c r="G65" s="781" t="s">
        <v>375</v>
      </c>
      <c r="H65" s="567" t="s">
        <v>335</v>
      </c>
      <c r="I65" s="239" t="str">
        <f>IF(ISBLANK(input!I64),"",input!I64)</f>
        <v/>
      </c>
      <c r="K65" s="262" t="s">
        <v>4241</v>
      </c>
      <c r="O65" s="262">
        <v>0</v>
      </c>
    </row>
    <row r="66" spans="1:15" ht="12.75" customHeight="1" x14ac:dyDescent="0.3">
      <c r="A66" s="566"/>
      <c r="B66" s="566"/>
      <c r="C66" s="566" t="s">
        <v>376</v>
      </c>
      <c r="D66" s="566"/>
      <c r="E66" s="566"/>
      <c r="F66" s="566"/>
      <c r="G66" s="781" t="s">
        <v>377</v>
      </c>
      <c r="H66" s="567" t="s">
        <v>335</v>
      </c>
      <c r="I66" s="239" t="str">
        <f>IF(ISBLANK(input!I65),"",input!I65)</f>
        <v/>
      </c>
      <c r="K66" s="262" t="s">
        <v>4241</v>
      </c>
      <c r="O66" s="262">
        <v>0</v>
      </c>
    </row>
    <row r="67" spans="1:15" ht="12.75" customHeight="1" x14ac:dyDescent="0.3">
      <c r="A67" s="566"/>
      <c r="B67" s="566"/>
      <c r="C67" s="566" t="s">
        <v>378</v>
      </c>
      <c r="D67" s="566"/>
      <c r="E67" s="566"/>
      <c r="F67" s="566"/>
      <c r="G67" s="781" t="s">
        <v>379</v>
      </c>
      <c r="H67" s="567" t="s">
        <v>335</v>
      </c>
      <c r="I67" s="239" t="str">
        <f>IF(ISBLANK(input!I66),"",input!I66)</f>
        <v/>
      </c>
      <c r="K67" s="262" t="s">
        <v>4241</v>
      </c>
      <c r="O67" s="262">
        <v>0</v>
      </c>
    </row>
    <row r="68" spans="1:15" ht="12.75" customHeight="1" x14ac:dyDescent="0.3">
      <c r="A68" s="566"/>
      <c r="B68" s="566"/>
      <c r="C68" s="566" t="s">
        <v>380</v>
      </c>
      <c r="D68" s="566"/>
      <c r="E68" s="566"/>
      <c r="F68" s="566"/>
      <c r="G68" s="781" t="s">
        <v>381</v>
      </c>
      <c r="H68" s="567" t="s">
        <v>335</v>
      </c>
      <c r="I68" s="239" t="str">
        <f>IF(ISBLANK(input!I67),"",input!I67)</f>
        <v/>
      </c>
      <c r="K68" s="262" t="s">
        <v>4241</v>
      </c>
      <c r="O68" s="262">
        <v>0</v>
      </c>
    </row>
    <row r="69" spans="1:15" ht="12.75" customHeight="1" x14ac:dyDescent="0.3">
      <c r="A69" s="566"/>
      <c r="B69" s="566"/>
      <c r="C69" s="566" t="s">
        <v>382</v>
      </c>
      <c r="D69" s="566"/>
      <c r="E69" s="566"/>
      <c r="F69" s="566"/>
      <c r="G69" s="781" t="s">
        <v>383</v>
      </c>
      <c r="H69" s="567" t="s">
        <v>335</v>
      </c>
      <c r="I69" s="239" t="str">
        <f>IF(ISBLANK(input!I68),"",input!I68)</f>
        <v/>
      </c>
      <c r="K69" s="262" t="s">
        <v>4241</v>
      </c>
      <c r="O69" s="262">
        <v>0</v>
      </c>
    </row>
    <row r="70" spans="1:15" ht="12.75" customHeight="1" x14ac:dyDescent="0.3">
      <c r="A70" s="566"/>
      <c r="B70" s="566"/>
      <c r="C70" s="566" t="s">
        <v>384</v>
      </c>
      <c r="D70" s="566"/>
      <c r="E70" s="566"/>
      <c r="F70" s="566"/>
      <c r="G70" s="781" t="s">
        <v>385</v>
      </c>
      <c r="H70" s="567" t="s">
        <v>335</v>
      </c>
      <c r="I70" s="239" t="str">
        <f>IF(ISBLANK(input!I69),"",input!I69)</f>
        <v/>
      </c>
      <c r="K70" s="262" t="s">
        <v>4241</v>
      </c>
      <c r="O70" s="262">
        <v>0</v>
      </c>
    </row>
    <row r="71" spans="1:15" ht="12.75" customHeight="1" x14ac:dyDescent="0.3">
      <c r="A71" s="566"/>
      <c r="B71" s="566"/>
      <c r="C71" s="566" t="s">
        <v>386</v>
      </c>
      <c r="D71" s="566"/>
      <c r="E71" s="566"/>
      <c r="F71" s="566"/>
      <c r="G71" s="781" t="s">
        <v>387</v>
      </c>
      <c r="H71" s="567" t="s">
        <v>335</v>
      </c>
      <c r="I71" s="239" t="str">
        <f>IF(ISBLANK(input!I70),"",input!I70)</f>
        <v/>
      </c>
      <c r="K71" s="262" t="s">
        <v>4241</v>
      </c>
      <c r="O71" s="262">
        <v>0</v>
      </c>
    </row>
    <row r="72" spans="1:15" ht="12.75" customHeight="1" x14ac:dyDescent="0.3">
      <c r="A72" s="566"/>
      <c r="B72" s="566"/>
      <c r="C72" s="566" t="s">
        <v>388</v>
      </c>
      <c r="D72" s="566"/>
      <c r="E72" s="566"/>
      <c r="F72" s="566"/>
      <c r="G72" s="781" t="s">
        <v>389</v>
      </c>
      <c r="H72" s="567" t="s">
        <v>335</v>
      </c>
      <c r="I72" s="239" t="str">
        <f>IF(ISBLANK(input!I71),"",input!I71)</f>
        <v/>
      </c>
      <c r="K72" s="262" t="s">
        <v>4241</v>
      </c>
      <c r="O72" s="262">
        <v>0</v>
      </c>
    </row>
    <row r="73" spans="1:15" ht="12.75" customHeight="1" x14ac:dyDescent="0.3">
      <c r="A73" s="566"/>
      <c r="B73" s="566"/>
      <c r="C73" s="566" t="s">
        <v>390</v>
      </c>
      <c r="D73" s="566"/>
      <c r="E73" s="566"/>
      <c r="F73" s="566"/>
      <c r="G73" s="781" t="s">
        <v>391</v>
      </c>
      <c r="H73" s="567" t="s">
        <v>335</v>
      </c>
      <c r="I73" s="239" t="str">
        <f>IF(ISBLANK(input!I72),"",input!I72)</f>
        <v/>
      </c>
      <c r="K73" s="262" t="s">
        <v>4241</v>
      </c>
      <c r="O73" s="262">
        <v>0</v>
      </c>
    </row>
    <row r="74" spans="1:15" ht="12.75" customHeight="1" x14ac:dyDescent="0.3">
      <c r="A74" s="566"/>
      <c r="B74" s="566"/>
      <c r="C74" s="566" t="s">
        <v>392</v>
      </c>
      <c r="D74" s="566"/>
      <c r="E74" s="566"/>
      <c r="F74" s="566"/>
      <c r="G74" s="781" t="s">
        <v>393</v>
      </c>
      <c r="H74" s="567" t="s">
        <v>335</v>
      </c>
      <c r="I74" s="239" t="str">
        <f>IF(ISBLANK(input!I73),"",input!I73)</f>
        <v/>
      </c>
      <c r="K74" s="262" t="s">
        <v>4241</v>
      </c>
      <c r="O74" s="262">
        <v>0</v>
      </c>
    </row>
    <row r="75" spans="1:15" ht="12.75" customHeight="1" x14ac:dyDescent="0.3">
      <c r="A75" s="566"/>
      <c r="B75" s="566"/>
      <c r="C75" s="598" t="s">
        <v>394</v>
      </c>
      <c r="D75" s="598"/>
      <c r="E75" s="598"/>
      <c r="F75" s="598"/>
      <c r="G75" s="782" t="s">
        <v>395</v>
      </c>
      <c r="H75" s="601" t="s">
        <v>335</v>
      </c>
      <c r="I75" s="239" t="str">
        <f>IF(ISBLANK(input!I74),"",input!I74)</f>
        <v/>
      </c>
      <c r="K75" s="262" t="s">
        <v>4241</v>
      </c>
      <c r="O75" s="262">
        <v>0</v>
      </c>
    </row>
    <row r="76" spans="1:15" ht="12.75" customHeight="1" x14ac:dyDescent="0.3">
      <c r="A76" s="566"/>
      <c r="B76" s="566"/>
      <c r="C76" s="598"/>
      <c r="D76" s="598"/>
      <c r="E76" s="598"/>
      <c r="F76" s="598"/>
      <c r="G76" s="782"/>
      <c r="H76" s="601"/>
      <c r="I76" s="239" t="str">
        <f>IF(ISBLANK(input!I75),"",input!I75)</f>
        <v/>
      </c>
      <c r="K76" s="262" t="s">
        <v>4241</v>
      </c>
      <c r="O76" s="262" t="s">
        <v>4241</v>
      </c>
    </row>
    <row r="77" spans="1:15" ht="12.75" customHeight="1" x14ac:dyDescent="0.3">
      <c r="A77" s="566"/>
      <c r="B77" s="566"/>
      <c r="C77" s="600" t="s">
        <v>396</v>
      </c>
      <c r="D77" s="598"/>
      <c r="E77" s="598"/>
      <c r="F77" s="598"/>
      <c r="G77" s="587" t="s">
        <v>258</v>
      </c>
      <c r="H77" s="587" t="s">
        <v>274</v>
      </c>
      <c r="I77" s="239" t="str">
        <f>IF(ISBLANK(input!I76),"",input!I76)</f>
        <v>User input</v>
      </c>
      <c r="K77" s="262" t="s">
        <v>4241</v>
      </c>
      <c r="O77" s="262" t="s">
        <v>259</v>
      </c>
    </row>
    <row r="78" spans="1:15" ht="12.75" customHeight="1" x14ac:dyDescent="0.3">
      <c r="A78" s="566"/>
      <c r="B78" s="566"/>
      <c r="C78" s="779" t="s">
        <v>332</v>
      </c>
      <c r="D78" s="566"/>
      <c r="E78" s="566"/>
      <c r="F78" s="566"/>
      <c r="G78" s="567"/>
      <c r="H78" s="567"/>
      <c r="I78" s="239" t="str">
        <f>IF(ISBLANK(input!I77),"",input!I77)</f>
        <v/>
      </c>
      <c r="K78" s="262" t="s">
        <v>4241</v>
      </c>
      <c r="O78" s="262" t="s">
        <v>4241</v>
      </c>
    </row>
    <row r="79" spans="1:15" ht="12.75" customHeight="1" x14ac:dyDescent="0.3">
      <c r="A79" s="566"/>
      <c r="B79" s="566"/>
      <c r="C79" s="566" t="s">
        <v>397</v>
      </c>
      <c r="D79" s="566"/>
      <c r="E79" s="566"/>
      <c r="F79" s="566"/>
      <c r="G79" s="781" t="s">
        <v>398</v>
      </c>
      <c r="H79" s="567" t="s">
        <v>335</v>
      </c>
      <c r="I79" s="239" t="str">
        <f>IF(ISBLANK(input!I78),"",input!I78)</f>
        <v/>
      </c>
      <c r="K79" s="262" t="s">
        <v>4241</v>
      </c>
      <c r="O79" s="262" t="s">
        <v>4241</v>
      </c>
    </row>
    <row r="80" spans="1:15" ht="12.75" customHeight="1" x14ac:dyDescent="0.3">
      <c r="A80" s="566"/>
      <c r="B80" s="566"/>
      <c r="C80" s="566"/>
      <c r="D80" s="566" t="s">
        <v>399</v>
      </c>
      <c r="E80" s="566"/>
      <c r="F80" s="566"/>
      <c r="G80" s="781" t="s">
        <v>400</v>
      </c>
      <c r="H80" s="567" t="s">
        <v>335</v>
      </c>
      <c r="I80" s="239"/>
    </row>
    <row r="81" spans="1:15" ht="12.75" customHeight="1" x14ac:dyDescent="0.3">
      <c r="A81" s="566"/>
      <c r="B81" s="566"/>
      <c r="C81" s="566"/>
      <c r="D81" s="566" t="s">
        <v>401</v>
      </c>
      <c r="E81" s="566"/>
      <c r="F81" s="566"/>
      <c r="G81" s="781" t="s">
        <v>402</v>
      </c>
      <c r="H81" s="567" t="s">
        <v>335</v>
      </c>
      <c r="I81" s="239"/>
    </row>
    <row r="82" spans="1:15" ht="12.75" customHeight="1" x14ac:dyDescent="0.3">
      <c r="A82" s="566"/>
      <c r="B82" s="566"/>
      <c r="C82" s="566" t="s">
        <v>403</v>
      </c>
      <c r="D82" s="566"/>
      <c r="E82" s="566"/>
      <c r="F82" s="566"/>
      <c r="G82" s="781" t="s">
        <v>404</v>
      </c>
      <c r="H82" s="567" t="s">
        <v>335</v>
      </c>
      <c r="I82" s="239" t="str">
        <f>IF(ISBLANK(input!I81),"",input!I81)</f>
        <v/>
      </c>
      <c r="K82" s="262" t="s">
        <v>4241</v>
      </c>
      <c r="O82" s="262" t="s">
        <v>4241</v>
      </c>
    </row>
    <row r="83" spans="1:15" ht="12.75" customHeight="1" x14ac:dyDescent="0.3">
      <c r="A83" s="566"/>
      <c r="B83" s="566"/>
      <c r="C83" s="566" t="s">
        <v>405</v>
      </c>
      <c r="D83" s="566"/>
      <c r="E83" s="566"/>
      <c r="F83" s="566"/>
      <c r="G83" s="781" t="s">
        <v>406</v>
      </c>
      <c r="H83" s="567" t="s">
        <v>335</v>
      </c>
      <c r="I83" s="239" t="str">
        <f>IF(ISBLANK(input!I82),"",input!I82)</f>
        <v/>
      </c>
      <c r="K83" s="262" t="s">
        <v>4241</v>
      </c>
      <c r="O83" s="262" t="s">
        <v>4241</v>
      </c>
    </row>
    <row r="84" spans="1:15" ht="12.75" customHeight="1" x14ac:dyDescent="0.3">
      <c r="A84" s="566"/>
      <c r="B84" s="566"/>
      <c r="C84" s="566"/>
      <c r="D84" s="566" t="s">
        <v>407</v>
      </c>
      <c r="E84" s="566"/>
      <c r="F84" s="566"/>
      <c r="G84" s="781" t="s">
        <v>408</v>
      </c>
      <c r="H84" s="567" t="s">
        <v>335</v>
      </c>
      <c r="I84" s="239"/>
    </row>
    <row r="85" spans="1:15" ht="12.75" customHeight="1" x14ac:dyDescent="0.3">
      <c r="A85" s="566"/>
      <c r="B85" s="566"/>
      <c r="C85" s="566"/>
      <c r="D85" s="566" t="s">
        <v>409</v>
      </c>
      <c r="E85" s="566"/>
      <c r="F85" s="566"/>
      <c r="G85" s="781" t="s">
        <v>410</v>
      </c>
      <c r="H85" s="567" t="s">
        <v>335</v>
      </c>
      <c r="I85" s="239"/>
    </row>
    <row r="86" spans="1:15" ht="12.75" customHeight="1" x14ac:dyDescent="0.3">
      <c r="A86" s="566"/>
      <c r="B86" s="566"/>
      <c r="C86" s="566" t="s">
        <v>411</v>
      </c>
      <c r="D86" s="566"/>
      <c r="E86" s="566"/>
      <c r="F86" s="566"/>
      <c r="G86" s="781" t="s">
        <v>412</v>
      </c>
      <c r="H86" s="567" t="s">
        <v>335</v>
      </c>
      <c r="I86" s="239" t="str">
        <f>IF(ISBLANK(input!I85),"",input!I85)</f>
        <v/>
      </c>
      <c r="K86" s="262" t="s">
        <v>4241</v>
      </c>
      <c r="O86" s="262" t="s">
        <v>4241</v>
      </c>
    </row>
    <row r="87" spans="1:15" ht="12.75" customHeight="1" x14ac:dyDescent="0.3">
      <c r="A87" s="566"/>
      <c r="B87" s="566"/>
      <c r="C87" s="566"/>
      <c r="D87" s="566" t="s">
        <v>413</v>
      </c>
      <c r="E87" s="566"/>
      <c r="F87" s="566"/>
      <c r="G87" s="781" t="s">
        <v>414</v>
      </c>
      <c r="H87" s="567" t="s">
        <v>335</v>
      </c>
      <c r="I87" s="239"/>
    </row>
    <row r="88" spans="1:15" ht="12.75" customHeight="1" x14ac:dyDescent="0.3">
      <c r="A88" s="566"/>
      <c r="B88" s="566"/>
      <c r="C88" s="566"/>
      <c r="D88" s="566" t="s">
        <v>415</v>
      </c>
      <c r="E88" s="566"/>
      <c r="F88" s="566"/>
      <c r="G88" s="781" t="s">
        <v>416</v>
      </c>
      <c r="H88" s="567" t="s">
        <v>335</v>
      </c>
      <c r="I88" s="239"/>
    </row>
    <row r="89" spans="1:15" ht="12.75" customHeight="1" x14ac:dyDescent="0.3">
      <c r="A89" s="566"/>
      <c r="B89" s="566"/>
      <c r="C89" s="566" t="s">
        <v>417</v>
      </c>
      <c r="D89" s="566"/>
      <c r="E89" s="566"/>
      <c r="F89" s="566"/>
      <c r="G89" s="781" t="s">
        <v>418</v>
      </c>
      <c r="H89" s="567" t="s">
        <v>335</v>
      </c>
      <c r="I89" s="239" t="str">
        <f>IF(ISBLANK(input!I88),"",input!I88)</f>
        <v/>
      </c>
      <c r="K89" s="262" t="s">
        <v>4241</v>
      </c>
      <c r="O89" s="262" t="s">
        <v>4241</v>
      </c>
    </row>
    <row r="90" spans="1:15" ht="12.75" customHeight="1" x14ac:dyDescent="0.3">
      <c r="A90" s="566"/>
      <c r="B90" s="566"/>
      <c r="C90" s="566" t="s">
        <v>419</v>
      </c>
      <c r="D90" s="566"/>
      <c r="E90" s="566"/>
      <c r="F90" s="566"/>
      <c r="G90" s="781" t="s">
        <v>420</v>
      </c>
      <c r="H90" s="567" t="s">
        <v>335</v>
      </c>
      <c r="I90" s="239" t="str">
        <f>IF(ISBLANK(input!I89),"",input!I89)</f>
        <v/>
      </c>
      <c r="K90" s="262" t="s">
        <v>4241</v>
      </c>
      <c r="O90" s="262" t="s">
        <v>4241</v>
      </c>
    </row>
    <row r="91" spans="1:15" ht="12.75" customHeight="1" x14ac:dyDescent="0.3">
      <c r="A91" s="566"/>
      <c r="B91" s="566"/>
      <c r="C91" s="566" t="s">
        <v>421</v>
      </c>
      <c r="D91" s="566"/>
      <c r="E91" s="566"/>
      <c r="F91" s="566"/>
      <c r="G91" s="781" t="s">
        <v>422</v>
      </c>
      <c r="H91" s="567" t="s">
        <v>335</v>
      </c>
      <c r="I91" s="239" t="str">
        <f>IF(ISBLANK(input!I90),"",input!I90)</f>
        <v/>
      </c>
      <c r="K91" s="262" t="s">
        <v>4241</v>
      </c>
      <c r="O91" s="262" t="s">
        <v>4241</v>
      </c>
    </row>
    <row r="92" spans="1:15" ht="12.75" customHeight="1" x14ac:dyDescent="0.3">
      <c r="A92" s="566"/>
      <c r="B92" s="566"/>
      <c r="C92" s="566"/>
      <c r="D92" s="566" t="s">
        <v>423</v>
      </c>
      <c r="E92" s="566"/>
      <c r="F92" s="566"/>
      <c r="G92" s="781" t="s">
        <v>424</v>
      </c>
      <c r="H92" s="567" t="s">
        <v>335</v>
      </c>
      <c r="I92" s="239"/>
    </row>
    <row r="93" spans="1:15" ht="12.75" customHeight="1" x14ac:dyDescent="0.3">
      <c r="A93" s="566"/>
      <c r="B93" s="566"/>
      <c r="C93" s="566"/>
      <c r="D93" s="566" t="s">
        <v>425</v>
      </c>
      <c r="E93" s="566"/>
      <c r="F93" s="566"/>
      <c r="G93" s="781" t="s">
        <v>426</v>
      </c>
      <c r="H93" s="567" t="s">
        <v>335</v>
      </c>
      <c r="I93" s="239"/>
    </row>
    <row r="94" spans="1:15" ht="12.75" customHeight="1" x14ac:dyDescent="0.3">
      <c r="A94" s="566"/>
      <c r="B94" s="566"/>
      <c r="C94" s="566" t="s">
        <v>427</v>
      </c>
      <c r="D94" s="566"/>
      <c r="E94" s="566"/>
      <c r="F94" s="566"/>
      <c r="G94" s="781" t="s">
        <v>428</v>
      </c>
      <c r="H94" s="567" t="s">
        <v>335</v>
      </c>
      <c r="I94" s="239" t="str">
        <f>IF(ISBLANK(input!I93),"",input!I93)</f>
        <v/>
      </c>
      <c r="K94" s="262" t="s">
        <v>4241</v>
      </c>
      <c r="O94" s="262" t="s">
        <v>4241</v>
      </c>
    </row>
    <row r="95" spans="1:15" ht="12.75" customHeight="1" x14ac:dyDescent="0.3">
      <c r="A95" s="566"/>
      <c r="B95" s="566"/>
      <c r="C95" s="566" t="s">
        <v>429</v>
      </c>
      <c r="D95" s="566"/>
      <c r="E95" s="566"/>
      <c r="F95" s="566"/>
      <c r="G95" s="781" t="s">
        <v>430</v>
      </c>
      <c r="H95" s="567" t="s">
        <v>335</v>
      </c>
      <c r="I95" s="239" t="str">
        <f>IF(ISBLANK(input!I94),"",input!I94)</f>
        <v/>
      </c>
      <c r="K95" s="262" t="s">
        <v>4241</v>
      </c>
      <c r="O95" s="262" t="s">
        <v>4241</v>
      </c>
    </row>
    <row r="96" spans="1:15" ht="12.75" customHeight="1" x14ac:dyDescent="0.3">
      <c r="A96" s="566"/>
      <c r="B96" s="566"/>
      <c r="C96" s="566" t="s">
        <v>431</v>
      </c>
      <c r="D96" s="566"/>
      <c r="E96" s="566"/>
      <c r="F96" s="566"/>
      <c r="G96" s="781" t="s">
        <v>432</v>
      </c>
      <c r="H96" s="567" t="s">
        <v>335</v>
      </c>
      <c r="I96" s="239" t="str">
        <f>IF(ISBLANK(input!I95),"",input!I95)</f>
        <v/>
      </c>
      <c r="K96" s="262" t="s">
        <v>4241</v>
      </c>
      <c r="O96" s="262" t="s">
        <v>4241</v>
      </c>
    </row>
    <row r="97" spans="1:15" ht="12.75" customHeight="1" x14ac:dyDescent="0.3">
      <c r="A97" s="566"/>
      <c r="B97" s="566"/>
      <c r="C97" s="566"/>
      <c r="D97" s="566" t="s">
        <v>433</v>
      </c>
      <c r="E97" s="566"/>
      <c r="F97" s="566"/>
      <c r="G97" s="781" t="s">
        <v>434</v>
      </c>
      <c r="H97" s="567" t="s">
        <v>335</v>
      </c>
      <c r="I97" s="239"/>
    </row>
    <row r="98" spans="1:15" ht="12.75" customHeight="1" x14ac:dyDescent="0.3">
      <c r="A98" s="566"/>
      <c r="B98" s="566"/>
      <c r="C98" s="566"/>
      <c r="D98" s="566" t="s">
        <v>435</v>
      </c>
      <c r="E98" s="566"/>
      <c r="F98" s="566"/>
      <c r="G98" s="781" t="s">
        <v>436</v>
      </c>
      <c r="H98" s="567" t="s">
        <v>335</v>
      </c>
      <c r="I98" s="239"/>
    </row>
    <row r="99" spans="1:15" ht="12.75" customHeight="1" x14ac:dyDescent="0.3">
      <c r="A99" s="566"/>
      <c r="B99" s="566"/>
      <c r="C99" s="566" t="s">
        <v>437</v>
      </c>
      <c r="D99" s="566"/>
      <c r="E99" s="566"/>
      <c r="F99" s="566"/>
      <c r="G99" s="781" t="s">
        <v>438</v>
      </c>
      <c r="H99" s="567" t="s">
        <v>335</v>
      </c>
      <c r="I99" s="239" t="str">
        <f>IF(ISBLANK(input!I98),"",input!I98)</f>
        <v/>
      </c>
      <c r="O99" s="262" t="s">
        <v>4241</v>
      </c>
    </row>
    <row r="100" spans="1:15" ht="12.75" customHeight="1" x14ac:dyDescent="0.3">
      <c r="A100" s="566"/>
      <c r="B100" s="566"/>
      <c r="C100" s="566"/>
      <c r="D100" s="566" t="s">
        <v>433</v>
      </c>
      <c r="E100" s="566"/>
      <c r="F100" s="566"/>
      <c r="G100" s="781" t="s">
        <v>439</v>
      </c>
      <c r="H100" s="567" t="s">
        <v>335</v>
      </c>
      <c r="I100" s="239"/>
    </row>
    <row r="101" spans="1:15" ht="12.75" customHeight="1" x14ac:dyDescent="0.3">
      <c r="A101" s="566"/>
      <c r="B101" s="566"/>
      <c r="C101" s="566"/>
      <c r="D101" s="566" t="s">
        <v>435</v>
      </c>
      <c r="E101" s="566"/>
      <c r="F101" s="566"/>
      <c r="G101" s="781" t="s">
        <v>440</v>
      </c>
      <c r="H101" s="567" t="s">
        <v>335</v>
      </c>
      <c r="I101" s="239"/>
    </row>
    <row r="102" spans="1:15" ht="12.75" customHeight="1" x14ac:dyDescent="0.3">
      <c r="A102" s="566"/>
      <c r="B102" s="566"/>
      <c r="C102" s="779" t="s">
        <v>4338</v>
      </c>
      <c r="D102" s="566"/>
      <c r="E102" s="566"/>
      <c r="F102" s="566"/>
      <c r="G102" s="781"/>
      <c r="H102" s="567"/>
      <c r="I102" s="239" t="str">
        <f>IF(ISBLANK(input!I101),"",input!I101)</f>
        <v/>
      </c>
      <c r="O102" s="262" t="s">
        <v>4241</v>
      </c>
    </row>
    <row r="103" spans="1:15" ht="12.75" customHeight="1" x14ac:dyDescent="0.3">
      <c r="A103" s="566"/>
      <c r="B103" s="566"/>
      <c r="C103" s="566" t="s">
        <v>444</v>
      </c>
      <c r="D103" s="566"/>
      <c r="E103" s="566"/>
      <c r="F103" s="566"/>
      <c r="G103" s="781" t="s">
        <v>442</v>
      </c>
      <c r="H103" s="567" t="s">
        <v>335</v>
      </c>
      <c r="I103" s="239" t="str">
        <f>IF(ISBLANK(input!I102),"",input!I102)</f>
        <v/>
      </c>
      <c r="O103" s="262" t="s">
        <v>4241</v>
      </c>
    </row>
    <row r="104" spans="1:15" ht="12.75" customHeight="1" x14ac:dyDescent="0.3">
      <c r="A104" s="566"/>
      <c r="B104" s="566"/>
      <c r="C104" s="566" t="s">
        <v>446</v>
      </c>
      <c r="D104" s="566"/>
      <c r="E104" s="566"/>
      <c r="F104" s="566"/>
      <c r="G104" s="781" t="s">
        <v>443</v>
      </c>
      <c r="H104" s="567" t="s">
        <v>335</v>
      </c>
      <c r="I104" s="239" t="str">
        <f>IF(ISBLANK(input!I103),"",input!I103)</f>
        <v/>
      </c>
      <c r="O104" s="262" t="s">
        <v>4241</v>
      </c>
    </row>
    <row r="105" spans="1:15" ht="12.75" customHeight="1" x14ac:dyDescent="0.3">
      <c r="A105" s="566"/>
      <c r="B105" s="566"/>
      <c r="C105" s="566" t="s">
        <v>444</v>
      </c>
      <c r="D105" s="566"/>
      <c r="E105" s="566"/>
      <c r="F105" s="566"/>
      <c r="G105" s="781" t="s">
        <v>445</v>
      </c>
      <c r="H105" s="567" t="s">
        <v>335</v>
      </c>
      <c r="I105" s="239" t="str">
        <f>IF(ISBLANK(input!I104),"",input!I104)</f>
        <v/>
      </c>
      <c r="O105" s="262" t="s">
        <v>4241</v>
      </c>
    </row>
    <row r="106" spans="1:15" ht="12.75" customHeight="1" x14ac:dyDescent="0.3">
      <c r="A106" s="566"/>
      <c r="B106" s="566"/>
      <c r="C106" s="566" t="s">
        <v>446</v>
      </c>
      <c r="D106" s="566"/>
      <c r="E106" s="566"/>
      <c r="F106" s="566"/>
      <c r="G106" s="781" t="s">
        <v>447</v>
      </c>
      <c r="H106" s="567" t="s">
        <v>335</v>
      </c>
      <c r="I106" s="239" t="str">
        <f>IF(ISBLANK(input!I105),"",input!I105)</f>
        <v/>
      </c>
      <c r="O106" s="262" t="s">
        <v>4241</v>
      </c>
    </row>
    <row r="107" spans="1:15" ht="12.75" customHeight="1" x14ac:dyDescent="0.3">
      <c r="A107" s="566"/>
      <c r="B107" s="566"/>
      <c r="C107" s="566" t="s">
        <v>448</v>
      </c>
      <c r="D107" s="566"/>
      <c r="E107" s="566"/>
      <c r="F107" s="566"/>
      <c r="G107" s="781" t="s">
        <v>449</v>
      </c>
      <c r="H107" s="567" t="s">
        <v>335</v>
      </c>
      <c r="I107" s="239" t="str">
        <f>IF(ISBLANK(input!I106),"",input!I106)</f>
        <v/>
      </c>
      <c r="K107" s="262" t="s">
        <v>4241</v>
      </c>
      <c r="O107" s="262" t="s">
        <v>4241</v>
      </c>
    </row>
    <row r="108" spans="1:15" ht="12.75" customHeight="1" x14ac:dyDescent="0.3">
      <c r="A108" s="566"/>
      <c r="B108" s="566"/>
      <c r="C108" s="566" t="s">
        <v>450</v>
      </c>
      <c r="D108" s="566"/>
      <c r="E108" s="566"/>
      <c r="F108" s="566"/>
      <c r="G108" s="781" t="s">
        <v>451</v>
      </c>
      <c r="H108" s="567" t="s">
        <v>335</v>
      </c>
      <c r="I108" s="239" t="str">
        <f>IF(ISBLANK(input!I107),"",input!I107)</f>
        <v/>
      </c>
      <c r="K108" s="262" t="s">
        <v>4241</v>
      </c>
      <c r="O108" s="262" t="s">
        <v>4241</v>
      </c>
    </row>
    <row r="109" spans="1:15" ht="12.75" customHeight="1" x14ac:dyDescent="0.3">
      <c r="A109" s="566"/>
      <c r="B109" s="566"/>
      <c r="C109" s="566" t="s">
        <v>452</v>
      </c>
      <c r="D109" s="566"/>
      <c r="E109" s="566"/>
      <c r="F109" s="566"/>
      <c r="G109" s="781" t="s">
        <v>453</v>
      </c>
      <c r="H109" s="567" t="s">
        <v>335</v>
      </c>
      <c r="I109" s="239" t="str">
        <f>IF(ISBLANK(input!I108),"",input!I108)</f>
        <v/>
      </c>
      <c r="K109" s="262" t="s">
        <v>4241</v>
      </c>
      <c r="O109" s="262" t="s">
        <v>4241</v>
      </c>
    </row>
    <row r="110" spans="1:15" ht="12.75" customHeight="1" x14ac:dyDescent="0.3">
      <c r="A110" s="566"/>
      <c r="B110" s="566"/>
      <c r="C110" s="566" t="s">
        <v>454</v>
      </c>
      <c r="D110" s="566"/>
      <c r="E110" s="566"/>
      <c r="F110" s="566"/>
      <c r="G110" s="781" t="s">
        <v>455</v>
      </c>
      <c r="H110" s="567" t="s">
        <v>335</v>
      </c>
      <c r="I110" s="239" t="str">
        <f>IF(ISBLANK(input!I109),"",input!I109)</f>
        <v/>
      </c>
      <c r="K110" s="262" t="s">
        <v>4241</v>
      </c>
      <c r="O110" s="262" t="s">
        <v>4241</v>
      </c>
    </row>
    <row r="111" spans="1:15" ht="12.75" customHeight="1" x14ac:dyDescent="0.3">
      <c r="A111" s="566"/>
      <c r="B111" s="566"/>
      <c r="C111" s="566" t="s">
        <v>456</v>
      </c>
      <c r="D111" s="566"/>
      <c r="E111" s="566"/>
      <c r="F111" s="566"/>
      <c r="G111" s="781" t="s">
        <v>457</v>
      </c>
      <c r="H111" s="567" t="s">
        <v>335</v>
      </c>
      <c r="I111" s="239" t="str">
        <f>IF(ISBLANK(input!I110),"",input!I110)</f>
        <v/>
      </c>
      <c r="K111" s="262" t="s">
        <v>4241</v>
      </c>
      <c r="O111" s="262" t="s">
        <v>4241</v>
      </c>
    </row>
    <row r="112" spans="1:15" ht="12.75" customHeight="1" x14ac:dyDescent="0.3">
      <c r="A112" s="566"/>
      <c r="B112" s="566"/>
      <c r="C112" s="566" t="s">
        <v>458</v>
      </c>
      <c r="D112" s="566"/>
      <c r="E112" s="566"/>
      <c r="F112" s="566"/>
      <c r="G112" s="781" t="s">
        <v>459</v>
      </c>
      <c r="H112" s="567" t="s">
        <v>335</v>
      </c>
      <c r="I112" s="239" t="str">
        <f>IF(ISBLANK(input!I111),"",input!I111)</f>
        <v/>
      </c>
      <c r="K112" s="262" t="s">
        <v>4241</v>
      </c>
      <c r="O112" s="262" t="s">
        <v>4241</v>
      </c>
    </row>
    <row r="113" spans="1:15" ht="12.75" customHeight="1" x14ac:dyDescent="0.3">
      <c r="A113" s="566"/>
      <c r="B113" s="566"/>
      <c r="C113" s="566" t="s">
        <v>460</v>
      </c>
      <c r="D113" s="566"/>
      <c r="E113" s="566"/>
      <c r="F113" s="566"/>
      <c r="G113" s="781" t="s">
        <v>461</v>
      </c>
      <c r="H113" s="567" t="s">
        <v>335</v>
      </c>
      <c r="I113" s="239" t="str">
        <f>IF(ISBLANK(input!I112),"",input!I112)</f>
        <v/>
      </c>
      <c r="K113" s="262" t="s">
        <v>4241</v>
      </c>
      <c r="O113" s="262" t="s">
        <v>4241</v>
      </c>
    </row>
    <row r="114" spans="1:15" ht="12.75" customHeight="1" x14ac:dyDescent="0.3">
      <c r="A114" s="566"/>
      <c r="B114" s="566"/>
      <c r="C114" s="566" t="s">
        <v>462</v>
      </c>
      <c r="D114" s="566"/>
      <c r="E114" s="566"/>
      <c r="F114" s="566"/>
      <c r="G114" s="781" t="s">
        <v>463</v>
      </c>
      <c r="H114" s="567" t="s">
        <v>335</v>
      </c>
      <c r="I114" s="239" t="str">
        <f>IF(ISBLANK(input!I113),"",input!I113)</f>
        <v/>
      </c>
      <c r="K114" s="262" t="s">
        <v>4241</v>
      </c>
      <c r="O114" s="262" t="s">
        <v>4241</v>
      </c>
    </row>
    <row r="115" spans="1:15" ht="12.75" customHeight="1" x14ac:dyDescent="0.3">
      <c r="A115" s="566"/>
      <c r="B115" s="566"/>
      <c r="C115" s="566" t="s">
        <v>464</v>
      </c>
      <c r="D115" s="566"/>
      <c r="E115" s="566"/>
      <c r="F115" s="566"/>
      <c r="G115" s="781" t="s">
        <v>465</v>
      </c>
      <c r="H115" s="567" t="s">
        <v>335</v>
      </c>
      <c r="I115" s="239" t="str">
        <f>IF(ISBLANK(input!I114),"",input!I114)</f>
        <v/>
      </c>
      <c r="K115" s="262" t="s">
        <v>4241</v>
      </c>
      <c r="O115" s="262" t="s">
        <v>4241</v>
      </c>
    </row>
    <row r="116" spans="1:15" ht="12.75" customHeight="1" x14ac:dyDescent="0.3">
      <c r="A116" s="566"/>
      <c r="B116" s="566"/>
      <c r="C116" s="566" t="s">
        <v>466</v>
      </c>
      <c r="D116" s="566"/>
      <c r="E116" s="566"/>
      <c r="F116" s="566"/>
      <c r="G116" s="781" t="s">
        <v>467</v>
      </c>
      <c r="H116" s="567" t="s">
        <v>335</v>
      </c>
      <c r="I116" s="239" t="str">
        <f>IF(ISBLANK(input!I115),"",input!I115)</f>
        <v/>
      </c>
      <c r="K116" s="262" t="s">
        <v>4241</v>
      </c>
      <c r="O116" s="262" t="s">
        <v>4241</v>
      </c>
    </row>
    <row r="117" spans="1:15" ht="12.75" customHeight="1" x14ac:dyDescent="0.3">
      <c r="A117" s="566"/>
      <c r="B117" s="566"/>
      <c r="C117" s="566" t="s">
        <v>468</v>
      </c>
      <c r="D117" s="566"/>
      <c r="E117" s="566"/>
      <c r="F117" s="566"/>
      <c r="G117" s="781" t="s">
        <v>469</v>
      </c>
      <c r="H117" s="567" t="s">
        <v>335</v>
      </c>
      <c r="I117" s="239" t="str">
        <f>IF(ISBLANK(input!I116),"",input!I116)</f>
        <v/>
      </c>
      <c r="K117" s="262" t="s">
        <v>4241</v>
      </c>
      <c r="O117" s="262" t="s">
        <v>4241</v>
      </c>
    </row>
    <row r="118" spans="1:15" ht="12.75" customHeight="1" x14ac:dyDescent="0.3">
      <c r="A118" s="566"/>
      <c r="B118" s="566"/>
      <c r="C118" s="566" t="s">
        <v>470</v>
      </c>
      <c r="D118" s="566"/>
      <c r="E118" s="566"/>
      <c r="F118" s="566"/>
      <c r="G118" s="781" t="s">
        <v>471</v>
      </c>
      <c r="H118" s="567" t="s">
        <v>335</v>
      </c>
      <c r="I118" s="239" t="str">
        <f>IF(ISBLANK(input!I117),"",input!I117)</f>
        <v/>
      </c>
      <c r="K118" s="262" t="s">
        <v>4241</v>
      </c>
      <c r="O118" s="262" t="s">
        <v>4241</v>
      </c>
    </row>
    <row r="119" spans="1:15" ht="12.75" customHeight="1" x14ac:dyDescent="0.3">
      <c r="A119" s="566"/>
      <c r="B119" s="566"/>
      <c r="C119" s="566" t="s">
        <v>472</v>
      </c>
      <c r="D119" s="566"/>
      <c r="E119" s="566"/>
      <c r="F119" s="566"/>
      <c r="G119" s="781" t="s">
        <v>473</v>
      </c>
      <c r="H119" s="567" t="s">
        <v>335</v>
      </c>
      <c r="I119" s="239" t="str">
        <f>IF(ISBLANK(input!I118),"",input!I118)</f>
        <v/>
      </c>
      <c r="K119" s="262" t="s">
        <v>4241</v>
      </c>
      <c r="O119" s="262" t="s">
        <v>4241</v>
      </c>
    </row>
    <row r="120" spans="1:15" ht="12.75" customHeight="1" x14ac:dyDescent="0.3">
      <c r="A120" s="566"/>
      <c r="B120" s="566"/>
      <c r="C120" s="566" t="s">
        <v>474</v>
      </c>
      <c r="D120" s="566"/>
      <c r="E120" s="566"/>
      <c r="F120" s="566"/>
      <c r="G120" s="781" t="s">
        <v>475</v>
      </c>
      <c r="H120" s="567" t="s">
        <v>335</v>
      </c>
      <c r="I120" s="239" t="str">
        <f>IF(ISBLANK(input!I119),"",input!I119)</f>
        <v/>
      </c>
      <c r="K120" s="262" t="s">
        <v>4241</v>
      </c>
      <c r="O120" s="262" t="s">
        <v>4241</v>
      </c>
    </row>
    <row r="121" spans="1:15" ht="12.75" customHeight="1" x14ac:dyDescent="0.3">
      <c r="A121" s="566"/>
      <c r="B121" s="566"/>
      <c r="C121" s="566" t="s">
        <v>476</v>
      </c>
      <c r="D121" s="566"/>
      <c r="E121" s="566"/>
      <c r="F121" s="566"/>
      <c r="G121" s="781" t="s">
        <v>477</v>
      </c>
      <c r="H121" s="567" t="s">
        <v>335</v>
      </c>
      <c r="I121" s="239" t="str">
        <f>IF(ISBLANK(input!I120),"",input!I120)</f>
        <v/>
      </c>
      <c r="K121" s="262" t="s">
        <v>4241</v>
      </c>
      <c r="O121" s="262" t="s">
        <v>4241</v>
      </c>
    </row>
    <row r="122" spans="1:15" ht="12.75" customHeight="1" x14ac:dyDescent="0.3">
      <c r="A122" s="566"/>
      <c r="B122" s="566"/>
      <c r="C122" s="566" t="s">
        <v>478</v>
      </c>
      <c r="D122" s="566"/>
      <c r="E122" s="566"/>
      <c r="F122" s="566"/>
      <c r="G122" s="781" t="s">
        <v>479</v>
      </c>
      <c r="H122" s="567" t="s">
        <v>335</v>
      </c>
      <c r="I122" s="239" t="str">
        <f>IF(ISBLANK(input!I121),"",input!I121)</f>
        <v/>
      </c>
      <c r="K122" s="262" t="s">
        <v>4241</v>
      </c>
      <c r="O122" s="262" t="s">
        <v>4241</v>
      </c>
    </row>
    <row r="123" spans="1:15" ht="12.75" customHeight="1" x14ac:dyDescent="0.3">
      <c r="A123" s="566"/>
      <c r="B123" s="566"/>
      <c r="C123" s="566" t="s">
        <v>480</v>
      </c>
      <c r="D123" s="566"/>
      <c r="E123" s="566"/>
      <c r="F123" s="566"/>
      <c r="G123" s="781" t="s">
        <v>481</v>
      </c>
      <c r="H123" s="567" t="s">
        <v>335</v>
      </c>
      <c r="I123" s="239" t="str">
        <f>IF(ISBLANK(input!I122),"",input!I122)</f>
        <v/>
      </c>
      <c r="K123" s="262" t="s">
        <v>4241</v>
      </c>
      <c r="O123" s="262" t="s">
        <v>4241</v>
      </c>
    </row>
    <row r="124" spans="1:15" ht="12.75" customHeight="1" x14ac:dyDescent="0.3">
      <c r="A124" s="566"/>
      <c r="B124" s="566"/>
      <c r="C124" s="566" t="s">
        <v>482</v>
      </c>
      <c r="D124" s="566"/>
      <c r="E124" s="566"/>
      <c r="F124" s="566"/>
      <c r="G124" s="781" t="s">
        <v>483</v>
      </c>
      <c r="H124" s="567" t="s">
        <v>335</v>
      </c>
      <c r="I124" s="239" t="str">
        <f>IF(ISBLANK(input!I123),"",input!I123)</f>
        <v/>
      </c>
      <c r="K124" s="262" t="s">
        <v>4241</v>
      </c>
      <c r="O124" s="262" t="s">
        <v>4241</v>
      </c>
    </row>
    <row r="125" spans="1:15" ht="12.75" customHeight="1" x14ac:dyDescent="0.3">
      <c r="A125" s="566"/>
      <c r="B125" s="566"/>
      <c r="C125" s="566"/>
      <c r="D125" s="566"/>
      <c r="E125" s="566"/>
      <c r="F125" s="566"/>
      <c r="G125" s="781"/>
      <c r="H125" s="567"/>
      <c r="I125" s="239" t="str">
        <f>IF(ISBLANK(input!I124),"",input!I124)</f>
        <v/>
      </c>
      <c r="K125" s="262" t="s">
        <v>4241</v>
      </c>
      <c r="O125" s="262" t="s">
        <v>4241</v>
      </c>
    </row>
    <row r="126" spans="1:15" ht="12.75" customHeight="1" x14ac:dyDescent="0.3">
      <c r="A126" s="147" t="s">
        <v>484</v>
      </c>
      <c r="B126" s="147"/>
      <c r="C126" s="147"/>
      <c r="D126" s="147"/>
      <c r="E126" s="147"/>
      <c r="F126" s="147"/>
      <c r="G126" s="148" t="s">
        <v>258</v>
      </c>
      <c r="H126" s="148" t="s">
        <v>274</v>
      </c>
      <c r="I126" s="239" t="str">
        <f>IF(ISBLANK(input!I125),"",input!I125)</f>
        <v>User input</v>
      </c>
      <c r="O126" s="262" t="s">
        <v>259</v>
      </c>
    </row>
    <row r="127" spans="1:15" ht="12.75" customHeight="1" x14ac:dyDescent="0.3">
      <c r="A127" s="17"/>
      <c r="B127" s="17"/>
      <c r="C127" s="17"/>
      <c r="D127" s="17"/>
      <c r="E127" s="17"/>
      <c r="F127" s="17"/>
      <c r="G127" s="38"/>
      <c r="H127" s="38"/>
      <c r="I127" s="239" t="str">
        <f>IF(ISBLANK(input!I126),"",input!I126)</f>
        <v/>
      </c>
      <c r="O127" s="262" t="s">
        <v>4241</v>
      </c>
    </row>
    <row r="128" spans="1:15" ht="12.75" customHeight="1" x14ac:dyDescent="0.3">
      <c r="A128" s="760"/>
      <c r="B128" s="761" t="s">
        <v>123</v>
      </c>
      <c r="C128" s="357"/>
      <c r="D128" s="168"/>
      <c r="E128" s="168"/>
      <c r="F128" s="168"/>
      <c r="G128" s="357"/>
      <c r="H128" s="357"/>
      <c r="I128" s="239" t="str">
        <f>IF(ISBLANK(input!I127),"",input!I127)</f>
        <v/>
      </c>
      <c r="O128" s="262" t="s">
        <v>4241</v>
      </c>
    </row>
    <row r="129" spans="1:15" ht="12.75" customHeight="1" x14ac:dyDescent="0.3">
      <c r="A129" s="759"/>
      <c r="B129" s="74" t="s">
        <v>58</v>
      </c>
      <c r="C129" s="17"/>
      <c r="D129" s="17"/>
      <c r="E129" s="17"/>
      <c r="F129" s="17"/>
      <c r="G129" s="38"/>
      <c r="H129" s="38"/>
      <c r="I129" s="239" t="str">
        <f>IF(ISBLANK(input!I128),"",input!I128)</f>
        <v/>
      </c>
      <c r="O129" s="262" t="s">
        <v>4241</v>
      </c>
    </row>
    <row r="130" spans="1:15" ht="12.75" customHeight="1" x14ac:dyDescent="0.3">
      <c r="A130" s="759"/>
      <c r="B130" s="38"/>
      <c r="C130" s="38" t="s">
        <v>485</v>
      </c>
      <c r="D130" s="17"/>
      <c r="E130" s="17"/>
      <c r="F130" s="17"/>
      <c r="G130" s="38" t="s">
        <v>486</v>
      </c>
      <c r="H130" s="38" t="s">
        <v>487</v>
      </c>
      <c r="I130" s="239" t="str">
        <f>IF(ISBLANK(input!I129),"",input!I129)</f>
        <v/>
      </c>
      <c r="L130" s="262">
        <v>0</v>
      </c>
      <c r="O130" s="735">
        <v>2</v>
      </c>
    </row>
    <row r="131" spans="1:15" ht="12.75" customHeight="1" x14ac:dyDescent="0.3">
      <c r="A131" s="759"/>
      <c r="B131" s="38"/>
      <c r="C131" s="38" t="s">
        <v>489</v>
      </c>
      <c r="D131" s="17"/>
      <c r="E131" s="17"/>
      <c r="F131" s="17"/>
      <c r="G131" s="38" t="s">
        <v>490</v>
      </c>
      <c r="H131" s="38" t="s">
        <v>487</v>
      </c>
      <c r="I131" s="239" t="str">
        <f>IF(ISBLANK(input!I130),"",input!I130)</f>
        <v/>
      </c>
      <c r="J131" s="411"/>
      <c r="L131" s="262">
        <v>0</v>
      </c>
      <c r="O131" s="735">
        <v>0.32500000000000001</v>
      </c>
    </row>
    <row r="132" spans="1:15" ht="12.75" customHeight="1" x14ac:dyDescent="0.3">
      <c r="A132" s="759"/>
      <c r="B132" s="38"/>
      <c r="C132" s="38" t="s">
        <v>491</v>
      </c>
      <c r="D132" s="17"/>
      <c r="E132" s="17"/>
      <c r="F132" s="17"/>
      <c r="G132" s="38" t="s">
        <v>492</v>
      </c>
      <c r="H132" s="38" t="s">
        <v>487</v>
      </c>
      <c r="I132" s="239" t="str">
        <f>IF(ISBLANK(input!I131),"",input!I131)</f>
        <v/>
      </c>
      <c r="L132" s="262">
        <v>0</v>
      </c>
      <c r="O132" s="735">
        <v>3.5750000000000002</v>
      </c>
    </row>
    <row r="133" spans="1:15" ht="12.75" customHeight="1" x14ac:dyDescent="0.3">
      <c r="A133" s="759"/>
      <c r="B133" s="38"/>
      <c r="C133" s="38" t="s">
        <v>493</v>
      </c>
      <c r="D133" s="17"/>
      <c r="E133" s="17"/>
      <c r="F133" s="17"/>
      <c r="G133" s="38" t="s">
        <v>494</v>
      </c>
      <c r="H133" s="38" t="s">
        <v>487</v>
      </c>
      <c r="I133" s="239" t="str">
        <f>IF(ISBLANK(input!I132),"",input!I132)</f>
        <v/>
      </c>
      <c r="L133" s="262">
        <v>0</v>
      </c>
      <c r="O133" s="735">
        <v>0</v>
      </c>
    </row>
    <row r="134" spans="1:15" ht="12.75" customHeight="1" x14ac:dyDescent="0.3">
      <c r="A134" s="759"/>
      <c r="B134" s="38"/>
      <c r="C134" s="38" t="s">
        <v>495</v>
      </c>
      <c r="D134" s="17"/>
      <c r="E134" s="17"/>
      <c r="F134" s="17"/>
      <c r="G134" s="38" t="s">
        <v>496</v>
      </c>
      <c r="H134" s="38" t="s">
        <v>487</v>
      </c>
      <c r="I134" s="239" t="str">
        <f>IF(ISBLANK(input!I133),"",input!I133)</f>
        <v/>
      </c>
      <c r="L134" s="262">
        <v>0</v>
      </c>
      <c r="O134" s="735">
        <v>0</v>
      </c>
    </row>
    <row r="135" spans="1:15" ht="12.75" customHeight="1" x14ac:dyDescent="0.3">
      <c r="A135" s="759"/>
      <c r="B135" s="38"/>
      <c r="C135" s="38" t="s">
        <v>497</v>
      </c>
      <c r="D135" s="17"/>
      <c r="E135" s="17"/>
      <c r="F135" s="17"/>
      <c r="G135" s="38" t="s">
        <v>498</v>
      </c>
      <c r="H135" s="38" t="s">
        <v>487</v>
      </c>
      <c r="I135" s="239" t="str">
        <f>IF(ISBLANK(input!I134),"",input!I134)</f>
        <v/>
      </c>
      <c r="L135" s="262">
        <v>0</v>
      </c>
      <c r="O135" s="735">
        <v>180</v>
      </c>
    </row>
    <row r="136" spans="1:15" ht="12.75" customHeight="1" x14ac:dyDescent="0.3">
      <c r="A136" s="759"/>
      <c r="B136" s="38"/>
      <c r="C136" s="38" t="s">
        <v>500</v>
      </c>
      <c r="D136" s="17"/>
      <c r="E136" s="17"/>
      <c r="F136" s="17"/>
      <c r="G136" s="38" t="s">
        <v>501</v>
      </c>
      <c r="H136" s="38" t="s">
        <v>487</v>
      </c>
      <c r="I136" s="239" t="str">
        <f>IF(ISBLANK(input!I135),"",input!I135)</f>
        <v/>
      </c>
      <c r="L136" s="262">
        <v>0</v>
      </c>
      <c r="O136" s="735">
        <v>1</v>
      </c>
    </row>
    <row r="137" spans="1:15" ht="12.75" customHeight="1" x14ac:dyDescent="0.3">
      <c r="A137" s="759"/>
      <c r="B137" s="74" t="s">
        <v>211</v>
      </c>
      <c r="C137" s="17"/>
      <c r="D137" s="17"/>
      <c r="E137" s="17"/>
      <c r="F137" s="17"/>
      <c r="G137" s="149"/>
      <c r="H137" s="38"/>
      <c r="I137" s="239" t="str">
        <f>IF(ISBLANK(input!I136),"",input!I136)</f>
        <v/>
      </c>
      <c r="O137" s="735" t="s">
        <v>4241</v>
      </c>
    </row>
    <row r="138" spans="1:15" ht="12.75" customHeight="1" x14ac:dyDescent="0.3">
      <c r="A138" s="759"/>
      <c r="B138" s="38"/>
      <c r="C138" s="38" t="s">
        <v>485</v>
      </c>
      <c r="D138" s="17"/>
      <c r="E138" s="17"/>
      <c r="F138" s="17"/>
      <c r="G138" s="38" t="s">
        <v>502</v>
      </c>
      <c r="H138" s="38" t="s">
        <v>487</v>
      </c>
      <c r="I138" s="239" t="str">
        <f>IF(ISBLANK(input!I137),"",input!I137)</f>
        <v/>
      </c>
      <c r="O138" s="735">
        <v>18</v>
      </c>
    </row>
    <row r="139" spans="1:15" ht="12.75" customHeight="1" x14ac:dyDescent="0.3">
      <c r="A139" s="759"/>
      <c r="B139" s="38"/>
      <c r="C139" s="38" t="s">
        <v>489</v>
      </c>
      <c r="D139" s="17"/>
      <c r="E139" s="17"/>
      <c r="F139" s="17"/>
      <c r="G139" s="38" t="s">
        <v>503</v>
      </c>
      <c r="H139" s="38" t="s">
        <v>487</v>
      </c>
      <c r="I139" s="239" t="str">
        <f>IF(ISBLANK(input!I138),"",input!I138)</f>
        <v/>
      </c>
      <c r="O139" s="735">
        <v>2.93</v>
      </c>
    </row>
    <row r="140" spans="1:15" ht="12.75" customHeight="1" x14ac:dyDescent="0.3">
      <c r="A140" s="759"/>
      <c r="B140" s="38"/>
      <c r="C140" s="38" t="s">
        <v>491</v>
      </c>
      <c r="D140" s="17"/>
      <c r="E140" s="17"/>
      <c r="F140" s="17"/>
      <c r="G140" s="38" t="s">
        <v>504</v>
      </c>
      <c r="H140" s="38" t="s">
        <v>487</v>
      </c>
      <c r="I140" s="239" t="str">
        <f>IF(ISBLANK(input!I139),"",input!I139)</f>
        <v/>
      </c>
      <c r="L140" s="262">
        <v>100</v>
      </c>
      <c r="O140" s="735">
        <v>32.200000000000003</v>
      </c>
    </row>
    <row r="141" spans="1:15" ht="12.75" customHeight="1" x14ac:dyDescent="0.3">
      <c r="A141" s="759"/>
      <c r="B141" s="38"/>
      <c r="C141" s="38" t="s">
        <v>493</v>
      </c>
      <c r="D141" s="17"/>
      <c r="E141" s="17"/>
      <c r="F141" s="17"/>
      <c r="G141" s="38" t="s">
        <v>505</v>
      </c>
      <c r="H141" s="38" t="s">
        <v>487</v>
      </c>
      <c r="I141" s="239" t="str">
        <f>IF(ISBLANK(input!I140),"",input!I140)</f>
        <v/>
      </c>
      <c r="O141" s="735">
        <v>0</v>
      </c>
    </row>
    <row r="142" spans="1:15" ht="12.75" customHeight="1" x14ac:dyDescent="0.3">
      <c r="A142" s="759"/>
      <c r="B142" s="38"/>
      <c r="C142" s="38" t="s">
        <v>495</v>
      </c>
      <c r="D142" s="17"/>
      <c r="E142" s="17"/>
      <c r="F142" s="17"/>
      <c r="G142" s="38" t="s">
        <v>506</v>
      </c>
      <c r="H142" s="38" t="s">
        <v>487</v>
      </c>
      <c r="I142" s="239" t="str">
        <f>IF(ISBLANK(input!I141),"",input!I141)</f>
        <v/>
      </c>
      <c r="O142" s="735">
        <v>0</v>
      </c>
    </row>
    <row r="143" spans="1:15" ht="12.75" customHeight="1" x14ac:dyDescent="0.3">
      <c r="A143" s="759"/>
      <c r="B143" s="38"/>
      <c r="C143" s="38" t="s">
        <v>497</v>
      </c>
      <c r="D143" s="17"/>
      <c r="E143" s="17"/>
      <c r="F143" s="17"/>
      <c r="G143" s="38" t="s">
        <v>507</v>
      </c>
      <c r="H143" s="38" t="s">
        <v>487</v>
      </c>
      <c r="I143" s="239" t="str">
        <f>IF(ISBLANK(input!I142),"",input!I142)</f>
        <v/>
      </c>
      <c r="O143" s="735">
        <v>1620</v>
      </c>
    </row>
    <row r="144" spans="1:15" ht="12.75" customHeight="1" x14ac:dyDescent="0.3">
      <c r="A144" s="759"/>
      <c r="B144" s="38"/>
      <c r="C144" s="38" t="s">
        <v>500</v>
      </c>
      <c r="D144" s="17"/>
      <c r="E144" s="17"/>
      <c r="F144" s="17"/>
      <c r="G144" s="38" t="s">
        <v>508</v>
      </c>
      <c r="H144" s="38" t="s">
        <v>487</v>
      </c>
      <c r="I144" s="239" t="str">
        <f>IF(ISBLANK(input!I143),"",input!I143)</f>
        <v/>
      </c>
      <c r="O144" s="735">
        <v>9</v>
      </c>
    </row>
    <row r="145" spans="1:15" ht="12.75" customHeight="1" x14ac:dyDescent="0.3">
      <c r="A145" s="759"/>
      <c r="B145" s="74" t="s">
        <v>227</v>
      </c>
      <c r="C145" s="17"/>
      <c r="D145" s="17"/>
      <c r="E145" s="17"/>
      <c r="F145" s="17"/>
      <c r="G145" s="149"/>
      <c r="H145" s="38"/>
      <c r="I145" s="239" t="str">
        <f>IF(ISBLANK(input!I144),"",input!I144)</f>
        <v/>
      </c>
      <c r="O145" s="262" t="s">
        <v>4241</v>
      </c>
    </row>
    <row r="146" spans="1:15" ht="12.75" customHeight="1" x14ac:dyDescent="0.3">
      <c r="A146" s="759"/>
      <c r="B146" s="38"/>
      <c r="C146" s="38" t="s">
        <v>485</v>
      </c>
      <c r="D146" s="17"/>
      <c r="E146" s="17"/>
      <c r="F146" s="17"/>
      <c r="G146" s="38" t="s">
        <v>509</v>
      </c>
      <c r="H146" s="38" t="s">
        <v>487</v>
      </c>
      <c r="I146" s="239" t="str">
        <f>IF(ISBLANK(input!I145),"",input!I145)</f>
        <v/>
      </c>
      <c r="O146" s="262" t="s">
        <v>4241</v>
      </c>
    </row>
    <row r="147" spans="1:15" ht="12.75" customHeight="1" x14ac:dyDescent="0.3">
      <c r="A147" s="759"/>
      <c r="B147" s="38"/>
      <c r="C147" s="38" t="s">
        <v>510</v>
      </c>
      <c r="D147" s="17"/>
      <c r="E147" s="17"/>
      <c r="F147" s="17"/>
      <c r="G147" s="38" t="s">
        <v>511</v>
      </c>
      <c r="H147" s="38" t="s">
        <v>487</v>
      </c>
      <c r="I147" s="239" t="str">
        <f>IF(ISBLANK(input!I146),"",input!I146)</f>
        <v/>
      </c>
      <c r="O147" s="262" t="s">
        <v>4241</v>
      </c>
    </row>
    <row r="148" spans="1:15" ht="12.75" customHeight="1" x14ac:dyDescent="0.3">
      <c r="A148" s="759"/>
      <c r="B148" s="38"/>
      <c r="C148" s="38" t="s">
        <v>512</v>
      </c>
      <c r="D148" s="17"/>
      <c r="E148" s="17"/>
      <c r="F148" s="17"/>
      <c r="G148" s="38" t="s">
        <v>513</v>
      </c>
      <c r="H148" s="38" t="s">
        <v>487</v>
      </c>
      <c r="I148" s="239" t="str">
        <f>IF(ISBLANK(input!I147),"",input!I147)</f>
        <v/>
      </c>
      <c r="O148" s="262" t="s">
        <v>4241</v>
      </c>
    </row>
    <row r="149" spans="1:15" ht="12.75" customHeight="1" x14ac:dyDescent="0.3">
      <c r="A149" s="759"/>
      <c r="B149" s="3" t="s">
        <v>228</v>
      </c>
      <c r="C149" s="38"/>
      <c r="D149" s="17"/>
      <c r="E149" s="17"/>
      <c r="F149" s="17"/>
      <c r="G149" s="149"/>
      <c r="H149" s="38"/>
      <c r="I149" s="239" t="str">
        <f>IF(ISBLANK(input!I148),"",input!I148)</f>
        <v/>
      </c>
      <c r="O149" s="262" t="s">
        <v>4241</v>
      </c>
    </row>
    <row r="150" spans="1:15" ht="12.75" customHeight="1" x14ac:dyDescent="0.3">
      <c r="A150" s="759"/>
      <c r="B150" s="38"/>
      <c r="C150" s="38" t="s">
        <v>485</v>
      </c>
      <c r="D150" s="17"/>
      <c r="E150" s="17"/>
      <c r="F150" s="17"/>
      <c r="G150" s="38" t="s">
        <v>514</v>
      </c>
      <c r="H150" s="38" t="s">
        <v>487</v>
      </c>
      <c r="I150" s="239" t="str">
        <f>IF(ISBLANK(input!I149),"",input!I149)</f>
        <v/>
      </c>
      <c r="O150" s="262" t="s">
        <v>4241</v>
      </c>
    </row>
    <row r="151" spans="1:15" ht="12.75" customHeight="1" x14ac:dyDescent="0.3">
      <c r="A151" s="759"/>
      <c r="B151" s="38"/>
      <c r="C151" s="38" t="s">
        <v>510</v>
      </c>
      <c r="D151" s="17"/>
      <c r="E151" s="17"/>
      <c r="F151" s="17"/>
      <c r="G151" s="38" t="s">
        <v>515</v>
      </c>
      <c r="H151" s="38" t="s">
        <v>487</v>
      </c>
      <c r="I151" s="239" t="str">
        <f>IF(ISBLANK(input!I150),"",input!I150)</f>
        <v/>
      </c>
      <c r="O151" s="262" t="s">
        <v>4241</v>
      </c>
    </row>
    <row r="152" spans="1:15" ht="12.75" customHeight="1" x14ac:dyDescent="0.3">
      <c r="A152" s="759"/>
      <c r="B152" s="38"/>
      <c r="C152" s="38" t="s">
        <v>512</v>
      </c>
      <c r="D152" s="17"/>
      <c r="E152" s="17"/>
      <c r="F152" s="17"/>
      <c r="G152" s="38" t="s">
        <v>516</v>
      </c>
      <c r="H152" s="38" t="s">
        <v>487</v>
      </c>
      <c r="I152" s="239" t="str">
        <f>IF(ISBLANK(input!I151),"",input!I151)</f>
        <v/>
      </c>
      <c r="O152" s="262" t="s">
        <v>4241</v>
      </c>
    </row>
    <row r="153" spans="1:15" ht="12.75" customHeight="1" x14ac:dyDescent="0.3">
      <c r="A153" s="759"/>
      <c r="B153" s="74" t="s">
        <v>517</v>
      </c>
      <c r="C153" s="17"/>
      <c r="D153" s="17"/>
      <c r="E153" s="17"/>
      <c r="F153" s="17"/>
      <c r="G153" s="149"/>
      <c r="H153" s="38"/>
      <c r="I153" s="239" t="str">
        <f>IF(ISBLANK(input!I152),"",input!I152)</f>
        <v/>
      </c>
      <c r="O153" s="262" t="s">
        <v>4241</v>
      </c>
    </row>
    <row r="154" spans="1:15" ht="12.75" customHeight="1" x14ac:dyDescent="0.3">
      <c r="A154" s="759"/>
      <c r="B154" s="38"/>
      <c r="C154" s="38" t="s">
        <v>485</v>
      </c>
      <c r="D154" s="17"/>
      <c r="E154" s="17"/>
      <c r="F154" s="17"/>
      <c r="G154" s="38" t="s">
        <v>518</v>
      </c>
      <c r="H154" s="38" t="s">
        <v>487</v>
      </c>
      <c r="I154" s="239" t="str">
        <f>IF(ISBLANK(input!I153),"",input!I153)</f>
        <v/>
      </c>
      <c r="O154" s="262" t="s">
        <v>4241</v>
      </c>
    </row>
    <row r="155" spans="1:15" ht="12.75" customHeight="1" x14ac:dyDescent="0.3">
      <c r="A155" s="759"/>
      <c r="B155" s="38"/>
      <c r="C155" s="38" t="s">
        <v>510</v>
      </c>
      <c r="D155" s="17"/>
      <c r="E155" s="17"/>
      <c r="F155" s="17"/>
      <c r="G155" s="38" t="s">
        <v>519</v>
      </c>
      <c r="H155" s="38" t="s">
        <v>487</v>
      </c>
      <c r="I155" s="239" t="str">
        <f>IF(ISBLANK(input!I154),"",input!I154)</f>
        <v/>
      </c>
      <c r="O155" s="262" t="s">
        <v>4241</v>
      </c>
    </row>
    <row r="156" spans="1:15" ht="12.75" customHeight="1" x14ac:dyDescent="0.3">
      <c r="A156" s="759"/>
      <c r="B156" s="38"/>
      <c r="C156" s="38" t="s">
        <v>512</v>
      </c>
      <c r="D156" s="17"/>
      <c r="E156" s="17"/>
      <c r="F156" s="17"/>
      <c r="G156" s="38" t="s">
        <v>520</v>
      </c>
      <c r="H156" s="38" t="s">
        <v>487</v>
      </c>
      <c r="I156" s="239" t="str">
        <f>IF(ISBLANK(input!I155),"",input!I155)</f>
        <v/>
      </c>
      <c r="O156" s="262" t="s">
        <v>4241</v>
      </c>
    </row>
    <row r="157" spans="1:15" ht="12.75" customHeight="1" x14ac:dyDescent="0.3">
      <c r="A157" s="566"/>
      <c r="B157" s="566"/>
      <c r="C157" s="577"/>
      <c r="D157" s="577"/>
      <c r="E157" s="577"/>
      <c r="F157" s="577"/>
      <c r="G157" s="802"/>
      <c r="H157" s="602"/>
      <c r="I157" s="239" t="str">
        <f>IF(ISBLANK(input!I156),"",input!I156)</f>
        <v/>
      </c>
      <c r="O157" s="262" t="s">
        <v>4241</v>
      </c>
    </row>
    <row r="158" spans="1:15" ht="12.75" customHeight="1" x14ac:dyDescent="0.3">
      <c r="A158" s="148" t="s">
        <v>521</v>
      </c>
      <c r="B158" s="147"/>
      <c r="C158" s="147"/>
      <c r="D158" s="147"/>
      <c r="E158" s="147"/>
      <c r="F158" s="147"/>
      <c r="G158" s="148" t="s">
        <v>258</v>
      </c>
      <c r="H158" s="148" t="s">
        <v>274</v>
      </c>
      <c r="I158" s="239" t="str">
        <f>IF(ISBLANK(input!I157),"",input!I157)</f>
        <v>User input</v>
      </c>
      <c r="O158" s="262" t="s">
        <v>259</v>
      </c>
    </row>
    <row r="159" spans="1:15" ht="12.75" customHeight="1" x14ac:dyDescent="0.3">
      <c r="A159" s="38"/>
      <c r="B159" s="17"/>
      <c r="C159" s="17"/>
      <c r="D159" s="17"/>
      <c r="E159" s="17"/>
      <c r="F159" s="17"/>
      <c r="G159" s="38"/>
      <c r="H159" s="38"/>
      <c r="I159" s="239" t="str">
        <f>IF(ISBLANK(input!I158),"",input!I158)</f>
        <v/>
      </c>
      <c r="O159" s="262" t="s">
        <v>4241</v>
      </c>
    </row>
    <row r="160" spans="1:15" ht="12.75" customHeight="1" x14ac:dyDescent="0.3">
      <c r="A160" s="38"/>
      <c r="B160" s="144" t="s">
        <v>522</v>
      </c>
      <c r="C160" s="145"/>
      <c r="D160" s="145"/>
      <c r="E160" s="145"/>
      <c r="F160" s="145"/>
      <c r="G160" s="144" t="s">
        <v>523</v>
      </c>
      <c r="H160" s="144"/>
      <c r="I160" s="239" t="str">
        <f>IF(ISBLANK(input!I159),"",input!I159)</f>
        <v/>
      </c>
      <c r="O160" s="262" t="s">
        <v>4241</v>
      </c>
    </row>
    <row r="161" spans="1:15" ht="12.75" customHeight="1" x14ac:dyDescent="0.3">
      <c r="A161" s="17"/>
      <c r="B161" s="38" t="s">
        <v>525</v>
      </c>
      <c r="C161" s="17"/>
      <c r="D161" s="17"/>
      <c r="E161" s="17"/>
      <c r="F161" s="17"/>
      <c r="G161" s="38" t="s">
        <v>526</v>
      </c>
      <c r="H161" s="38" t="s">
        <v>527</v>
      </c>
      <c r="I161" s="239" t="str">
        <f>IF(ISBLANK(input!I160),"",input!I160)</f>
        <v/>
      </c>
      <c r="O161" s="262" t="s">
        <v>4241</v>
      </c>
    </row>
    <row r="162" spans="1:15" ht="12.75" customHeight="1" x14ac:dyDescent="0.3">
      <c r="A162" s="17"/>
      <c r="B162" s="38"/>
      <c r="C162" s="17"/>
      <c r="D162" s="17"/>
      <c r="E162" s="17"/>
      <c r="F162" s="17"/>
      <c r="G162" s="38"/>
      <c r="H162" s="38"/>
      <c r="I162" s="239" t="str">
        <f>IF(ISBLANK(input!I161),"",input!I161)</f>
        <v/>
      </c>
      <c r="O162" s="262" t="s">
        <v>4241</v>
      </c>
    </row>
    <row r="163" spans="1:15" ht="12.75" customHeight="1" x14ac:dyDescent="0.3">
      <c r="A163" s="38"/>
      <c r="B163" s="38" t="s">
        <v>529</v>
      </c>
      <c r="C163" s="17"/>
      <c r="D163" s="17"/>
      <c r="E163" s="17"/>
      <c r="F163" s="17"/>
      <c r="G163" s="146" t="s">
        <v>530</v>
      </c>
      <c r="H163" s="38" t="s">
        <v>291</v>
      </c>
      <c r="I163" s="239" t="str">
        <f>IF(ISBLANK(input!I162),"",input!I162)</f>
        <v/>
      </c>
      <c r="O163" s="262" t="s">
        <v>4241</v>
      </c>
    </row>
    <row r="164" spans="1:15" ht="12.75" customHeight="1" x14ac:dyDescent="0.3">
      <c r="A164" s="38"/>
      <c r="B164" s="38" t="s">
        <v>532</v>
      </c>
      <c r="C164" s="17"/>
      <c r="D164" s="17"/>
      <c r="E164" s="17"/>
      <c r="F164" s="17"/>
      <c r="G164" s="539" t="s">
        <v>533</v>
      </c>
      <c r="H164" s="38" t="s">
        <v>291</v>
      </c>
      <c r="I164" s="239" t="str">
        <f>IF(ISBLANK(input!I163),"",input!I163)</f>
        <v/>
      </c>
      <c r="O164" s="262" t="s">
        <v>4241</v>
      </c>
    </row>
    <row r="165" spans="1:15" ht="12.75" customHeight="1" x14ac:dyDescent="0.3">
      <c r="A165" s="38"/>
      <c r="B165" s="38" t="s">
        <v>534</v>
      </c>
      <c r="C165" s="146"/>
      <c r="D165" s="17"/>
      <c r="E165" s="17"/>
      <c r="F165" s="17"/>
      <c r="G165" s="146" t="s">
        <v>535</v>
      </c>
      <c r="H165" s="38" t="s">
        <v>291</v>
      </c>
      <c r="I165" s="239" t="str">
        <f>IF(ISBLANK(input!I164),"",input!I164)</f>
        <v/>
      </c>
      <c r="O165" s="262" t="s">
        <v>4241</v>
      </c>
    </row>
    <row r="166" spans="1:15" ht="12.75" customHeight="1" x14ac:dyDescent="0.3">
      <c r="A166" s="17"/>
      <c r="B166" s="17"/>
      <c r="C166" s="38" t="s">
        <v>536</v>
      </c>
      <c r="D166" s="17"/>
      <c r="E166" s="17"/>
      <c r="F166" s="17"/>
      <c r="G166" s="38" t="s">
        <v>537</v>
      </c>
      <c r="H166" s="38" t="s">
        <v>291</v>
      </c>
      <c r="I166" s="239" t="str">
        <f>IF(ISBLANK(input!I165),"",input!I165)</f>
        <v/>
      </c>
      <c r="O166" s="262" t="s">
        <v>4241</v>
      </c>
    </row>
    <row r="167" spans="1:15" ht="12.75" customHeight="1" x14ac:dyDescent="0.3">
      <c r="A167" s="17"/>
      <c r="B167" s="17"/>
      <c r="C167" s="38" t="s">
        <v>538</v>
      </c>
      <c r="D167" s="17"/>
      <c r="E167" s="17"/>
      <c r="F167" s="17"/>
      <c r="G167" s="540" t="s">
        <v>539</v>
      </c>
      <c r="H167" s="38" t="s">
        <v>291</v>
      </c>
      <c r="I167" s="239" t="str">
        <f>IF(ISBLANK(input!I166),"",input!I166)</f>
        <v/>
      </c>
      <c r="O167" s="262" t="s">
        <v>4241</v>
      </c>
    </row>
    <row r="168" spans="1:15" ht="12.75" customHeight="1" x14ac:dyDescent="0.3">
      <c r="A168" s="17"/>
      <c r="B168" s="17"/>
      <c r="C168" s="38" t="s">
        <v>540</v>
      </c>
      <c r="D168" s="17"/>
      <c r="E168" s="17"/>
      <c r="F168" s="17"/>
      <c r="G168" s="38" t="s">
        <v>541</v>
      </c>
      <c r="H168" s="38"/>
      <c r="I168" s="239" t="str">
        <f>IF(ISBLANK(input!I167),"",input!I167)</f>
        <v/>
      </c>
      <c r="O168" s="262" t="s">
        <v>4241</v>
      </c>
    </row>
    <row r="169" spans="1:15" ht="12.75" customHeight="1" x14ac:dyDescent="0.3">
      <c r="A169" s="17"/>
      <c r="B169" s="17"/>
      <c r="C169" s="38" t="s">
        <v>542</v>
      </c>
      <c r="D169" s="17"/>
      <c r="E169" s="17"/>
      <c r="F169" s="17"/>
      <c r="G169" s="38" t="s">
        <v>543</v>
      </c>
      <c r="H169" s="38" t="s">
        <v>291</v>
      </c>
      <c r="I169" s="239" t="str">
        <f>IF(ISBLANK(input!I168),"",input!I168)</f>
        <v/>
      </c>
      <c r="O169" s="262" t="s">
        <v>4241</v>
      </c>
    </row>
    <row r="170" spans="1:15" ht="12.75" customHeight="1" x14ac:dyDescent="0.3">
      <c r="A170" s="565"/>
      <c r="B170" s="566"/>
      <c r="C170" s="566" t="s">
        <v>545</v>
      </c>
      <c r="D170" s="566"/>
      <c r="E170" s="566"/>
      <c r="F170" s="566"/>
      <c r="G170" s="567" t="s">
        <v>546</v>
      </c>
      <c r="H170" s="567" t="s">
        <v>291</v>
      </c>
      <c r="I170" s="239" t="str">
        <f>IF(ISBLANK(input!I169),"",input!I169)</f>
        <v/>
      </c>
      <c r="O170" s="262" t="s">
        <v>4241</v>
      </c>
    </row>
    <row r="171" spans="1:15" ht="12.75" customHeight="1" x14ac:dyDescent="0.3">
      <c r="A171" s="3"/>
      <c r="B171" s="17"/>
      <c r="C171" s="17" t="s">
        <v>547</v>
      </c>
      <c r="D171" s="17"/>
      <c r="E171" s="17"/>
      <c r="F171" s="17"/>
      <c r="G171" s="38" t="s">
        <v>548</v>
      </c>
      <c r="H171" s="38" t="s">
        <v>291</v>
      </c>
      <c r="I171" s="239" t="str">
        <f>IF(ISBLANK(input!I170),"",input!I170)</f>
        <v/>
      </c>
      <c r="O171" s="262" t="s">
        <v>4241</v>
      </c>
    </row>
    <row r="172" spans="1:15" ht="12.75" customHeight="1" x14ac:dyDescent="0.3">
      <c r="A172" s="3"/>
      <c r="B172" s="17"/>
      <c r="C172" s="17" t="s">
        <v>549</v>
      </c>
      <c r="D172" s="17"/>
      <c r="E172" s="17"/>
      <c r="F172" s="17"/>
      <c r="G172" s="38" t="s">
        <v>550</v>
      </c>
      <c r="H172" s="38" t="s">
        <v>291</v>
      </c>
      <c r="I172" s="239" t="str">
        <f>IF(ISBLANK(input!I171),"",input!I171)</f>
        <v/>
      </c>
      <c r="O172" s="262" t="s">
        <v>4241</v>
      </c>
    </row>
    <row r="173" spans="1:15" ht="12.75" customHeight="1" x14ac:dyDescent="0.3">
      <c r="A173" s="3"/>
      <c r="B173" s="17"/>
      <c r="C173" s="17" t="s">
        <v>551</v>
      </c>
      <c r="D173" s="17"/>
      <c r="E173" s="17"/>
      <c r="F173" s="17"/>
      <c r="G173" s="38" t="s">
        <v>552</v>
      </c>
      <c r="H173" s="38" t="s">
        <v>291</v>
      </c>
      <c r="I173" s="239" t="str">
        <f>IF(ISBLANK(input!I172),"",input!I172)</f>
        <v/>
      </c>
      <c r="O173" s="262" t="s">
        <v>4241</v>
      </c>
    </row>
    <row r="174" spans="1:15" ht="12.75" customHeight="1" x14ac:dyDescent="0.3">
      <c r="A174" s="3"/>
      <c r="B174" s="17"/>
      <c r="C174" s="17" t="s">
        <v>553</v>
      </c>
      <c r="D174" s="17"/>
      <c r="E174" s="17"/>
      <c r="F174" s="17"/>
      <c r="G174" s="38" t="s">
        <v>554</v>
      </c>
      <c r="H174" s="38" t="s">
        <v>291</v>
      </c>
      <c r="I174" s="239" t="str">
        <f>IF(ISBLANK(input!I173),"",input!I173)</f>
        <v/>
      </c>
      <c r="O174" s="262" t="s">
        <v>4241</v>
      </c>
    </row>
    <row r="175" spans="1:15" ht="12.75" customHeight="1" x14ac:dyDescent="0.3">
      <c r="A175" s="3"/>
      <c r="B175" s="17"/>
      <c r="C175" s="17" t="s">
        <v>555</v>
      </c>
      <c r="D175" s="17"/>
      <c r="E175" s="17"/>
      <c r="F175" s="17"/>
      <c r="G175" s="38" t="s">
        <v>556</v>
      </c>
      <c r="H175" s="38"/>
      <c r="I175" s="239" t="str">
        <f>IF(ISBLANK(input!I174),"",input!I174)</f>
        <v/>
      </c>
      <c r="O175" s="262" t="s">
        <v>4241</v>
      </c>
    </row>
    <row r="176" spans="1:15" ht="12.75" customHeight="1" x14ac:dyDescent="0.3">
      <c r="A176" s="3"/>
      <c r="B176" s="17"/>
      <c r="C176" s="17" t="s">
        <v>557</v>
      </c>
      <c r="D176" s="17"/>
      <c r="E176" s="17"/>
      <c r="F176" s="17"/>
      <c r="G176" s="38" t="s">
        <v>558</v>
      </c>
      <c r="H176" s="38" t="s">
        <v>291</v>
      </c>
      <c r="I176" s="239" t="str">
        <f>IF(ISBLANK(input!I175),"",input!I175)</f>
        <v/>
      </c>
      <c r="O176" s="262" t="s">
        <v>4241</v>
      </c>
    </row>
    <row r="177" spans="1:15" ht="12.75" customHeight="1" x14ac:dyDescent="0.3">
      <c r="A177" s="3"/>
      <c r="B177" s="17"/>
      <c r="C177" s="17" t="s">
        <v>559</v>
      </c>
      <c r="D177" s="17"/>
      <c r="E177" s="17"/>
      <c r="F177" s="17"/>
      <c r="G177" s="38" t="s">
        <v>560</v>
      </c>
      <c r="H177" s="38" t="s">
        <v>291</v>
      </c>
      <c r="I177" s="239" t="str">
        <f>IF(ISBLANK(input!I176),"",input!I176)</f>
        <v/>
      </c>
      <c r="O177" s="262" t="s">
        <v>4241</v>
      </c>
    </row>
    <row r="178" spans="1:15" ht="12.75" customHeight="1" x14ac:dyDescent="0.3">
      <c r="A178" s="3"/>
      <c r="B178" s="17"/>
      <c r="C178" s="17" t="s">
        <v>561</v>
      </c>
      <c r="D178" s="17"/>
      <c r="E178" s="17"/>
      <c r="F178" s="17"/>
      <c r="G178" s="38" t="s">
        <v>562</v>
      </c>
      <c r="H178" s="38" t="s">
        <v>291</v>
      </c>
      <c r="I178" s="239" t="str">
        <f>IF(ISBLANK(input!I177),"",input!I177)</f>
        <v/>
      </c>
      <c r="O178" s="262" t="s">
        <v>4241</v>
      </c>
    </row>
    <row r="179" spans="1:15" ht="12.75" customHeight="1" x14ac:dyDescent="0.3">
      <c r="A179" s="3"/>
      <c r="B179" s="17"/>
      <c r="C179" s="17" t="s">
        <v>563</v>
      </c>
      <c r="D179" s="17"/>
      <c r="E179" s="17"/>
      <c r="F179" s="17"/>
      <c r="G179" s="38" t="s">
        <v>564</v>
      </c>
      <c r="H179" s="38" t="s">
        <v>291</v>
      </c>
      <c r="I179" s="239" t="str">
        <f>IF(ISBLANK(input!I178),"",input!I178)</f>
        <v/>
      </c>
      <c r="O179" s="262" t="s">
        <v>4241</v>
      </c>
    </row>
    <row r="180" spans="1:15" ht="12.75" customHeight="1" x14ac:dyDescent="0.3">
      <c r="A180" s="3"/>
      <c r="B180" s="17"/>
      <c r="C180" s="17" t="s">
        <v>565</v>
      </c>
      <c r="D180" s="17"/>
      <c r="E180" s="17"/>
      <c r="F180" s="17"/>
      <c r="G180" s="38" t="s">
        <v>566</v>
      </c>
      <c r="H180" s="38" t="s">
        <v>291</v>
      </c>
      <c r="I180" s="239" t="str">
        <f>IF(ISBLANK(input!I179),"",input!I179)</f>
        <v/>
      </c>
      <c r="O180" s="262" t="s">
        <v>4241</v>
      </c>
    </row>
    <row r="181" spans="1:15" ht="12.75" customHeight="1" x14ac:dyDescent="0.3">
      <c r="A181" s="3"/>
      <c r="B181" s="17"/>
      <c r="C181" s="17" t="s">
        <v>567</v>
      </c>
      <c r="D181" s="17"/>
      <c r="E181" s="17"/>
      <c r="F181" s="17"/>
      <c r="G181" s="38" t="s">
        <v>568</v>
      </c>
      <c r="H181" s="38" t="s">
        <v>291</v>
      </c>
      <c r="I181" s="239" t="str">
        <f>IF(ISBLANK(input!I180),"",input!I180)</f>
        <v/>
      </c>
      <c r="O181" s="262" t="s">
        <v>4241</v>
      </c>
    </row>
    <row r="182" spans="1:15" ht="12.75" customHeight="1" x14ac:dyDescent="0.3">
      <c r="A182" s="17"/>
      <c r="B182" s="17"/>
      <c r="C182" s="17" t="s">
        <v>569</v>
      </c>
      <c r="D182" s="17"/>
      <c r="E182" s="17"/>
      <c r="F182" s="17"/>
      <c r="G182" s="17" t="s">
        <v>570</v>
      </c>
      <c r="H182" s="17" t="s">
        <v>571</v>
      </c>
      <c r="I182" s="239" t="str">
        <f>IF(ISBLANK(input!I181),"",input!I181)</f>
        <v/>
      </c>
      <c r="O182" s="262" t="s">
        <v>4241</v>
      </c>
    </row>
    <row r="183" spans="1:15" ht="12.75" customHeight="1" x14ac:dyDescent="0.3">
      <c r="A183" s="17"/>
      <c r="B183" s="38"/>
      <c r="C183" s="38" t="s">
        <v>573</v>
      </c>
      <c r="D183" s="17"/>
      <c r="E183" s="17"/>
      <c r="F183" s="17"/>
      <c r="G183" s="38" t="s">
        <v>574</v>
      </c>
      <c r="H183" s="38" t="s">
        <v>575</v>
      </c>
      <c r="I183" s="239" t="str">
        <f>IF(ISBLANK(input!I182),"",input!I182)</f>
        <v/>
      </c>
      <c r="O183" s="262" t="s">
        <v>4241</v>
      </c>
    </row>
    <row r="184" spans="1:15" ht="12.75" customHeight="1" x14ac:dyDescent="0.3">
      <c r="A184" s="17"/>
      <c r="B184" s="38"/>
      <c r="C184" s="38" t="s">
        <v>577</v>
      </c>
      <c r="D184" s="17"/>
      <c r="E184" s="17"/>
      <c r="F184" s="17"/>
      <c r="G184" s="38" t="s">
        <v>578</v>
      </c>
      <c r="H184" s="38" t="s">
        <v>579</v>
      </c>
      <c r="I184" s="239" t="str">
        <f>IF(ISBLANK(input!I183),"",input!I183)</f>
        <v/>
      </c>
      <c r="O184" s="262" t="s">
        <v>4241</v>
      </c>
    </row>
    <row r="185" spans="1:15" ht="12.75" customHeight="1" x14ac:dyDescent="0.3">
      <c r="A185" s="17"/>
      <c r="B185" s="38"/>
      <c r="C185" s="38" t="s">
        <v>581</v>
      </c>
      <c r="D185" s="17"/>
      <c r="E185" s="17"/>
      <c r="F185" s="17"/>
      <c r="G185" s="38" t="s">
        <v>582</v>
      </c>
      <c r="H185" s="38" t="s">
        <v>575</v>
      </c>
      <c r="I185" s="239" t="str">
        <f>IF(ISBLANK(input!I184),"",input!I184)</f>
        <v/>
      </c>
      <c r="O185" s="262" t="s">
        <v>4241</v>
      </c>
    </row>
    <row r="186" spans="1:15" ht="12.75" customHeight="1" x14ac:dyDescent="0.3">
      <c r="A186" s="17"/>
      <c r="B186" s="17"/>
      <c r="C186" s="17" t="s">
        <v>583</v>
      </c>
      <c r="D186" s="17"/>
      <c r="E186" s="17"/>
      <c r="F186" s="17"/>
      <c r="G186" s="17" t="s">
        <v>584</v>
      </c>
      <c r="H186" s="17" t="s">
        <v>585</v>
      </c>
      <c r="I186" s="239" t="str">
        <f>IF(ISBLANK(input!I185),"",input!I185)</f>
        <v/>
      </c>
      <c r="O186" s="262" t="s">
        <v>4241</v>
      </c>
    </row>
    <row r="187" spans="1:15" ht="12.75" customHeight="1" x14ac:dyDescent="0.3">
      <c r="A187" s="17"/>
      <c r="B187" s="17"/>
      <c r="C187" s="17"/>
      <c r="D187" s="17"/>
      <c r="E187" s="17"/>
      <c r="F187" s="17"/>
      <c r="G187" s="17"/>
      <c r="H187" s="33"/>
      <c r="I187" s="239" t="str">
        <f>IF(ISBLANK(input!I338),"",input!I338)</f>
        <v/>
      </c>
      <c r="O187" s="262" t="s">
        <v>4241</v>
      </c>
    </row>
    <row r="188" spans="1:15" ht="12.75" customHeight="1" x14ac:dyDescent="0.3">
      <c r="A188" s="17"/>
      <c r="B188" s="38" t="s">
        <v>615</v>
      </c>
      <c r="C188" s="17"/>
      <c r="D188" s="146"/>
      <c r="E188" s="17"/>
      <c r="F188" s="17"/>
      <c r="G188" s="146" t="s">
        <v>616</v>
      </c>
      <c r="H188" s="38" t="s">
        <v>617</v>
      </c>
      <c r="I188" s="239" t="str">
        <f>IF(ISBLANK(input!I213),"",input!I213)</f>
        <v/>
      </c>
      <c r="O188" s="262" t="s">
        <v>4241</v>
      </c>
    </row>
    <row r="189" spans="1:15" ht="12.75" customHeight="1" x14ac:dyDescent="0.3">
      <c r="A189" s="38"/>
      <c r="B189" s="17"/>
      <c r="C189" s="38" t="s">
        <v>618</v>
      </c>
      <c r="D189" s="17"/>
      <c r="E189" s="17"/>
      <c r="F189" s="17"/>
      <c r="G189" s="38" t="s">
        <v>619</v>
      </c>
      <c r="H189" s="38" t="s">
        <v>620</v>
      </c>
      <c r="I189" s="239" t="str">
        <f>IF(ISBLANK(input!I214),"",input!I214)</f>
        <v/>
      </c>
      <c r="J189" s="823"/>
      <c r="O189" s="262" t="s">
        <v>4241</v>
      </c>
    </row>
    <row r="190" spans="1:15" ht="12.75" customHeight="1" x14ac:dyDescent="0.3">
      <c r="A190" s="38"/>
      <c r="B190" s="17"/>
      <c r="C190" s="38" t="s">
        <v>622</v>
      </c>
      <c r="D190" s="17"/>
      <c r="E190" s="17"/>
      <c r="F190" s="17"/>
      <c r="G190" s="38" t="s">
        <v>623</v>
      </c>
      <c r="H190" s="38" t="s">
        <v>624</v>
      </c>
      <c r="I190" s="239" t="str">
        <f>IF(ISBLANK(input!I215),"",input!I215)</f>
        <v/>
      </c>
      <c r="J190" s="216"/>
      <c r="O190" s="262" t="s">
        <v>4241</v>
      </c>
    </row>
    <row r="191" spans="1:15" ht="12.75" customHeight="1" x14ac:dyDescent="0.3">
      <c r="A191" s="38"/>
      <c r="B191" s="17"/>
      <c r="C191" s="38" t="s">
        <v>626</v>
      </c>
      <c r="D191" s="17"/>
      <c r="E191" s="17"/>
      <c r="F191" s="17"/>
      <c r="G191" s="38" t="s">
        <v>627</v>
      </c>
      <c r="H191" s="38" t="s">
        <v>628</v>
      </c>
      <c r="I191" s="239" t="str">
        <f>IF(ISBLANK(input!I216),"",input!I216)</f>
        <v/>
      </c>
      <c r="O191" s="262" t="s">
        <v>4241</v>
      </c>
    </row>
    <row r="192" spans="1:15" ht="12.75" customHeight="1" x14ac:dyDescent="0.3">
      <c r="A192" s="17"/>
      <c r="B192" s="38" t="s">
        <v>629</v>
      </c>
      <c r="C192" s="17"/>
      <c r="D192" s="146"/>
      <c r="E192" s="17"/>
      <c r="F192" s="17"/>
      <c r="G192" s="146" t="s">
        <v>630</v>
      </c>
      <c r="H192" s="38" t="s">
        <v>617</v>
      </c>
      <c r="I192" s="239" t="str">
        <f>IF(ISBLANK(input!I217),"",input!I217)</f>
        <v/>
      </c>
      <c r="J192" s="216"/>
      <c r="O192" s="262" t="s">
        <v>4241</v>
      </c>
    </row>
    <row r="193" spans="1:15" ht="12.75" customHeight="1" x14ac:dyDescent="0.3">
      <c r="A193" s="17"/>
      <c r="B193" s="17"/>
      <c r="C193" s="38" t="s">
        <v>631</v>
      </c>
      <c r="D193" s="17"/>
      <c r="E193" s="17"/>
      <c r="F193" s="17"/>
      <c r="G193" s="38" t="s">
        <v>632</v>
      </c>
      <c r="H193" s="38" t="s">
        <v>633</v>
      </c>
      <c r="I193" s="239" t="str">
        <f>IF(ISBLANK(input!I218),"",input!I218)</f>
        <v/>
      </c>
      <c r="J193" s="824"/>
      <c r="O193" s="262" t="s">
        <v>4241</v>
      </c>
    </row>
    <row r="194" spans="1:15" ht="12.75" customHeight="1" x14ac:dyDescent="0.3">
      <c r="A194" s="17"/>
      <c r="B194" s="17"/>
      <c r="C194" s="38" t="s">
        <v>635</v>
      </c>
      <c r="D194" s="146"/>
      <c r="E194" s="17"/>
      <c r="F194" s="17"/>
      <c r="G194" s="38" t="s">
        <v>636</v>
      </c>
      <c r="H194" s="38" t="s">
        <v>637</v>
      </c>
      <c r="I194" s="239" t="str">
        <f>IF(ISBLANK(input!I219),"",input!I219)</f>
        <v/>
      </c>
      <c r="J194" s="825"/>
      <c r="O194" s="262" t="s">
        <v>4241</v>
      </c>
    </row>
    <row r="195" spans="1:15" ht="12.75" customHeight="1" x14ac:dyDescent="0.3">
      <c r="A195" s="17"/>
      <c r="B195" s="17"/>
      <c r="C195" s="17" t="s">
        <v>639</v>
      </c>
      <c r="D195" s="17"/>
      <c r="E195" s="17"/>
      <c r="F195" s="17"/>
      <c r="G195" s="38" t="s">
        <v>640</v>
      </c>
      <c r="H195" s="38" t="s">
        <v>291</v>
      </c>
      <c r="I195" s="239" t="str">
        <f>IF(ISBLANK(input!I220),"",input!I220)</f>
        <v/>
      </c>
      <c r="O195" s="262" t="s">
        <v>4241</v>
      </c>
    </row>
    <row r="196" spans="1:15" ht="12.75" customHeight="1" x14ac:dyDescent="0.3">
      <c r="A196" s="17"/>
      <c r="B196" s="38" t="s">
        <v>641</v>
      </c>
      <c r="C196" s="146"/>
      <c r="D196" s="146"/>
      <c r="E196" s="17"/>
      <c r="F196" s="17"/>
      <c r="G196" s="146" t="s">
        <v>642</v>
      </c>
      <c r="H196" s="38" t="s">
        <v>617</v>
      </c>
      <c r="I196" s="239" t="str">
        <f>IF(ISBLANK(input!I221),"",input!I221)</f>
        <v/>
      </c>
      <c r="O196" s="262" t="s">
        <v>4241</v>
      </c>
    </row>
    <row r="197" spans="1:15" ht="12.75" customHeight="1" x14ac:dyDescent="0.3">
      <c r="A197" s="17"/>
      <c r="B197" s="38" t="s">
        <v>643</v>
      </c>
      <c r="C197" s="146"/>
      <c r="D197" s="146"/>
      <c r="E197" s="17"/>
      <c r="F197" s="17"/>
      <c r="G197" s="146" t="s">
        <v>644</v>
      </c>
      <c r="H197" s="38" t="s">
        <v>617</v>
      </c>
      <c r="I197" s="239" t="str">
        <f>IF(ISBLANK(input!I222),"",input!I222)</f>
        <v/>
      </c>
      <c r="O197" s="262" t="s">
        <v>4241</v>
      </c>
    </row>
    <row r="198" spans="1:15" ht="12.75" customHeight="1" x14ac:dyDescent="0.3">
      <c r="A198" s="17"/>
      <c r="B198" s="17"/>
      <c r="C198" s="17"/>
      <c r="D198" s="17"/>
      <c r="E198" s="17"/>
      <c r="F198" s="17"/>
      <c r="G198" s="38"/>
      <c r="H198" s="38"/>
      <c r="I198" s="239" t="str">
        <f>IF(ISBLANK(input!I223),"",input!I223)</f>
        <v/>
      </c>
      <c r="O198" s="262" t="s">
        <v>4241</v>
      </c>
    </row>
    <row r="199" spans="1:15" ht="12.75" customHeight="1" x14ac:dyDescent="0.3">
      <c r="A199" s="147" t="s">
        <v>484</v>
      </c>
      <c r="B199" s="147"/>
      <c r="C199" s="147"/>
      <c r="D199" s="147"/>
      <c r="E199" s="147"/>
      <c r="F199" s="147"/>
      <c r="G199" s="148" t="s">
        <v>258</v>
      </c>
      <c r="H199" s="148" t="s">
        <v>274</v>
      </c>
      <c r="I199" s="239" t="str">
        <f>IF(ISBLANK(input!I224),"",input!I224)</f>
        <v>User input</v>
      </c>
      <c r="O199" s="262" t="s">
        <v>259</v>
      </c>
    </row>
    <row r="200" spans="1:15" ht="12.75" customHeight="1" x14ac:dyDescent="0.3">
      <c r="A200" s="759"/>
      <c r="B200" s="38"/>
      <c r="C200" s="38"/>
      <c r="D200" s="17"/>
      <c r="E200" s="17"/>
      <c r="F200" s="17"/>
      <c r="G200" s="38"/>
      <c r="H200" s="38"/>
      <c r="I200" s="239" t="str">
        <f>IF(ISBLANK(input!I225),"",input!I225)</f>
        <v/>
      </c>
      <c r="O200" s="262" t="s">
        <v>4241</v>
      </c>
    </row>
    <row r="201" spans="1:15" ht="12.75" customHeight="1" x14ac:dyDescent="0.3">
      <c r="A201" s="17"/>
      <c r="B201" s="758" t="s">
        <v>645</v>
      </c>
      <c r="C201" s="168"/>
      <c r="D201" s="168"/>
      <c r="E201" s="168"/>
      <c r="F201" s="168"/>
      <c r="G201" s="357"/>
      <c r="H201" s="357"/>
      <c r="I201" s="239" t="str">
        <f>IF(ISBLANK(input!I226),"",input!I226)</f>
        <v/>
      </c>
      <c r="O201" s="262" t="s">
        <v>4241</v>
      </c>
    </row>
    <row r="202" spans="1:15" ht="12.75" customHeight="1" x14ac:dyDescent="0.3">
      <c r="A202" s="759"/>
      <c r="B202" s="74" t="s">
        <v>58</v>
      </c>
      <c r="C202" s="17"/>
      <c r="D202" s="17"/>
      <c r="E202" s="17"/>
      <c r="F202" s="17"/>
      <c r="G202" s="38"/>
      <c r="H202" s="38"/>
      <c r="I202" s="239" t="str">
        <f>IF(ISBLANK(input!I227),"",input!I227)</f>
        <v/>
      </c>
      <c r="O202" s="262" t="s">
        <v>4241</v>
      </c>
    </row>
    <row r="203" spans="1:15" ht="12.75" customHeight="1" x14ac:dyDescent="0.3">
      <c r="A203" s="759"/>
      <c r="B203" s="38"/>
      <c r="C203" s="38" t="s">
        <v>485</v>
      </c>
      <c r="D203" s="17"/>
      <c r="E203" s="17"/>
      <c r="F203" s="17"/>
      <c r="G203" s="38" t="s">
        <v>646</v>
      </c>
      <c r="H203" s="38" t="s">
        <v>487</v>
      </c>
      <c r="I203" s="239" t="str">
        <f>IF(ISBLANK(input!I228),"",input!I228)</f>
        <v/>
      </c>
    </row>
    <row r="204" spans="1:15" ht="12.75" customHeight="1" x14ac:dyDescent="0.3">
      <c r="A204" s="759"/>
      <c r="B204" s="38"/>
      <c r="C204" s="38" t="s">
        <v>489</v>
      </c>
      <c r="D204" s="17"/>
      <c r="E204" s="17"/>
      <c r="F204" s="17"/>
      <c r="G204" s="38" t="s">
        <v>647</v>
      </c>
      <c r="H204" s="38" t="s">
        <v>487</v>
      </c>
      <c r="I204" s="239" t="str">
        <f>IF(ISBLANK(input!I229),"",input!I229)</f>
        <v/>
      </c>
    </row>
    <row r="205" spans="1:15" ht="12.75" customHeight="1" x14ac:dyDescent="0.3">
      <c r="A205" s="759"/>
      <c r="B205" s="38"/>
      <c r="C205" s="38" t="s">
        <v>491</v>
      </c>
      <c r="D205" s="17"/>
      <c r="E205" s="17"/>
      <c r="F205" s="17"/>
      <c r="G205" s="38" t="s">
        <v>648</v>
      </c>
      <c r="H205" s="38" t="s">
        <v>487</v>
      </c>
      <c r="I205" s="239" t="str">
        <f>IF(ISBLANK(input!I230),"",input!I230)</f>
        <v/>
      </c>
    </row>
    <row r="206" spans="1:15" ht="12.75" customHeight="1" x14ac:dyDescent="0.3">
      <c r="A206" s="759"/>
      <c r="B206" s="38"/>
      <c r="C206" s="38" t="s">
        <v>493</v>
      </c>
      <c r="D206" s="17"/>
      <c r="E206" s="17"/>
      <c r="F206" s="17"/>
      <c r="G206" s="38" t="s">
        <v>649</v>
      </c>
      <c r="H206" s="38" t="s">
        <v>487</v>
      </c>
      <c r="I206" s="239" t="str">
        <f>IF(ISBLANK(input!I231),"",input!I231)</f>
        <v/>
      </c>
    </row>
    <row r="207" spans="1:15" ht="12.75" customHeight="1" x14ac:dyDescent="0.3">
      <c r="A207" s="759"/>
      <c r="B207" s="38"/>
      <c r="C207" s="38" t="s">
        <v>495</v>
      </c>
      <c r="D207" s="17"/>
      <c r="E207" s="17"/>
      <c r="F207" s="17"/>
      <c r="G207" s="38" t="s">
        <v>650</v>
      </c>
      <c r="H207" s="38" t="s">
        <v>487</v>
      </c>
      <c r="I207" s="239" t="str">
        <f>IF(ISBLANK(input!I232),"",input!I232)</f>
        <v/>
      </c>
    </row>
    <row r="208" spans="1:15" ht="12.75" customHeight="1" x14ac:dyDescent="0.3">
      <c r="A208" s="759"/>
      <c r="B208" s="38"/>
      <c r="C208" s="38" t="s">
        <v>497</v>
      </c>
      <c r="D208" s="17"/>
      <c r="E208" s="17"/>
      <c r="F208" s="17"/>
      <c r="G208" s="38" t="s">
        <v>651</v>
      </c>
      <c r="H208" s="38" t="s">
        <v>487</v>
      </c>
      <c r="I208" s="239" t="str">
        <f>IF(ISBLANK(input!I233),"",input!I233)</f>
        <v/>
      </c>
    </row>
    <row r="209" spans="1:15" ht="12.75" customHeight="1" x14ac:dyDescent="0.3">
      <c r="A209" s="759"/>
      <c r="B209" s="38"/>
      <c r="C209" s="38" t="s">
        <v>500</v>
      </c>
      <c r="D209" s="17"/>
      <c r="E209" s="17"/>
      <c r="F209" s="17"/>
      <c r="G209" s="38" t="s">
        <v>652</v>
      </c>
      <c r="H209" s="38" t="s">
        <v>487</v>
      </c>
      <c r="I209" s="239" t="str">
        <f>IF(ISBLANK(input!I234),"",input!I234)</f>
        <v/>
      </c>
    </row>
    <row r="210" spans="1:15" ht="12.75" customHeight="1" x14ac:dyDescent="0.3">
      <c r="A210" s="759"/>
      <c r="B210" s="74" t="s">
        <v>211</v>
      </c>
      <c r="C210" s="17"/>
      <c r="D210" s="17"/>
      <c r="E210" s="17"/>
      <c r="F210" s="17"/>
      <c r="G210" s="149"/>
      <c r="H210" s="38"/>
      <c r="I210" s="239" t="str">
        <f>IF(ISBLANK(input!I235),"",input!I235)</f>
        <v/>
      </c>
      <c r="O210" s="262" t="s">
        <v>4241</v>
      </c>
    </row>
    <row r="211" spans="1:15" ht="12.75" customHeight="1" x14ac:dyDescent="0.3">
      <c r="A211" s="759"/>
      <c r="B211" s="38"/>
      <c r="C211" s="38" t="s">
        <v>485</v>
      </c>
      <c r="D211" s="17"/>
      <c r="E211" s="17"/>
      <c r="F211" s="17"/>
      <c r="G211" s="38" t="s">
        <v>653</v>
      </c>
      <c r="H211" s="38" t="s">
        <v>487</v>
      </c>
      <c r="I211" s="239" t="str">
        <f>IF(ISBLANK(input!I236),"",input!I236)</f>
        <v/>
      </c>
      <c r="O211" s="262" t="s">
        <v>4241</v>
      </c>
    </row>
    <row r="212" spans="1:15" ht="12.75" customHeight="1" x14ac:dyDescent="0.3">
      <c r="A212" s="759"/>
      <c r="B212" s="38"/>
      <c r="C212" s="38" t="s">
        <v>489</v>
      </c>
      <c r="D212" s="17"/>
      <c r="E212" s="17"/>
      <c r="F212" s="17"/>
      <c r="G212" s="38" t="s">
        <v>654</v>
      </c>
      <c r="H212" s="38" t="s">
        <v>487</v>
      </c>
      <c r="I212" s="239" t="str">
        <f>IF(ISBLANK(input!I237),"",input!I237)</f>
        <v/>
      </c>
      <c r="O212" s="262" t="s">
        <v>4241</v>
      </c>
    </row>
    <row r="213" spans="1:15" ht="12.75" customHeight="1" x14ac:dyDescent="0.3">
      <c r="A213" s="759"/>
      <c r="B213" s="38"/>
      <c r="C213" s="38" t="s">
        <v>491</v>
      </c>
      <c r="D213" s="17"/>
      <c r="E213" s="17"/>
      <c r="F213" s="17"/>
      <c r="G213" s="38" t="s">
        <v>655</v>
      </c>
      <c r="H213" s="38" t="s">
        <v>487</v>
      </c>
      <c r="I213" s="239" t="str">
        <f>IF(ISBLANK(input!I238),"",input!I238)</f>
        <v/>
      </c>
      <c r="O213" s="262" t="s">
        <v>4241</v>
      </c>
    </row>
    <row r="214" spans="1:15" ht="12.75" customHeight="1" x14ac:dyDescent="0.3">
      <c r="A214" s="759"/>
      <c r="B214" s="38"/>
      <c r="C214" s="38" t="s">
        <v>493</v>
      </c>
      <c r="D214" s="17"/>
      <c r="E214" s="17"/>
      <c r="F214" s="17"/>
      <c r="G214" s="38" t="s">
        <v>656</v>
      </c>
      <c r="H214" s="38" t="s">
        <v>487</v>
      </c>
      <c r="I214" s="239" t="str">
        <f>IF(ISBLANK(input!I239),"",input!I239)</f>
        <v/>
      </c>
      <c r="O214" s="262" t="s">
        <v>4241</v>
      </c>
    </row>
    <row r="215" spans="1:15" ht="12.75" customHeight="1" x14ac:dyDescent="0.3">
      <c r="A215" s="759"/>
      <c r="B215" s="38"/>
      <c r="C215" s="38" t="s">
        <v>495</v>
      </c>
      <c r="D215" s="17"/>
      <c r="E215" s="17"/>
      <c r="F215" s="17"/>
      <c r="G215" s="38" t="s">
        <v>657</v>
      </c>
      <c r="H215" s="38" t="s">
        <v>487</v>
      </c>
      <c r="I215" s="239" t="str">
        <f>IF(ISBLANK(input!I240),"",input!I240)</f>
        <v/>
      </c>
      <c r="O215" s="262" t="s">
        <v>4241</v>
      </c>
    </row>
    <row r="216" spans="1:15" ht="12.75" customHeight="1" x14ac:dyDescent="0.3">
      <c r="A216" s="759"/>
      <c r="B216" s="38"/>
      <c r="C216" s="38" t="s">
        <v>497</v>
      </c>
      <c r="D216" s="17"/>
      <c r="E216" s="17"/>
      <c r="F216" s="17"/>
      <c r="G216" s="38" t="s">
        <v>658</v>
      </c>
      <c r="H216" s="38" t="s">
        <v>487</v>
      </c>
      <c r="I216" s="239" t="str">
        <f>IF(ISBLANK(input!I241),"",input!I241)</f>
        <v/>
      </c>
      <c r="O216" s="262" t="s">
        <v>4241</v>
      </c>
    </row>
    <row r="217" spans="1:15" ht="12.75" customHeight="1" x14ac:dyDescent="0.3">
      <c r="A217" s="759"/>
      <c r="B217" s="38"/>
      <c r="C217" s="38" t="s">
        <v>500</v>
      </c>
      <c r="D217" s="17"/>
      <c r="E217" s="17"/>
      <c r="F217" s="17"/>
      <c r="G217" s="38" t="s">
        <v>659</v>
      </c>
      <c r="H217" s="38" t="s">
        <v>487</v>
      </c>
      <c r="I217" s="239" t="str">
        <f>IF(ISBLANK(input!I242),"",input!I242)</f>
        <v/>
      </c>
      <c r="O217" s="262" t="s">
        <v>4241</v>
      </c>
    </row>
    <row r="218" spans="1:15" ht="12.75" customHeight="1" x14ac:dyDescent="0.3">
      <c r="A218" s="759"/>
      <c r="B218" s="74" t="s">
        <v>227</v>
      </c>
      <c r="C218" s="17"/>
      <c r="D218" s="17"/>
      <c r="E218" s="17"/>
      <c r="F218" s="17"/>
      <c r="G218" s="149"/>
      <c r="H218" s="38"/>
      <c r="I218" s="239" t="str">
        <f>IF(ISBLANK(input!I243),"",input!I243)</f>
        <v/>
      </c>
      <c r="O218" s="262" t="s">
        <v>4241</v>
      </c>
    </row>
    <row r="219" spans="1:15" ht="12.75" customHeight="1" x14ac:dyDescent="0.3">
      <c r="A219" s="759"/>
      <c r="B219" s="38"/>
      <c r="C219" s="38" t="s">
        <v>485</v>
      </c>
      <c r="D219" s="17"/>
      <c r="E219" s="17"/>
      <c r="F219" s="17"/>
      <c r="G219" s="38" t="s">
        <v>660</v>
      </c>
      <c r="H219" s="38" t="s">
        <v>487</v>
      </c>
      <c r="I219" s="239" t="str">
        <f>IF(ISBLANK(input!I244),"",input!I244)</f>
        <v/>
      </c>
      <c r="O219" s="262" t="s">
        <v>4241</v>
      </c>
    </row>
    <row r="220" spans="1:15" ht="12.75" customHeight="1" x14ac:dyDescent="0.3">
      <c r="A220" s="759"/>
      <c r="B220" s="38"/>
      <c r="C220" s="38" t="s">
        <v>510</v>
      </c>
      <c r="D220" s="17"/>
      <c r="E220" s="17"/>
      <c r="F220" s="17"/>
      <c r="G220" s="38" t="s">
        <v>661</v>
      </c>
      <c r="H220" s="38" t="s">
        <v>487</v>
      </c>
      <c r="I220" s="239" t="str">
        <f>IF(ISBLANK(input!I245),"",input!I245)</f>
        <v/>
      </c>
      <c r="O220" s="262" t="s">
        <v>4241</v>
      </c>
    </row>
    <row r="221" spans="1:15" ht="12.75" customHeight="1" x14ac:dyDescent="0.3">
      <c r="A221" s="759"/>
      <c r="B221" s="38"/>
      <c r="C221" s="38" t="s">
        <v>512</v>
      </c>
      <c r="D221" s="17"/>
      <c r="E221" s="17"/>
      <c r="F221" s="17"/>
      <c r="G221" s="38" t="s">
        <v>662</v>
      </c>
      <c r="H221" s="38" t="s">
        <v>487</v>
      </c>
      <c r="I221" s="239" t="str">
        <f>IF(ISBLANK(input!I246),"",input!I246)</f>
        <v/>
      </c>
      <c r="O221" s="262" t="s">
        <v>4241</v>
      </c>
    </row>
    <row r="222" spans="1:15" ht="12.75" customHeight="1" x14ac:dyDescent="0.3">
      <c r="A222" s="759"/>
      <c r="B222" s="3" t="s">
        <v>228</v>
      </c>
      <c r="C222" s="38"/>
      <c r="D222" s="17"/>
      <c r="E222" s="17"/>
      <c r="F222" s="17"/>
      <c r="G222" s="149"/>
      <c r="H222" s="38"/>
      <c r="I222" s="239" t="str">
        <f>IF(ISBLANK(input!I247),"",input!I247)</f>
        <v/>
      </c>
      <c r="O222" s="262" t="s">
        <v>4241</v>
      </c>
    </row>
    <row r="223" spans="1:15" ht="12.75" customHeight="1" x14ac:dyDescent="0.3">
      <c r="A223" s="759"/>
      <c r="B223" s="38"/>
      <c r="C223" s="38" t="s">
        <v>485</v>
      </c>
      <c r="D223" s="17"/>
      <c r="E223" s="17"/>
      <c r="F223" s="17"/>
      <c r="G223" s="38" t="s">
        <v>663</v>
      </c>
      <c r="H223" s="38" t="s">
        <v>487</v>
      </c>
      <c r="I223" s="239" t="str">
        <f>IF(ISBLANK(input!I248),"",input!I248)</f>
        <v/>
      </c>
      <c r="O223" s="262" t="s">
        <v>4241</v>
      </c>
    </row>
    <row r="224" spans="1:15" ht="12.75" customHeight="1" x14ac:dyDescent="0.3">
      <c r="A224" s="759"/>
      <c r="B224" s="38"/>
      <c r="C224" s="38" t="s">
        <v>510</v>
      </c>
      <c r="D224" s="17"/>
      <c r="E224" s="17"/>
      <c r="F224" s="17"/>
      <c r="G224" s="38" t="s">
        <v>664</v>
      </c>
      <c r="H224" s="38" t="s">
        <v>487</v>
      </c>
      <c r="I224" s="239" t="str">
        <f>IF(ISBLANK(input!I249),"",input!I249)</f>
        <v/>
      </c>
      <c r="O224" s="262" t="s">
        <v>4241</v>
      </c>
    </row>
    <row r="225" spans="1:15" ht="12.75" customHeight="1" x14ac:dyDescent="0.3">
      <c r="A225" s="759"/>
      <c r="B225" s="38"/>
      <c r="C225" s="38" t="s">
        <v>512</v>
      </c>
      <c r="D225" s="17"/>
      <c r="E225" s="17"/>
      <c r="F225" s="17"/>
      <c r="G225" s="38" t="s">
        <v>665</v>
      </c>
      <c r="H225" s="38" t="s">
        <v>487</v>
      </c>
      <c r="I225" s="239" t="str">
        <f>IF(ISBLANK(input!I250),"",input!I250)</f>
        <v/>
      </c>
      <c r="O225" s="262" t="s">
        <v>4241</v>
      </c>
    </row>
    <row r="226" spans="1:15" ht="12.75" customHeight="1" x14ac:dyDescent="0.3">
      <c r="A226" s="759"/>
      <c r="B226" s="74" t="s">
        <v>517</v>
      </c>
      <c r="C226" s="17"/>
      <c r="D226" s="17"/>
      <c r="E226" s="17"/>
      <c r="F226" s="17"/>
      <c r="G226" s="149"/>
      <c r="H226" s="38"/>
      <c r="I226" s="239" t="str">
        <f>IF(ISBLANK(input!I251),"",input!I251)</f>
        <v/>
      </c>
      <c r="O226" s="262" t="s">
        <v>4241</v>
      </c>
    </row>
    <row r="227" spans="1:15" ht="12.75" customHeight="1" x14ac:dyDescent="0.3">
      <c r="A227" s="759"/>
      <c r="B227" s="38"/>
      <c r="C227" s="38" t="s">
        <v>485</v>
      </c>
      <c r="D227" s="17"/>
      <c r="E227" s="17"/>
      <c r="F227" s="17"/>
      <c r="G227" s="38" t="s">
        <v>666</v>
      </c>
      <c r="H227" s="38" t="s">
        <v>487</v>
      </c>
      <c r="I227" s="239" t="str">
        <f>IF(ISBLANK(input!I252),"",input!I252)</f>
        <v/>
      </c>
      <c r="O227" s="262" t="s">
        <v>4241</v>
      </c>
    </row>
    <row r="228" spans="1:15" ht="12.75" customHeight="1" x14ac:dyDescent="0.3">
      <c r="A228" s="759"/>
      <c r="B228" s="38"/>
      <c r="C228" s="38" t="s">
        <v>510</v>
      </c>
      <c r="D228" s="17"/>
      <c r="E228" s="17"/>
      <c r="F228" s="17"/>
      <c r="G228" s="38" t="s">
        <v>667</v>
      </c>
      <c r="H228" s="38" t="s">
        <v>487</v>
      </c>
      <c r="I228" s="239" t="str">
        <f>IF(ISBLANK(input!I253),"",input!I253)</f>
        <v/>
      </c>
      <c r="O228" s="262" t="s">
        <v>4241</v>
      </c>
    </row>
    <row r="229" spans="1:15" ht="12.75" customHeight="1" x14ac:dyDescent="0.3">
      <c r="A229" s="759"/>
      <c r="B229" s="38"/>
      <c r="C229" s="38" t="s">
        <v>512</v>
      </c>
      <c r="D229" s="17"/>
      <c r="E229" s="17"/>
      <c r="F229" s="17"/>
      <c r="G229" s="38" t="s">
        <v>668</v>
      </c>
      <c r="H229" s="38" t="s">
        <v>487</v>
      </c>
      <c r="I229" s="239" t="str">
        <f>IF(ISBLANK(input!I254),"",input!I254)</f>
        <v/>
      </c>
      <c r="O229" s="262" t="s">
        <v>4241</v>
      </c>
    </row>
    <row r="230" spans="1:15" ht="12.75" customHeight="1" x14ac:dyDescent="0.3">
      <c r="A230" s="17"/>
      <c r="B230" s="17"/>
      <c r="C230" s="17"/>
      <c r="D230" s="17"/>
      <c r="E230" s="17"/>
      <c r="F230" s="17"/>
      <c r="G230" s="38"/>
      <c r="H230" s="38"/>
      <c r="I230" s="239" t="str">
        <f>IF(ISBLANK(input!I255),"",input!I255)</f>
        <v/>
      </c>
      <c r="O230" s="262" t="s">
        <v>4241</v>
      </c>
    </row>
    <row r="231" spans="1:15" ht="12.75" customHeight="1" x14ac:dyDescent="0.3">
      <c r="A231" s="148" t="s">
        <v>669</v>
      </c>
      <c r="B231" s="147"/>
      <c r="C231" s="147"/>
      <c r="D231" s="147"/>
      <c r="E231" s="147"/>
      <c r="F231" s="147"/>
      <c r="G231" s="148" t="s">
        <v>258</v>
      </c>
      <c r="H231" s="148" t="s">
        <v>274</v>
      </c>
      <c r="I231" s="239" t="str">
        <f>IF(ISBLANK(input!I256),"",input!I256)</f>
        <v>User input</v>
      </c>
      <c r="O231" s="262" t="s">
        <v>259</v>
      </c>
    </row>
    <row r="232" spans="1:15" ht="12.75" customHeight="1" x14ac:dyDescent="0.3">
      <c r="A232" s="38"/>
      <c r="B232" s="17"/>
      <c r="C232" s="17"/>
      <c r="D232" s="17"/>
      <c r="E232" s="17"/>
      <c r="F232" s="17"/>
      <c r="G232" s="38"/>
      <c r="H232" s="38"/>
      <c r="I232" s="239" t="str">
        <f>IF(ISBLANK(input!I257),"",input!I257)</f>
        <v/>
      </c>
      <c r="O232" s="262" t="s">
        <v>4241</v>
      </c>
    </row>
    <row r="233" spans="1:15" ht="12.75" customHeight="1" x14ac:dyDescent="0.3">
      <c r="A233" s="3" t="s">
        <v>58</v>
      </c>
      <c r="B233" s="17"/>
      <c r="C233" s="17"/>
      <c r="D233" s="17"/>
      <c r="E233" s="17"/>
      <c r="F233" s="17"/>
      <c r="G233" s="17"/>
      <c r="H233" s="17"/>
      <c r="I233" s="239" t="str">
        <f>IF(ISBLANK(input!I258),"",input!I258)</f>
        <v/>
      </c>
      <c r="O233" s="262" t="s">
        <v>4241</v>
      </c>
    </row>
    <row r="234" spans="1:15" ht="12.75" customHeight="1" x14ac:dyDescent="0.3">
      <c r="A234" s="17"/>
      <c r="B234" s="17" t="s">
        <v>670</v>
      </c>
      <c r="C234" s="17"/>
      <c r="D234" s="17"/>
      <c r="E234" s="17"/>
      <c r="F234" s="17"/>
      <c r="G234" s="17" t="s">
        <v>671</v>
      </c>
      <c r="H234" s="146" t="s">
        <v>672</v>
      </c>
      <c r="I234" s="239" t="str">
        <f>IF(ISBLANK(input!I259),"",input!I259)</f>
        <v/>
      </c>
      <c r="L234" s="262">
        <v>0</v>
      </c>
      <c r="O234" s="262" t="s">
        <v>4241</v>
      </c>
    </row>
    <row r="235" spans="1:15" ht="12.75" customHeight="1" x14ac:dyDescent="0.3">
      <c r="A235" s="17"/>
      <c r="B235" s="17" t="s">
        <v>674</v>
      </c>
      <c r="C235" s="17"/>
      <c r="D235" s="17"/>
      <c r="E235" s="17"/>
      <c r="F235" s="17"/>
      <c r="G235" s="17" t="s">
        <v>675</v>
      </c>
      <c r="H235" s="146" t="s">
        <v>672</v>
      </c>
      <c r="I235" s="239" t="str">
        <f>IF(ISBLANK(input!I260),"",input!I260)</f>
        <v/>
      </c>
      <c r="L235" s="262">
        <v>0</v>
      </c>
      <c r="O235" s="262" t="s">
        <v>4241</v>
      </c>
    </row>
    <row r="236" spans="1:15" ht="12.75" customHeight="1" x14ac:dyDescent="0.3">
      <c r="A236" s="17"/>
      <c r="B236" s="17" t="s">
        <v>676</v>
      </c>
      <c r="C236" s="17"/>
      <c r="D236" s="17"/>
      <c r="E236" s="17"/>
      <c r="F236" s="17"/>
      <c r="G236" s="17" t="s">
        <v>677</v>
      </c>
      <c r="H236" s="17" t="s">
        <v>292</v>
      </c>
      <c r="I236" s="239" t="str">
        <f>IF(ISBLANK(input!I261),"",input!I261)</f>
        <v/>
      </c>
      <c r="O236" s="262" t="s">
        <v>4241</v>
      </c>
    </row>
    <row r="237" spans="1:15" ht="12.75" customHeight="1" x14ac:dyDescent="0.3">
      <c r="A237" s="17"/>
      <c r="B237" s="17" t="s">
        <v>678</v>
      </c>
      <c r="C237" s="17"/>
      <c r="D237" s="17"/>
      <c r="E237" s="17"/>
      <c r="F237" s="17"/>
      <c r="G237" s="17" t="s">
        <v>679</v>
      </c>
      <c r="H237" s="17" t="s">
        <v>292</v>
      </c>
      <c r="I237" s="239" t="str">
        <f>IF(ISBLANK(input!I262),"",input!I262)</f>
        <v/>
      </c>
      <c r="O237" s="262" t="s">
        <v>4241</v>
      </c>
    </row>
    <row r="238" spans="1:15" ht="12.75" customHeight="1" x14ac:dyDescent="0.3">
      <c r="A238" s="17"/>
      <c r="B238" s="17" t="s">
        <v>680</v>
      </c>
      <c r="C238" s="17"/>
      <c r="D238" s="17"/>
      <c r="E238" s="17"/>
      <c r="F238" s="17"/>
      <c r="G238" s="17" t="s">
        <v>681</v>
      </c>
      <c r="H238" s="17" t="s">
        <v>292</v>
      </c>
      <c r="I238" s="239" t="str">
        <f>IF(ISBLANK(input!I263),"",input!I263)</f>
        <v/>
      </c>
      <c r="O238" s="262" t="s">
        <v>4241</v>
      </c>
    </row>
    <row r="239" spans="1:15" ht="12.75" customHeight="1" x14ac:dyDescent="0.3">
      <c r="A239" s="17"/>
      <c r="B239" s="17" t="s">
        <v>682</v>
      </c>
      <c r="C239" s="17"/>
      <c r="D239" s="17"/>
      <c r="E239" s="17"/>
      <c r="F239" s="17"/>
      <c r="G239" s="17" t="s">
        <v>683</v>
      </c>
      <c r="H239" s="17" t="s">
        <v>292</v>
      </c>
      <c r="I239" s="239" t="str">
        <f>IF(ISBLANK(input!I264),"",input!I264)</f>
        <v/>
      </c>
      <c r="O239" s="262" t="s">
        <v>4241</v>
      </c>
    </row>
    <row r="240" spans="1:15" ht="12.75" customHeight="1" x14ac:dyDescent="0.3">
      <c r="A240" s="17"/>
      <c r="B240" s="17" t="s">
        <v>684</v>
      </c>
      <c r="C240" s="17"/>
      <c r="D240" s="17"/>
      <c r="E240" s="17"/>
      <c r="F240" s="17"/>
      <c r="G240" s="17" t="s">
        <v>685</v>
      </c>
      <c r="H240" s="17" t="s">
        <v>292</v>
      </c>
      <c r="I240" s="239" t="str">
        <f>IF(ISBLANK(input!I265),"",input!I265)</f>
        <v/>
      </c>
      <c r="O240" s="262" t="s">
        <v>4241</v>
      </c>
    </row>
    <row r="241" spans="1:15" ht="12.75" customHeight="1" x14ac:dyDescent="0.3">
      <c r="A241" s="17"/>
      <c r="B241" s="17" t="s">
        <v>686</v>
      </c>
      <c r="C241" s="17"/>
      <c r="D241" s="17"/>
      <c r="E241" s="17"/>
      <c r="F241" s="17"/>
      <c r="G241" s="17" t="s">
        <v>687</v>
      </c>
      <c r="H241" s="17" t="s">
        <v>585</v>
      </c>
      <c r="I241" s="239" t="str">
        <f>IF(ISBLANK(input!I266),"",input!I266)</f>
        <v/>
      </c>
      <c r="O241" s="262" t="s">
        <v>4241</v>
      </c>
    </row>
    <row r="242" spans="1:15" ht="12.75" customHeight="1" x14ac:dyDescent="0.3">
      <c r="A242" s="228"/>
      <c r="B242" s="228" t="s">
        <v>688</v>
      </c>
      <c r="C242" s="228"/>
      <c r="D242" s="228"/>
      <c r="E242" s="228"/>
      <c r="F242" s="228"/>
      <c r="G242" s="228" t="s">
        <v>689</v>
      </c>
      <c r="H242" s="228" t="s">
        <v>690</v>
      </c>
      <c r="I242" s="239" t="str">
        <f>IF(ISBLANK(input!I267),"",input!I267)</f>
        <v/>
      </c>
      <c r="O242" s="262" t="s">
        <v>4241</v>
      </c>
    </row>
    <row r="243" spans="1:15" ht="12.75" customHeight="1" x14ac:dyDescent="0.3">
      <c r="A243" s="17"/>
      <c r="B243" s="17" t="s">
        <v>691</v>
      </c>
      <c r="C243" s="17"/>
      <c r="D243" s="17"/>
      <c r="E243" s="17"/>
      <c r="F243" s="17"/>
      <c r="G243" s="17" t="s">
        <v>692</v>
      </c>
      <c r="H243" s="17" t="s">
        <v>693</v>
      </c>
      <c r="I243" s="239" t="str">
        <f>IF(ISBLANK(input!I268),"",input!I268)</f>
        <v/>
      </c>
      <c r="O243" s="262" t="s">
        <v>4241</v>
      </c>
    </row>
    <row r="244" spans="1:15" ht="12.75" customHeight="1" x14ac:dyDescent="0.3">
      <c r="A244" s="17"/>
      <c r="B244" s="17" t="s">
        <v>694</v>
      </c>
      <c r="C244" s="17"/>
      <c r="D244" s="17"/>
      <c r="E244" s="17"/>
      <c r="F244" s="17"/>
      <c r="G244" s="17" t="s">
        <v>695</v>
      </c>
      <c r="H244" s="17" t="s">
        <v>279</v>
      </c>
      <c r="I244" s="239" t="str">
        <f>IF(ISBLANK(input!I269),"",input!I269)</f>
        <v/>
      </c>
      <c r="O244" s="262" t="s">
        <v>4241</v>
      </c>
    </row>
    <row r="245" spans="1:15" ht="12.75" customHeight="1" x14ac:dyDescent="0.3">
      <c r="A245" s="17"/>
      <c r="B245" s="17" t="s">
        <v>696</v>
      </c>
      <c r="C245" s="17"/>
      <c r="D245" s="17"/>
      <c r="E245" s="17"/>
      <c r="F245" s="17"/>
      <c r="G245" s="17" t="s">
        <v>697</v>
      </c>
      <c r="H245" s="17" t="s">
        <v>279</v>
      </c>
      <c r="I245" s="239" t="str">
        <f>IF(ISBLANK(input!I270),"",input!I270)</f>
        <v/>
      </c>
      <c r="O245" s="262" t="s">
        <v>4241</v>
      </c>
    </row>
    <row r="246" spans="1:15" ht="12.75" customHeight="1" x14ac:dyDescent="0.3">
      <c r="A246" s="17"/>
      <c r="B246" s="17" t="s">
        <v>698</v>
      </c>
      <c r="C246" s="17"/>
      <c r="D246" s="17"/>
      <c r="E246" s="17"/>
      <c r="F246" s="17"/>
      <c r="G246" s="17" t="s">
        <v>699</v>
      </c>
      <c r="H246" s="17" t="s">
        <v>292</v>
      </c>
      <c r="I246" s="239" t="str">
        <f>IF(ISBLANK(input!I271),"",input!I271)</f>
        <v/>
      </c>
      <c r="O246" s="262" t="s">
        <v>4241</v>
      </c>
    </row>
    <row r="247" spans="1:15" ht="12.75" customHeight="1" x14ac:dyDescent="0.3">
      <c r="A247" s="17"/>
      <c r="B247" s="17" t="s">
        <v>700</v>
      </c>
      <c r="C247" s="17"/>
      <c r="D247" s="17"/>
      <c r="E247" s="17"/>
      <c r="F247" s="17"/>
      <c r="G247" s="17" t="s">
        <v>701</v>
      </c>
      <c r="H247" s="17" t="s">
        <v>292</v>
      </c>
      <c r="I247" s="239" t="str">
        <f>IF(ISBLANK(input!I272),"",input!I272)</f>
        <v/>
      </c>
      <c r="O247" s="262" t="s">
        <v>4241</v>
      </c>
    </row>
    <row r="248" spans="1:15" ht="12.75" customHeight="1" x14ac:dyDescent="0.3">
      <c r="A248" s="17"/>
      <c r="B248" s="17" t="s">
        <v>702</v>
      </c>
      <c r="C248" s="17"/>
      <c r="D248" s="17"/>
      <c r="E248" s="17"/>
      <c r="F248" s="17"/>
      <c r="G248" s="17" t="s">
        <v>703</v>
      </c>
      <c r="H248" s="17" t="s">
        <v>292</v>
      </c>
      <c r="I248" s="239" t="str">
        <f>IF(ISBLANK(input!I273),"",input!I273)</f>
        <v/>
      </c>
      <c r="O248" s="262" t="s">
        <v>4241</v>
      </c>
    </row>
    <row r="249" spans="1:15" ht="12.75" customHeight="1" x14ac:dyDescent="0.3">
      <c r="A249" s="17"/>
      <c r="B249" s="17" t="s">
        <v>704</v>
      </c>
      <c r="C249" s="17"/>
      <c r="D249" s="17"/>
      <c r="E249" s="17"/>
      <c r="F249" s="17"/>
      <c r="G249" s="17" t="s">
        <v>705</v>
      </c>
      <c r="H249" s="17" t="s">
        <v>693</v>
      </c>
      <c r="I249" s="239" t="str">
        <f>IF(ISBLANK(input!I274),"",input!I274)</f>
        <v/>
      </c>
      <c r="J249" s="228"/>
      <c r="O249" s="262" t="s">
        <v>4241</v>
      </c>
    </row>
    <row r="250" spans="1:15" ht="12.75" customHeight="1" x14ac:dyDescent="0.3">
      <c r="A250" s="566"/>
      <c r="B250" s="577" t="s">
        <v>706</v>
      </c>
      <c r="C250" s="584"/>
      <c r="D250" s="566"/>
      <c r="E250" s="566"/>
      <c r="F250" s="566"/>
      <c r="G250" s="566" t="s">
        <v>707</v>
      </c>
      <c r="H250" s="567" t="s">
        <v>708</v>
      </c>
      <c r="I250" s="239" t="str">
        <f>IF(ISBLANK(input!I275),"",input!I275)</f>
        <v/>
      </c>
      <c r="J250" s="411"/>
      <c r="O250" s="262" t="s">
        <v>4241</v>
      </c>
    </row>
    <row r="251" spans="1:15" ht="12.75" customHeight="1" x14ac:dyDescent="0.3">
      <c r="A251" s="566"/>
      <c r="B251" s="577" t="s">
        <v>710</v>
      </c>
      <c r="C251" s="584"/>
      <c r="D251" s="566"/>
      <c r="E251" s="566"/>
      <c r="F251" s="566"/>
      <c r="G251" s="566" t="s">
        <v>711</v>
      </c>
      <c r="H251" s="567" t="s">
        <v>708</v>
      </c>
      <c r="I251" s="239" t="str">
        <f>IF(ISBLANK(input!I276),"",input!I276)</f>
        <v/>
      </c>
      <c r="J251" s="216"/>
      <c r="O251" s="262" t="s">
        <v>4241</v>
      </c>
    </row>
    <row r="252" spans="1:15" ht="12.75" customHeight="1" x14ac:dyDescent="0.3">
      <c r="A252" s="566"/>
      <c r="B252" s="577" t="s">
        <v>712</v>
      </c>
      <c r="C252" s="566"/>
      <c r="D252" s="566"/>
      <c r="E252" s="566"/>
      <c r="F252" s="566"/>
      <c r="G252" s="566" t="s">
        <v>713</v>
      </c>
      <c r="H252" s="567" t="s">
        <v>708</v>
      </c>
      <c r="I252" s="239" t="str">
        <f>IF(ISBLANK(input!I277),"",input!I277)</f>
        <v/>
      </c>
      <c r="O252" s="262" t="s">
        <v>4241</v>
      </c>
    </row>
    <row r="253" spans="1:15" ht="12.75" customHeight="1" x14ac:dyDescent="0.3">
      <c r="A253" s="216"/>
      <c r="B253" s="608" t="s">
        <v>714</v>
      </c>
      <c r="C253" s="958"/>
      <c r="D253" s="228"/>
      <c r="E253" s="228"/>
      <c r="F253" s="228"/>
      <c r="G253" s="578" t="s">
        <v>715</v>
      </c>
      <c r="H253" s="216" t="s">
        <v>716</v>
      </c>
      <c r="I253" s="239" t="str">
        <f>IF(ISBLANK(input!I278),"",input!I278)</f>
        <v/>
      </c>
      <c r="O253" s="262" t="s">
        <v>4241</v>
      </c>
    </row>
    <row r="254" spans="1:15" ht="12.75" customHeight="1" x14ac:dyDescent="0.3">
      <c r="A254" s="216"/>
      <c r="B254" s="608" t="s">
        <v>714</v>
      </c>
      <c r="C254" s="958"/>
      <c r="D254" s="228"/>
      <c r="E254" s="228"/>
      <c r="F254" s="228"/>
      <c r="G254" s="578" t="s">
        <v>718</v>
      </c>
      <c r="H254" s="216" t="s">
        <v>716</v>
      </c>
      <c r="I254" s="239" t="str">
        <f>IF(ISBLANK(input!I279),"",input!I279)</f>
        <v/>
      </c>
      <c r="O254" s="262" t="s">
        <v>4241</v>
      </c>
    </row>
    <row r="255" spans="1:15" ht="12.75" customHeight="1" x14ac:dyDescent="0.3">
      <c r="A255" s="216"/>
      <c r="B255" s="608" t="s">
        <v>714</v>
      </c>
      <c r="C255" s="958"/>
      <c r="D255" s="228"/>
      <c r="E255" s="228"/>
      <c r="F255" s="228"/>
      <c r="G255" s="578" t="s">
        <v>719</v>
      </c>
      <c r="H255" s="216" t="s">
        <v>716</v>
      </c>
      <c r="I255" s="239" t="str">
        <f>IF(ISBLANK(input!I280),"",input!I280)</f>
        <v/>
      </c>
      <c r="O255" s="262" t="s">
        <v>4241</v>
      </c>
    </row>
    <row r="256" spans="1:15" ht="12.75" customHeight="1" x14ac:dyDescent="0.3">
      <c r="A256" s="216"/>
      <c r="B256" s="608" t="s">
        <v>720</v>
      </c>
      <c r="C256" s="958"/>
      <c r="D256" s="228"/>
      <c r="E256" s="228"/>
      <c r="F256" s="228"/>
      <c r="G256" s="578" t="s">
        <v>721</v>
      </c>
      <c r="H256" s="216" t="s">
        <v>579</v>
      </c>
      <c r="I256" s="239" t="str">
        <f>IF(ISBLANK(input!I281),"",input!I281)</f>
        <v/>
      </c>
      <c r="O256" s="262" t="s">
        <v>4241</v>
      </c>
    </row>
    <row r="257" spans="1:15" ht="12.75" customHeight="1" x14ac:dyDescent="0.3">
      <c r="A257" s="216"/>
      <c r="B257" s="608" t="s">
        <v>723</v>
      </c>
      <c r="C257" s="958"/>
      <c r="D257" s="228"/>
      <c r="E257" s="228"/>
      <c r="F257" s="228"/>
      <c r="G257" s="578" t="s">
        <v>724</v>
      </c>
      <c r="H257" s="216" t="s">
        <v>579</v>
      </c>
      <c r="I257" s="239" t="str">
        <f>IF(ISBLANK(input!I282),"",input!I282)</f>
        <v/>
      </c>
      <c r="O257" s="262" t="s">
        <v>4241</v>
      </c>
    </row>
    <row r="258" spans="1:15" ht="12.75" customHeight="1" x14ac:dyDescent="0.3">
      <c r="A258" s="216"/>
      <c r="B258" s="608" t="s">
        <v>725</v>
      </c>
      <c r="C258" s="958"/>
      <c r="D258" s="228"/>
      <c r="E258" s="228"/>
      <c r="F258" s="228"/>
      <c r="G258" s="578" t="s">
        <v>726</v>
      </c>
      <c r="H258" s="216" t="s">
        <v>579</v>
      </c>
      <c r="I258" s="239" t="str">
        <f>IF(ISBLANK(input!I283),"",input!I283)</f>
        <v/>
      </c>
      <c r="O258" s="262" t="s">
        <v>4241</v>
      </c>
    </row>
    <row r="259" spans="1:15" ht="12.75" customHeight="1" x14ac:dyDescent="0.3">
      <c r="A259" s="566"/>
      <c r="B259" s="577" t="s">
        <v>727</v>
      </c>
      <c r="C259" s="566"/>
      <c r="D259" s="566"/>
      <c r="E259" s="566"/>
      <c r="F259" s="566"/>
      <c r="G259" s="781" t="s">
        <v>728</v>
      </c>
      <c r="H259" s="567" t="s">
        <v>729</v>
      </c>
      <c r="I259" s="239" t="str">
        <f>IF(ISBLANK(input!I284),"",input!I284)</f>
        <v/>
      </c>
      <c r="O259" s="262" t="s">
        <v>4241</v>
      </c>
    </row>
    <row r="260" spans="1:15" ht="12.75" customHeight="1" x14ac:dyDescent="0.3">
      <c r="A260" s="216"/>
      <c r="B260" s="228"/>
      <c r="C260" s="216"/>
      <c r="D260" s="228"/>
      <c r="E260" s="228"/>
      <c r="F260" s="228"/>
      <c r="G260" s="578"/>
      <c r="H260" s="216"/>
      <c r="I260" s="239" t="str">
        <f>IF(ISBLANK(input!I285),"",input!I285)</f>
        <v/>
      </c>
      <c r="O260" s="262" t="s">
        <v>4241</v>
      </c>
    </row>
    <row r="261" spans="1:15" ht="12.75" customHeight="1" x14ac:dyDescent="0.3">
      <c r="A261" s="3" t="s">
        <v>211</v>
      </c>
      <c r="B261" s="17"/>
      <c r="C261" s="17"/>
      <c r="D261" s="17"/>
      <c r="E261" s="17"/>
      <c r="F261" s="17"/>
      <c r="G261" s="17"/>
      <c r="H261" s="17"/>
      <c r="I261" s="239" t="str">
        <f>IF(ISBLANK(input!I286),"",input!I286)</f>
        <v/>
      </c>
      <c r="O261" s="262" t="s">
        <v>4241</v>
      </c>
    </row>
    <row r="262" spans="1:15" ht="12.75" customHeight="1" x14ac:dyDescent="0.3">
      <c r="A262" s="17"/>
      <c r="B262" s="17" t="s">
        <v>670</v>
      </c>
      <c r="C262" s="17"/>
      <c r="D262" s="17"/>
      <c r="E262" s="17"/>
      <c r="F262" s="17"/>
      <c r="G262" s="17" t="s">
        <v>732</v>
      </c>
      <c r="H262" s="146" t="s">
        <v>672</v>
      </c>
      <c r="I262" s="239" t="str">
        <f>IF(ISBLANK(input!I287),"",input!I287)</f>
        <v/>
      </c>
      <c r="O262" s="262" t="s">
        <v>4241</v>
      </c>
    </row>
    <row r="263" spans="1:15" ht="12.75" customHeight="1" x14ac:dyDescent="0.3">
      <c r="A263" s="17"/>
      <c r="B263" s="17" t="s">
        <v>674</v>
      </c>
      <c r="C263" s="17"/>
      <c r="D263" s="17"/>
      <c r="E263" s="17"/>
      <c r="F263" s="17"/>
      <c r="G263" s="17" t="s">
        <v>733</v>
      </c>
      <c r="H263" s="146" t="s">
        <v>672</v>
      </c>
      <c r="I263" s="239" t="str">
        <f>IF(ISBLANK(input!I288),"",input!I288)</f>
        <v/>
      </c>
      <c r="O263" s="262" t="s">
        <v>4241</v>
      </c>
    </row>
    <row r="264" spans="1:15" ht="12.75" customHeight="1" x14ac:dyDescent="0.3">
      <c r="A264" s="17"/>
      <c r="B264" s="17" t="s">
        <v>678</v>
      </c>
      <c r="C264" s="17"/>
      <c r="D264" s="17"/>
      <c r="E264" s="17"/>
      <c r="F264" s="17"/>
      <c r="G264" s="17" t="s">
        <v>734</v>
      </c>
      <c r="H264" s="17" t="s">
        <v>292</v>
      </c>
      <c r="I264" s="239" t="str">
        <f>IF(ISBLANK(input!I291),"",input!I291)</f>
        <v/>
      </c>
      <c r="O264" s="262" t="s">
        <v>4241</v>
      </c>
    </row>
    <row r="265" spans="1:15" ht="12.75" customHeight="1" x14ac:dyDescent="0.3">
      <c r="A265" s="17"/>
      <c r="B265" s="17" t="s">
        <v>678</v>
      </c>
      <c r="C265" s="17"/>
      <c r="D265" s="17"/>
      <c r="E265" s="17"/>
      <c r="F265" s="17"/>
      <c r="G265" s="17" t="s">
        <v>735</v>
      </c>
      <c r="H265" s="17" t="s">
        <v>292</v>
      </c>
      <c r="I265" s="239" t="str">
        <f>IF(ISBLANK(input!I292),"",input!I292)</f>
        <v/>
      </c>
      <c r="O265" s="262" t="s">
        <v>4241</v>
      </c>
    </row>
    <row r="266" spans="1:15" ht="12.75" customHeight="1" x14ac:dyDescent="0.3">
      <c r="A266" s="17"/>
      <c r="B266" s="17" t="s">
        <v>680</v>
      </c>
      <c r="C266" s="17"/>
      <c r="D266" s="17"/>
      <c r="E266" s="17"/>
      <c r="F266" s="17"/>
      <c r="G266" s="17" t="s">
        <v>736</v>
      </c>
      <c r="H266" s="17" t="s">
        <v>292</v>
      </c>
      <c r="I266" s="239" t="str">
        <f>IF(ISBLANK(input!I293),"",input!I293)</f>
        <v/>
      </c>
      <c r="O266" s="262" t="s">
        <v>4241</v>
      </c>
    </row>
    <row r="267" spans="1:15" ht="12.75" customHeight="1" x14ac:dyDescent="0.3">
      <c r="A267" s="17"/>
      <c r="B267" s="17" t="s">
        <v>682</v>
      </c>
      <c r="C267" s="17"/>
      <c r="D267" s="17"/>
      <c r="E267" s="17"/>
      <c r="F267" s="17"/>
      <c r="G267" s="17" t="s">
        <v>737</v>
      </c>
      <c r="H267" s="17" t="s">
        <v>292</v>
      </c>
      <c r="I267" s="239" t="str">
        <f>IF(ISBLANK(input!I294),"",input!I294)</f>
        <v/>
      </c>
      <c r="O267" s="262" t="s">
        <v>4241</v>
      </c>
    </row>
    <row r="268" spans="1:15" ht="12.75" customHeight="1" x14ac:dyDescent="0.3">
      <c r="A268" s="17"/>
      <c r="B268" s="17" t="s">
        <v>684</v>
      </c>
      <c r="C268" s="17"/>
      <c r="D268" s="17"/>
      <c r="E268" s="17"/>
      <c r="F268" s="17"/>
      <c r="G268" s="17" t="s">
        <v>738</v>
      </c>
      <c r="H268" s="17" t="s">
        <v>292</v>
      </c>
      <c r="I268" s="239" t="str">
        <f>IF(ISBLANK(input!I295),"",input!I295)</f>
        <v/>
      </c>
      <c r="O268" s="262" t="s">
        <v>4241</v>
      </c>
    </row>
    <row r="269" spans="1:15" ht="12.75" customHeight="1" x14ac:dyDescent="0.3">
      <c r="A269" s="17"/>
      <c r="B269" s="17" t="s">
        <v>686</v>
      </c>
      <c r="C269" s="17"/>
      <c r="D269" s="17"/>
      <c r="E269" s="17"/>
      <c r="F269" s="17"/>
      <c r="G269" s="17" t="s">
        <v>739</v>
      </c>
      <c r="H269" s="17" t="s">
        <v>585</v>
      </c>
      <c r="I269" s="239" t="str">
        <f>IF(ISBLANK(input!I296),"",input!I296)</f>
        <v/>
      </c>
      <c r="O269" s="262" t="s">
        <v>4241</v>
      </c>
    </row>
    <row r="270" spans="1:15" ht="12.75" customHeight="1" x14ac:dyDescent="0.3">
      <c r="A270" s="17"/>
      <c r="B270" s="17" t="s">
        <v>688</v>
      </c>
      <c r="C270" s="17"/>
      <c r="D270" s="17"/>
      <c r="E270" s="17"/>
      <c r="F270" s="17"/>
      <c r="G270" s="17" t="s">
        <v>740</v>
      </c>
      <c r="H270" s="17" t="s">
        <v>690</v>
      </c>
      <c r="I270" s="239" t="str">
        <f>IF(ISBLANK(input!I297),"",input!I297)</f>
        <v/>
      </c>
      <c r="O270" s="262" t="s">
        <v>4241</v>
      </c>
    </row>
    <row r="271" spans="1:15" ht="12.75" customHeight="1" x14ac:dyDescent="0.3">
      <c r="A271" s="17"/>
      <c r="B271" s="17" t="s">
        <v>691</v>
      </c>
      <c r="C271" s="17"/>
      <c r="D271" s="17"/>
      <c r="E271" s="17"/>
      <c r="F271" s="17"/>
      <c r="G271" s="17" t="s">
        <v>741</v>
      </c>
      <c r="H271" s="17" t="s">
        <v>693</v>
      </c>
      <c r="I271" s="239" t="str">
        <f>IF(ISBLANK(input!I298),"",input!I298)</f>
        <v/>
      </c>
      <c r="O271" s="262" t="s">
        <v>4241</v>
      </c>
    </row>
    <row r="272" spans="1:15" ht="12.75" customHeight="1" x14ac:dyDescent="0.3">
      <c r="A272" s="17"/>
      <c r="B272" s="17" t="s">
        <v>696</v>
      </c>
      <c r="C272" s="17"/>
      <c r="D272" s="17"/>
      <c r="E272" s="17"/>
      <c r="F272" s="17"/>
      <c r="G272" s="17" t="s">
        <v>742</v>
      </c>
      <c r="H272" s="17" t="s">
        <v>279</v>
      </c>
      <c r="I272" s="239" t="str">
        <f>IF(ISBLANK(input!I299),"",input!I299)</f>
        <v/>
      </c>
      <c r="O272" s="262" t="s">
        <v>4241</v>
      </c>
    </row>
    <row r="273" spans="1:15" ht="12.75" customHeight="1" x14ac:dyDescent="0.3">
      <c r="A273" s="17"/>
      <c r="B273" s="17" t="s">
        <v>696</v>
      </c>
      <c r="C273" s="17"/>
      <c r="D273" s="17"/>
      <c r="E273" s="17"/>
      <c r="F273" s="17"/>
      <c r="G273" s="17" t="s">
        <v>743</v>
      </c>
      <c r="H273" s="17" t="s">
        <v>279</v>
      </c>
      <c r="I273" s="239" t="str">
        <f>IF(ISBLANK(input!I300),"",input!I300)</f>
        <v/>
      </c>
      <c r="O273" s="262" t="s">
        <v>4241</v>
      </c>
    </row>
    <row r="274" spans="1:15" ht="12.75" customHeight="1" x14ac:dyDescent="0.3">
      <c r="A274" s="17"/>
      <c r="B274" s="17" t="s">
        <v>744</v>
      </c>
      <c r="C274" s="17"/>
      <c r="D274" s="17"/>
      <c r="E274" s="17"/>
      <c r="F274" s="17"/>
      <c r="G274" s="17" t="s">
        <v>745</v>
      </c>
      <c r="H274" s="17" t="s">
        <v>292</v>
      </c>
      <c r="I274" s="239" t="str">
        <f>IF(ISBLANK(input!I301),"",input!I301)</f>
        <v/>
      </c>
      <c r="O274" s="262" t="s">
        <v>4241</v>
      </c>
    </row>
    <row r="275" spans="1:15" ht="12.75" customHeight="1" x14ac:dyDescent="0.3">
      <c r="A275" s="17"/>
      <c r="B275" s="17" t="s">
        <v>702</v>
      </c>
      <c r="C275" s="17"/>
      <c r="D275" s="17"/>
      <c r="E275" s="17"/>
      <c r="F275" s="17"/>
      <c r="G275" s="17" t="s">
        <v>746</v>
      </c>
      <c r="H275" s="17" t="s">
        <v>292</v>
      </c>
      <c r="I275" s="239" t="str">
        <f>IF(ISBLANK(input!I302),"",input!I302)</f>
        <v/>
      </c>
      <c r="O275" s="262" t="s">
        <v>4241</v>
      </c>
    </row>
    <row r="276" spans="1:15" ht="12.75" customHeight="1" x14ac:dyDescent="0.3">
      <c r="A276" s="17"/>
      <c r="B276" s="17" t="s">
        <v>700</v>
      </c>
      <c r="C276" s="17"/>
      <c r="D276" s="17"/>
      <c r="E276" s="17"/>
      <c r="F276" s="17"/>
      <c r="G276" s="17" t="s">
        <v>747</v>
      </c>
      <c r="H276" s="17" t="s">
        <v>292</v>
      </c>
      <c r="I276" s="239" t="str">
        <f>IF(ISBLANK(input!I303),"",input!I303)</f>
        <v/>
      </c>
      <c r="O276" s="262" t="s">
        <v>4241</v>
      </c>
    </row>
    <row r="277" spans="1:15" ht="12.75" customHeight="1" x14ac:dyDescent="0.3">
      <c r="A277" s="17"/>
      <c r="B277" s="17" t="s">
        <v>704</v>
      </c>
      <c r="C277" s="17"/>
      <c r="D277" s="17"/>
      <c r="E277" s="17"/>
      <c r="F277" s="17"/>
      <c r="G277" s="17" t="s">
        <v>748</v>
      </c>
      <c r="H277" s="17" t="s">
        <v>693</v>
      </c>
      <c r="I277" s="239" t="str">
        <f>IF(ISBLANK(input!I304),"",input!I304)</f>
        <v/>
      </c>
      <c r="O277" s="262" t="s">
        <v>4241</v>
      </c>
    </row>
    <row r="278" spans="1:15" ht="12.75" customHeight="1" x14ac:dyDescent="0.3">
      <c r="A278" s="566"/>
      <c r="B278" s="577" t="s">
        <v>706</v>
      </c>
      <c r="C278" s="566"/>
      <c r="D278" s="566"/>
      <c r="E278" s="566"/>
      <c r="F278" s="566"/>
      <c r="G278" s="566" t="s">
        <v>749</v>
      </c>
      <c r="H278" s="567" t="s">
        <v>708</v>
      </c>
      <c r="I278" s="239" t="str">
        <f>IF(ISBLANK(input!I305),"",input!I305)</f>
        <v/>
      </c>
      <c r="O278" s="262" t="s">
        <v>4241</v>
      </c>
    </row>
    <row r="279" spans="1:15" ht="12.75" customHeight="1" x14ac:dyDescent="0.3">
      <c r="A279" s="566"/>
      <c r="B279" s="577" t="s">
        <v>710</v>
      </c>
      <c r="C279" s="566"/>
      <c r="D279" s="566"/>
      <c r="E279" s="566"/>
      <c r="F279" s="566"/>
      <c r="G279" s="566" t="s">
        <v>750</v>
      </c>
      <c r="H279" s="567" t="s">
        <v>708</v>
      </c>
      <c r="I279" s="239" t="str">
        <f>IF(ISBLANK(input!I306),"",input!I306)</f>
        <v/>
      </c>
      <c r="O279" s="262" t="s">
        <v>4241</v>
      </c>
    </row>
    <row r="280" spans="1:15" ht="12.75" customHeight="1" x14ac:dyDescent="0.3">
      <c r="A280" s="566"/>
      <c r="B280" s="577" t="s">
        <v>712</v>
      </c>
      <c r="C280" s="566"/>
      <c r="D280" s="566"/>
      <c r="E280" s="566"/>
      <c r="F280" s="566"/>
      <c r="G280" s="566" t="s">
        <v>751</v>
      </c>
      <c r="H280" s="567" t="s">
        <v>708</v>
      </c>
      <c r="I280" s="239" t="str">
        <f>IF(ISBLANK(input!I307),"",input!I307)</f>
        <v/>
      </c>
      <c r="O280" s="262" t="s">
        <v>4241</v>
      </c>
    </row>
    <row r="281" spans="1:15" ht="12.75" customHeight="1" x14ac:dyDescent="0.3">
      <c r="A281" s="38"/>
      <c r="B281" s="173" t="s">
        <v>714</v>
      </c>
      <c r="C281" s="958"/>
      <c r="D281" s="17"/>
      <c r="E281" s="17"/>
      <c r="F281" s="17"/>
      <c r="G281" s="146" t="s">
        <v>752</v>
      </c>
      <c r="H281" s="38" t="s">
        <v>716</v>
      </c>
      <c r="I281" s="239" t="str">
        <f>IF(ISBLANK(input!I308),"",input!I308)</f>
        <v/>
      </c>
      <c r="O281" s="262" t="s">
        <v>4241</v>
      </c>
    </row>
    <row r="282" spans="1:15" ht="12.75" customHeight="1" x14ac:dyDescent="0.3">
      <c r="A282" s="38"/>
      <c r="B282" s="173" t="s">
        <v>714</v>
      </c>
      <c r="C282" s="958"/>
      <c r="D282" s="17"/>
      <c r="E282" s="17"/>
      <c r="F282" s="17"/>
      <c r="G282" s="146" t="s">
        <v>753</v>
      </c>
      <c r="H282" s="38" t="s">
        <v>716</v>
      </c>
      <c r="I282" s="239" t="str">
        <f>IF(ISBLANK(input!I309),"",input!I309)</f>
        <v/>
      </c>
      <c r="O282" s="262" t="s">
        <v>4241</v>
      </c>
    </row>
    <row r="283" spans="1:15" ht="12.75" customHeight="1" x14ac:dyDescent="0.3">
      <c r="A283" s="38"/>
      <c r="B283" s="173" t="s">
        <v>714</v>
      </c>
      <c r="C283" s="958"/>
      <c r="D283" s="17"/>
      <c r="E283" s="17"/>
      <c r="F283" s="17"/>
      <c r="G283" s="146" t="s">
        <v>754</v>
      </c>
      <c r="H283" s="38" t="s">
        <v>716</v>
      </c>
      <c r="I283" s="239" t="str">
        <f>IF(ISBLANK(input!I310),"",input!I310)</f>
        <v/>
      </c>
      <c r="O283" s="262" t="s">
        <v>4241</v>
      </c>
    </row>
    <row r="284" spans="1:15" ht="12.75" customHeight="1" x14ac:dyDescent="0.3">
      <c r="A284" s="38"/>
      <c r="B284" s="173" t="s">
        <v>723</v>
      </c>
      <c r="C284" s="958"/>
      <c r="D284" s="17"/>
      <c r="E284" s="17"/>
      <c r="F284" s="17"/>
      <c r="G284" s="146" t="s">
        <v>755</v>
      </c>
      <c r="H284" s="38" t="s">
        <v>579</v>
      </c>
      <c r="I284" s="239" t="str">
        <f>IF(ISBLANK(input!I311),"",input!I311)</f>
        <v/>
      </c>
      <c r="O284" s="262" t="s">
        <v>4241</v>
      </c>
    </row>
    <row r="285" spans="1:15" ht="12.75" customHeight="1" x14ac:dyDescent="0.3">
      <c r="A285" s="38"/>
      <c r="B285" s="173" t="s">
        <v>723</v>
      </c>
      <c r="C285" s="958"/>
      <c r="D285" s="17"/>
      <c r="E285" s="17"/>
      <c r="F285" s="17"/>
      <c r="G285" s="146" t="s">
        <v>756</v>
      </c>
      <c r="H285" s="38" t="s">
        <v>716</v>
      </c>
      <c r="I285" s="239" t="str">
        <f>IF(ISBLANK(input!I312),"",input!I312)</f>
        <v/>
      </c>
      <c r="O285" s="262" t="s">
        <v>4241</v>
      </c>
    </row>
    <row r="286" spans="1:15" ht="12.75" customHeight="1" x14ac:dyDescent="0.3">
      <c r="A286" s="38"/>
      <c r="B286" s="173" t="s">
        <v>725</v>
      </c>
      <c r="C286" s="958"/>
      <c r="D286" s="17"/>
      <c r="E286" s="17"/>
      <c r="F286" s="17"/>
      <c r="G286" s="146" t="s">
        <v>757</v>
      </c>
      <c r="H286" s="38" t="s">
        <v>716</v>
      </c>
      <c r="I286" s="239" t="str">
        <f>IF(ISBLANK(input!I313),"",input!I313)</f>
        <v/>
      </c>
      <c r="O286" s="262" t="s">
        <v>4241</v>
      </c>
    </row>
    <row r="287" spans="1:15" ht="12.75" customHeight="1" x14ac:dyDescent="0.3">
      <c r="A287" s="566"/>
      <c r="B287" s="577" t="s">
        <v>727</v>
      </c>
      <c r="C287" s="566"/>
      <c r="D287" s="566"/>
      <c r="E287" s="566"/>
      <c r="F287" s="566"/>
      <c r="G287" s="567" t="s">
        <v>758</v>
      </c>
      <c r="H287" s="567" t="s">
        <v>729</v>
      </c>
      <c r="I287" s="239" t="str">
        <f>IF(ISBLANK(input!I314),"",input!I314)</f>
        <v/>
      </c>
      <c r="O287" s="262" t="s">
        <v>4241</v>
      </c>
    </row>
    <row r="288" spans="1:15" ht="12.75" customHeight="1" x14ac:dyDescent="0.3">
      <c r="A288" s="17"/>
      <c r="B288" s="17"/>
      <c r="C288" s="17"/>
      <c r="D288" s="17"/>
      <c r="E288" s="17"/>
      <c r="F288" s="17"/>
      <c r="G288" s="17"/>
      <c r="H288" s="17"/>
      <c r="I288" s="239" t="str">
        <f>IF(ISBLANK(input!I315),"",input!I315)</f>
        <v/>
      </c>
      <c r="O288" s="262" t="s">
        <v>4241</v>
      </c>
    </row>
    <row r="289" spans="1:15" ht="12.75" customHeight="1" x14ac:dyDescent="0.3">
      <c r="A289" s="3" t="s">
        <v>759</v>
      </c>
      <c r="B289" s="17"/>
      <c r="C289" s="17"/>
      <c r="D289" s="17"/>
      <c r="E289" s="17"/>
      <c r="F289" s="17"/>
      <c r="G289" s="38"/>
      <c r="H289" s="149"/>
      <c r="I289" s="239" t="str">
        <f>IF(ISBLANK(input!I316),"",input!I316)</f>
        <v/>
      </c>
      <c r="O289" s="262" t="s">
        <v>4241</v>
      </c>
    </row>
    <row r="290" spans="1:15" ht="12.75" customHeight="1" x14ac:dyDescent="0.3">
      <c r="A290" s="566"/>
      <c r="B290" s="566" t="s">
        <v>760</v>
      </c>
      <c r="C290" s="566"/>
      <c r="D290" s="566"/>
      <c r="E290" s="566"/>
      <c r="F290" s="566"/>
      <c r="G290" s="567" t="s">
        <v>761</v>
      </c>
      <c r="H290" s="567" t="s">
        <v>291</v>
      </c>
      <c r="I290" s="239" t="str">
        <f>IF(ISBLANK(input!I317),"",input!I317)</f>
        <v/>
      </c>
      <c r="O290" s="262" t="s">
        <v>4241</v>
      </c>
    </row>
    <row r="291" spans="1:15" ht="12.75" customHeight="1" x14ac:dyDescent="0.3">
      <c r="A291" s="228"/>
      <c r="B291" s="228" t="s">
        <v>762</v>
      </c>
      <c r="C291" s="228"/>
      <c r="D291" s="228"/>
      <c r="E291" s="228"/>
      <c r="F291" s="228"/>
      <c r="G291" s="216" t="s">
        <v>763</v>
      </c>
      <c r="H291" s="216" t="s">
        <v>291</v>
      </c>
      <c r="I291" s="239" t="str">
        <f>IF(ISBLANK(input!I318),"",input!I318)</f>
        <v/>
      </c>
      <c r="O291" s="262" t="s">
        <v>4241</v>
      </c>
    </row>
    <row r="292" spans="1:15" ht="12.75" customHeight="1" x14ac:dyDescent="0.3">
      <c r="A292" s="228"/>
      <c r="B292" s="228" t="s">
        <v>765</v>
      </c>
      <c r="C292" s="228"/>
      <c r="D292" s="228"/>
      <c r="E292" s="228"/>
      <c r="F292" s="228"/>
      <c r="G292" s="216" t="s">
        <v>766</v>
      </c>
      <c r="H292" s="216" t="s">
        <v>291</v>
      </c>
      <c r="I292" s="239" t="str">
        <f>IF(ISBLANK(input!I319),"",input!I319)</f>
        <v/>
      </c>
      <c r="O292" s="262" t="s">
        <v>4241</v>
      </c>
    </row>
    <row r="293" spans="1:15" ht="12.75" customHeight="1" x14ac:dyDescent="0.3">
      <c r="A293" s="228"/>
      <c r="B293" s="228" t="s">
        <v>767</v>
      </c>
      <c r="C293" s="228"/>
      <c r="D293" s="228"/>
      <c r="E293" s="228"/>
      <c r="F293" s="228"/>
      <c r="G293" s="216" t="s">
        <v>768</v>
      </c>
      <c r="H293" s="216" t="s">
        <v>291</v>
      </c>
      <c r="I293" s="239" t="str">
        <f>IF(ISBLANK(input!I320),"",input!I320)</f>
        <v/>
      </c>
      <c r="O293" s="262" t="s">
        <v>4241</v>
      </c>
    </row>
    <row r="294" spans="1:15" ht="12.75" customHeight="1" x14ac:dyDescent="0.3">
      <c r="A294" s="228"/>
      <c r="B294" s="228" t="s">
        <v>769</v>
      </c>
      <c r="C294" s="228"/>
      <c r="D294" s="228"/>
      <c r="E294" s="228"/>
      <c r="F294" s="228"/>
      <c r="G294" s="216" t="s">
        <v>770</v>
      </c>
      <c r="H294" s="216" t="s">
        <v>291</v>
      </c>
      <c r="I294" s="239" t="str">
        <f>IF(ISBLANK(input!I321),"",input!I321)</f>
        <v/>
      </c>
      <c r="O294" s="262" t="s">
        <v>4241</v>
      </c>
    </row>
    <row r="295" spans="1:15" ht="12.75" customHeight="1" x14ac:dyDescent="0.3">
      <c r="A295" s="228"/>
      <c r="B295" s="228" t="s">
        <v>771</v>
      </c>
      <c r="C295" s="228"/>
      <c r="D295" s="228"/>
      <c r="E295" s="228"/>
      <c r="F295" s="228"/>
      <c r="G295" s="216" t="s">
        <v>772</v>
      </c>
      <c r="H295" s="216" t="s">
        <v>291</v>
      </c>
      <c r="I295" s="239" t="str">
        <f>IF(ISBLANK(input!I322),"",input!I322)</f>
        <v/>
      </c>
      <c r="O295" s="262" t="s">
        <v>4241</v>
      </c>
    </row>
    <row r="296" spans="1:15" ht="12.75" customHeight="1" x14ac:dyDescent="0.3">
      <c r="A296" s="228"/>
      <c r="B296" s="228" t="s">
        <v>773</v>
      </c>
      <c r="C296" s="228"/>
      <c r="D296" s="228"/>
      <c r="E296" s="228"/>
      <c r="F296" s="228"/>
      <c r="G296" s="216" t="s">
        <v>774</v>
      </c>
      <c r="H296" s="216" t="s">
        <v>291</v>
      </c>
      <c r="I296" s="239" t="str">
        <f>IF(ISBLANK(input!I323),"",input!I323)</f>
        <v/>
      </c>
      <c r="O296" s="262" t="s">
        <v>4241</v>
      </c>
    </row>
    <row r="297" spans="1:15" ht="12.75" customHeight="1" x14ac:dyDescent="0.3">
      <c r="A297" s="228"/>
      <c r="B297" s="228" t="s">
        <v>775</v>
      </c>
      <c r="C297" s="228"/>
      <c r="D297" s="228"/>
      <c r="E297" s="228"/>
      <c r="F297" s="228"/>
      <c r="G297" s="216" t="s">
        <v>776</v>
      </c>
      <c r="H297" s="578" t="s">
        <v>777</v>
      </c>
      <c r="I297" s="239" t="str">
        <f>IF(ISBLANK(input!I324),"",input!I324)</f>
        <v/>
      </c>
      <c r="O297" s="262" t="s">
        <v>4241</v>
      </c>
    </row>
    <row r="298" spans="1:15" ht="12.75" customHeight="1" x14ac:dyDescent="0.3">
      <c r="A298" s="228"/>
      <c r="B298" s="228" t="s">
        <v>779</v>
      </c>
      <c r="C298" s="228"/>
      <c r="D298" s="228"/>
      <c r="E298" s="228"/>
      <c r="F298" s="228"/>
      <c r="G298" s="216" t="s">
        <v>780</v>
      </c>
      <c r="H298" s="578" t="s">
        <v>777</v>
      </c>
      <c r="I298" s="239" t="str">
        <f>IF(ISBLANK(input!I325),"",input!I325)</f>
        <v/>
      </c>
      <c r="O298" s="262" t="s">
        <v>4241</v>
      </c>
    </row>
    <row r="299" spans="1:15" ht="12.75" customHeight="1" x14ac:dyDescent="0.3">
      <c r="A299" s="228"/>
      <c r="B299" s="228" t="s">
        <v>781</v>
      </c>
      <c r="C299" s="228"/>
      <c r="D299" s="228"/>
      <c r="E299" s="228"/>
      <c r="F299" s="228"/>
      <c r="G299" s="228" t="s">
        <v>782</v>
      </c>
      <c r="H299" s="228" t="s">
        <v>291</v>
      </c>
      <c r="I299" s="239" t="str">
        <f>IF(ISBLANK(input!I326),"",input!I326)</f>
        <v/>
      </c>
      <c r="O299" s="262" t="s">
        <v>4241</v>
      </c>
    </row>
    <row r="300" spans="1:15" ht="12.75" customHeight="1" x14ac:dyDescent="0.3">
      <c r="A300" s="216"/>
      <c r="B300" s="216" t="s">
        <v>783</v>
      </c>
      <c r="C300" s="228"/>
      <c r="D300" s="228"/>
      <c r="E300" s="578"/>
      <c r="F300" s="578"/>
      <c r="G300" s="228" t="s">
        <v>784</v>
      </c>
      <c r="H300" s="216" t="s">
        <v>291</v>
      </c>
      <c r="I300" s="239" t="str">
        <f>IF(ISBLANK(input!I327),"",input!I327)</f>
        <v/>
      </c>
      <c r="O300" s="262" t="s">
        <v>4241</v>
      </c>
    </row>
    <row r="301" spans="1:15" ht="12.75" customHeight="1" x14ac:dyDescent="0.3">
      <c r="A301" s="228"/>
      <c r="B301" s="228" t="s">
        <v>785</v>
      </c>
      <c r="C301" s="228"/>
      <c r="D301" s="228"/>
      <c r="E301" s="228"/>
      <c r="F301" s="228"/>
      <c r="G301" s="228" t="s">
        <v>786</v>
      </c>
      <c r="H301" s="216" t="s">
        <v>787</v>
      </c>
      <c r="I301" s="239" t="str">
        <f>IF(ISBLANK(input!I328),"",input!I328)</f>
        <v/>
      </c>
      <c r="O301" s="262" t="s">
        <v>4241</v>
      </c>
    </row>
    <row r="302" spans="1:15" ht="12.75" customHeight="1" x14ac:dyDescent="0.3">
      <c r="A302" s="216"/>
      <c r="B302" s="216" t="s">
        <v>788</v>
      </c>
      <c r="C302" s="578"/>
      <c r="D302" s="578"/>
      <c r="E302" s="228"/>
      <c r="F302" s="228"/>
      <c r="G302" s="228" t="s">
        <v>789</v>
      </c>
      <c r="H302" s="216" t="s">
        <v>787</v>
      </c>
      <c r="I302" s="239" t="str">
        <f>IF(ISBLANK(input!I329),"",input!I329)</f>
        <v/>
      </c>
      <c r="O302" s="262" t="s">
        <v>4241</v>
      </c>
    </row>
    <row r="303" spans="1:15" ht="12.75" customHeight="1" x14ac:dyDescent="0.3">
      <c r="A303" s="566"/>
      <c r="B303" s="566" t="s">
        <v>790</v>
      </c>
      <c r="C303" s="566"/>
      <c r="D303" s="566"/>
      <c r="E303" s="566"/>
      <c r="F303" s="566"/>
      <c r="G303" s="566" t="s">
        <v>791</v>
      </c>
      <c r="H303" s="566" t="s">
        <v>792</v>
      </c>
      <c r="I303" s="239" t="str">
        <f>IF(ISBLANK(input!I330),"",input!I330)</f>
        <v/>
      </c>
      <c r="O303" s="262" t="s">
        <v>4241</v>
      </c>
    </row>
    <row r="304" spans="1:15" ht="12.75" customHeight="1" x14ac:dyDescent="0.3">
      <c r="A304" s="566"/>
      <c r="B304" s="566" t="s">
        <v>794</v>
      </c>
      <c r="C304" s="566"/>
      <c r="D304" s="566"/>
      <c r="E304" s="566"/>
      <c r="F304" s="566"/>
      <c r="G304" s="567" t="s">
        <v>795</v>
      </c>
      <c r="H304" s="567" t="s">
        <v>282</v>
      </c>
      <c r="I304" s="239" t="str">
        <f>IF(ISBLANK(input!I331),"",input!I331)</f>
        <v/>
      </c>
      <c r="O304" s="262" t="s">
        <v>4241</v>
      </c>
    </row>
    <row r="305" spans="1:26" ht="12.75" customHeight="1" x14ac:dyDescent="0.3">
      <c r="A305" s="566"/>
      <c r="B305" s="566" t="s">
        <v>796</v>
      </c>
      <c r="C305" s="566"/>
      <c r="D305" s="566"/>
      <c r="E305" s="566"/>
      <c r="F305" s="566"/>
      <c r="G305" s="567" t="s">
        <v>797</v>
      </c>
      <c r="H305" s="566" t="s">
        <v>798</v>
      </c>
      <c r="I305" s="239" t="str">
        <f>IF(ISBLANK(input!I332),"",input!I332)</f>
        <v/>
      </c>
      <c r="O305" s="262" t="s">
        <v>4241</v>
      </c>
    </row>
    <row r="306" spans="1:26" ht="12.75" customHeight="1" x14ac:dyDescent="0.3">
      <c r="A306" s="566"/>
      <c r="B306" s="566" t="s">
        <v>800</v>
      </c>
      <c r="C306" s="566"/>
      <c r="D306" s="566"/>
      <c r="E306" s="566"/>
      <c r="F306" s="566"/>
      <c r="G306" s="567" t="s">
        <v>801</v>
      </c>
      <c r="H306" s="567" t="s">
        <v>787</v>
      </c>
      <c r="I306" s="239" t="str">
        <f>IF(ISBLANK(input!I333),"",input!I333)</f>
        <v/>
      </c>
      <c r="O306" s="262" t="s">
        <v>4241</v>
      </c>
    </row>
    <row r="307" spans="1:26" ht="12.75" customHeight="1" x14ac:dyDescent="0.3">
      <c r="A307" s="566"/>
      <c r="B307" s="566" t="s">
        <v>802</v>
      </c>
      <c r="C307" s="566"/>
      <c r="D307" s="566"/>
      <c r="E307" s="566"/>
      <c r="F307" s="566"/>
      <c r="G307" s="566" t="s">
        <v>803</v>
      </c>
      <c r="H307" s="566" t="s">
        <v>804</v>
      </c>
      <c r="I307" s="239" t="str">
        <f>IF(ISBLANK(input!I334),"",input!I334)</f>
        <v/>
      </c>
      <c r="O307" s="262" t="s">
        <v>4241</v>
      </c>
    </row>
    <row r="308" spans="1:26" ht="12.75" customHeight="1" x14ac:dyDescent="0.3">
      <c r="A308" s="566"/>
      <c r="B308" s="566" t="s">
        <v>806</v>
      </c>
      <c r="C308" s="566"/>
      <c r="D308" s="566"/>
      <c r="E308" s="566"/>
      <c r="F308" s="566"/>
      <c r="G308" s="566" t="s">
        <v>807</v>
      </c>
      <c r="H308" s="566" t="s">
        <v>808</v>
      </c>
      <c r="I308" s="239" t="str">
        <f>IF(ISBLANK(input!I335),"",input!I335)</f>
        <v/>
      </c>
      <c r="O308" s="262" t="s">
        <v>4241</v>
      </c>
    </row>
    <row r="309" spans="1:26" ht="12.75" customHeight="1" x14ac:dyDescent="0.3">
      <c r="A309" s="566"/>
      <c r="B309" s="566"/>
      <c r="C309" s="566"/>
      <c r="D309" s="566"/>
      <c r="E309" s="566"/>
      <c r="F309" s="566"/>
      <c r="G309" s="566"/>
      <c r="H309" s="566"/>
      <c r="I309" s="239" t="str">
        <f>IF(ISBLANK(input!I336),"",input!I336)</f>
        <v/>
      </c>
      <c r="O309" s="262" t="s">
        <v>4241</v>
      </c>
    </row>
    <row r="310" spans="1:26" ht="12.75" customHeight="1" x14ac:dyDescent="0.3">
      <c r="A310" s="586" t="s">
        <v>810</v>
      </c>
      <c r="B310" s="586"/>
      <c r="C310" s="586"/>
      <c r="D310" s="586"/>
      <c r="E310" s="586"/>
      <c r="F310" s="586"/>
      <c r="G310" s="586"/>
      <c r="H310" s="586"/>
      <c r="I310" s="239" t="str">
        <f>IF(ISBLANK(input!I337),"",input!I337)</f>
        <v/>
      </c>
      <c r="O310" s="262" t="s">
        <v>4241</v>
      </c>
    </row>
    <row r="311" spans="1:26" ht="12.75" customHeight="1" x14ac:dyDescent="0.3">
      <c r="A311" s="566"/>
      <c r="B311" s="566" t="s">
        <v>811</v>
      </c>
      <c r="C311" s="566"/>
      <c r="D311" s="566"/>
      <c r="E311" s="566"/>
      <c r="F311" s="584"/>
      <c r="G311" s="779" t="s">
        <v>812</v>
      </c>
      <c r="H311" s="567" t="s">
        <v>278</v>
      </c>
      <c r="I311" s="239" t="str">
        <f>IF(ISBLANK(input!I338),"",input!I338)</f>
        <v/>
      </c>
      <c r="O311" s="262" t="s">
        <v>4241</v>
      </c>
    </row>
    <row r="312" spans="1:26" ht="12.75" customHeight="1" x14ac:dyDescent="0.3">
      <c r="A312" s="566"/>
      <c r="B312" s="566" t="s">
        <v>814</v>
      </c>
      <c r="C312" s="566"/>
      <c r="D312" s="566"/>
      <c r="E312" s="566"/>
      <c r="F312" s="584"/>
      <c r="G312" s="779" t="s">
        <v>815</v>
      </c>
      <c r="H312" s="567" t="s">
        <v>282</v>
      </c>
      <c r="I312" s="239" t="str">
        <f>IF(ISBLANK(input!I339),"",input!I339)</f>
        <v/>
      </c>
      <c r="O312" s="262" t="s">
        <v>4241</v>
      </c>
    </row>
    <row r="313" spans="1:26" ht="12.75" customHeight="1" x14ac:dyDescent="0.3">
      <c r="A313" s="566"/>
      <c r="B313" s="566" t="s">
        <v>817</v>
      </c>
      <c r="C313" s="566"/>
      <c r="D313" s="566"/>
      <c r="E313" s="566"/>
      <c r="F313" s="584"/>
      <c r="G313" s="779" t="s">
        <v>818</v>
      </c>
      <c r="H313" s="567" t="s">
        <v>278</v>
      </c>
      <c r="I313" s="239" t="str">
        <f>IF(ISBLANK(input!I340),"",input!I340)</f>
        <v/>
      </c>
      <c r="O313" s="262" t="s">
        <v>4241</v>
      </c>
    </row>
    <row r="314" spans="1:26" ht="12.75" customHeight="1" x14ac:dyDescent="0.3">
      <c r="A314" s="566"/>
      <c r="B314" s="566" t="s">
        <v>819</v>
      </c>
      <c r="C314" s="566"/>
      <c r="D314" s="566"/>
      <c r="E314" s="566"/>
      <c r="F314" s="584"/>
      <c r="G314" s="779" t="s">
        <v>820</v>
      </c>
      <c r="H314" s="567" t="s">
        <v>282</v>
      </c>
      <c r="I314" s="239" t="str">
        <f>IF(ISBLANK(input!I341),"",input!I341)</f>
        <v/>
      </c>
      <c r="O314" s="262" t="s">
        <v>4241</v>
      </c>
    </row>
    <row r="315" spans="1:26" ht="12.75" customHeight="1" x14ac:dyDescent="0.3">
      <c r="A315" s="566"/>
      <c r="B315" s="566" t="s">
        <v>821</v>
      </c>
      <c r="C315" s="566"/>
      <c r="D315" s="566"/>
      <c r="E315" s="566"/>
      <c r="F315" s="584"/>
      <c r="G315" s="779" t="s">
        <v>822</v>
      </c>
      <c r="H315" s="566" t="s">
        <v>823</v>
      </c>
      <c r="I315" s="239" t="str">
        <f>IF(ISBLANK(input!I342),"",input!I342)</f>
        <v/>
      </c>
      <c r="O315" s="262" t="s">
        <v>4241</v>
      </c>
    </row>
    <row r="316" spans="1:26" ht="12.75" customHeight="1" x14ac:dyDescent="0.3">
      <c r="A316" s="566"/>
      <c r="B316" s="566" t="s">
        <v>824</v>
      </c>
      <c r="C316" s="566"/>
      <c r="D316" s="566"/>
      <c r="E316" s="566"/>
      <c r="F316" s="584"/>
      <c r="G316" s="779" t="s">
        <v>825</v>
      </c>
      <c r="H316" s="567" t="s">
        <v>282</v>
      </c>
      <c r="I316" s="239" t="str">
        <f>IF(ISBLANK(input!I343),"",input!I343)</f>
        <v/>
      </c>
      <c r="O316" s="262" t="s">
        <v>4241</v>
      </c>
    </row>
    <row r="317" spans="1:26" ht="12.75" customHeight="1" x14ac:dyDescent="0.3">
      <c r="A317" s="566"/>
      <c r="B317" s="566" t="s">
        <v>826</v>
      </c>
      <c r="C317" s="566"/>
      <c r="D317" s="566"/>
      <c r="E317" s="566"/>
      <c r="F317" s="577"/>
      <c r="G317" s="779" t="s">
        <v>827</v>
      </c>
      <c r="H317" s="566" t="s">
        <v>278</v>
      </c>
      <c r="I317" s="239" t="str">
        <f>IF(ISBLANK(input!I344),"",input!I344)</f>
        <v/>
      </c>
      <c r="O317" s="262" t="s">
        <v>4241</v>
      </c>
    </row>
    <row r="318" spans="1:26" s="11" customFormat="1" ht="12.75" customHeight="1" x14ac:dyDescent="0.3">
      <c r="A318" s="566"/>
      <c r="B318" s="566" t="s">
        <v>829</v>
      </c>
      <c r="C318" s="566"/>
      <c r="D318" s="566"/>
      <c r="E318" s="566"/>
      <c r="F318" s="577"/>
      <c r="G318" s="779" t="s">
        <v>830</v>
      </c>
      <c r="H318" s="567" t="s">
        <v>282</v>
      </c>
      <c r="I318" s="239" t="str">
        <f>IF(ISBLANK(input!I345),"",input!I345)</f>
        <v/>
      </c>
      <c r="J318" s="833"/>
      <c r="K318" s="834"/>
      <c r="L318" s="834"/>
      <c r="M318" s="832"/>
      <c r="N318" s="832"/>
      <c r="O318" s="215" t="s">
        <v>4241</v>
      </c>
      <c r="P318" s="215"/>
      <c r="Q318" s="215"/>
      <c r="R318" s="215"/>
      <c r="S318" s="228"/>
      <c r="T318" s="228"/>
      <c r="U318" s="228"/>
      <c r="V318" s="228"/>
      <c r="W318" s="228"/>
      <c r="X318" s="228"/>
      <c r="Y318" s="228"/>
      <c r="Z318" s="215"/>
    </row>
    <row r="319" spans="1:26" s="11" customFormat="1" ht="12.75" customHeight="1" x14ac:dyDescent="0.3">
      <c r="A319" s="566"/>
      <c r="B319" s="566" t="s">
        <v>831</v>
      </c>
      <c r="C319" s="566"/>
      <c r="D319" s="566"/>
      <c r="E319" s="566"/>
      <c r="F319" s="577"/>
      <c r="G319" s="779" t="s">
        <v>832</v>
      </c>
      <c r="H319" s="566" t="s">
        <v>823</v>
      </c>
      <c r="I319" s="239" t="str">
        <f>IF(ISBLANK(input!I346),"",input!I346)</f>
        <v/>
      </c>
      <c r="J319" s="833"/>
      <c r="K319" s="834"/>
      <c r="L319" s="834"/>
      <c r="M319" s="832"/>
      <c r="N319" s="832"/>
      <c r="O319" s="215" t="s">
        <v>4241</v>
      </c>
      <c r="P319" s="215"/>
      <c r="Q319" s="215"/>
      <c r="R319" s="215"/>
      <c r="S319" s="228"/>
      <c r="T319" s="228"/>
      <c r="U319" s="228"/>
      <c r="V319" s="228"/>
      <c r="W319" s="228"/>
      <c r="X319" s="228"/>
      <c r="Y319" s="228"/>
      <c r="Z319" s="215"/>
    </row>
    <row r="320" spans="1:26" ht="12.75" customHeight="1" x14ac:dyDescent="0.3">
      <c r="A320" s="566"/>
      <c r="B320" s="566" t="s">
        <v>833</v>
      </c>
      <c r="C320" s="566"/>
      <c r="D320" s="566"/>
      <c r="E320" s="566"/>
      <c r="F320" s="577"/>
      <c r="G320" s="779" t="s">
        <v>834</v>
      </c>
      <c r="H320" s="567" t="s">
        <v>282</v>
      </c>
      <c r="I320" s="239" t="str">
        <f>IF(ISBLANK(input!I347),"",input!I347)</f>
        <v/>
      </c>
      <c r="O320" s="262" t="s">
        <v>4241</v>
      </c>
    </row>
    <row r="321" spans="1:15" ht="12.75" customHeight="1" x14ac:dyDescent="0.3">
      <c r="A321" s="566"/>
      <c r="B321" s="566" t="s">
        <v>836</v>
      </c>
      <c r="C321" s="566"/>
      <c r="D321" s="566"/>
      <c r="E321" s="566"/>
      <c r="F321" s="577"/>
      <c r="G321" s="779" t="s">
        <v>837</v>
      </c>
      <c r="H321" s="566" t="s">
        <v>278</v>
      </c>
      <c r="I321" s="239" t="str">
        <f>IF(ISBLANK(input!I348),"",input!I348)</f>
        <v/>
      </c>
      <c r="O321" s="262" t="s">
        <v>4241</v>
      </c>
    </row>
    <row r="322" spans="1:15" ht="12.75" customHeight="1" x14ac:dyDescent="0.3">
      <c r="A322" s="566"/>
      <c r="B322" s="566" t="s">
        <v>838</v>
      </c>
      <c r="C322" s="566"/>
      <c r="D322" s="566"/>
      <c r="E322" s="566"/>
      <c r="F322" s="577"/>
      <c r="G322" s="779" t="s">
        <v>839</v>
      </c>
      <c r="H322" s="567" t="s">
        <v>282</v>
      </c>
      <c r="I322" s="239" t="str">
        <f>IF(ISBLANK(input!I349),"",input!I349)</f>
        <v/>
      </c>
      <c r="O322" s="262" t="s">
        <v>4241</v>
      </c>
    </row>
    <row r="323" spans="1:15" ht="12.75" customHeight="1" x14ac:dyDescent="0.3">
      <c r="A323" s="566"/>
      <c r="B323" s="566" t="s">
        <v>840</v>
      </c>
      <c r="C323" s="566"/>
      <c r="D323" s="566"/>
      <c r="E323" s="566"/>
      <c r="F323" s="584"/>
      <c r="G323" s="779" t="s">
        <v>841</v>
      </c>
      <c r="H323" s="566" t="s">
        <v>823</v>
      </c>
      <c r="I323" s="239" t="str">
        <f>IF(ISBLANK(input!I350),"",input!I350)</f>
        <v/>
      </c>
      <c r="O323" s="262" t="s">
        <v>4241</v>
      </c>
    </row>
    <row r="324" spans="1:15" ht="12.75" customHeight="1" x14ac:dyDescent="0.3">
      <c r="A324" s="566"/>
      <c r="B324" s="566" t="s">
        <v>843</v>
      </c>
      <c r="C324" s="566"/>
      <c r="D324" s="566"/>
      <c r="E324" s="566"/>
      <c r="F324" s="577"/>
      <c r="G324" s="779" t="s">
        <v>844</v>
      </c>
      <c r="H324" s="566" t="s">
        <v>278</v>
      </c>
      <c r="I324" s="239" t="str">
        <f>IF(ISBLANK(input!I351),"",input!I351)</f>
        <v/>
      </c>
      <c r="O324" s="262" t="s">
        <v>4241</v>
      </c>
    </row>
    <row r="325" spans="1:15" ht="12.75" customHeight="1" x14ac:dyDescent="0.3">
      <c r="A325" s="566"/>
      <c r="B325" s="566" t="s">
        <v>846</v>
      </c>
      <c r="C325" s="566"/>
      <c r="D325" s="566"/>
      <c r="E325" s="566"/>
      <c r="F325" s="577"/>
      <c r="G325" s="779" t="s">
        <v>847</v>
      </c>
      <c r="H325" s="567" t="s">
        <v>282</v>
      </c>
      <c r="I325" s="239" t="str">
        <f>IF(ISBLANK(input!I352),"",input!I352)</f>
        <v/>
      </c>
      <c r="O325" s="262" t="s">
        <v>4241</v>
      </c>
    </row>
    <row r="326" spans="1:15" ht="12.75" customHeight="1" x14ac:dyDescent="0.3">
      <c r="A326" s="566"/>
      <c r="B326" s="566" t="s">
        <v>848</v>
      </c>
      <c r="C326" s="566"/>
      <c r="D326" s="566"/>
      <c r="E326" s="566"/>
      <c r="F326" s="577"/>
      <c r="G326" s="779" t="s">
        <v>849</v>
      </c>
      <c r="H326" s="566" t="s">
        <v>823</v>
      </c>
      <c r="I326" s="239" t="str">
        <f>IF(ISBLANK(input!I353),"",input!I353)</f>
        <v/>
      </c>
      <c r="O326" s="262" t="s">
        <v>4241</v>
      </c>
    </row>
    <row r="327" spans="1:15" ht="12.75" customHeight="1" x14ac:dyDescent="0.3">
      <c r="A327" s="566"/>
      <c r="B327" s="566" t="s">
        <v>851</v>
      </c>
      <c r="C327" s="566"/>
      <c r="D327" s="566"/>
      <c r="E327" s="566"/>
      <c r="F327" s="577"/>
      <c r="G327" s="779" t="s">
        <v>852</v>
      </c>
      <c r="H327" s="567" t="s">
        <v>282</v>
      </c>
      <c r="I327" s="239" t="str">
        <f>IF(ISBLANK(input!I354),"",input!I354)</f>
        <v/>
      </c>
      <c r="O327" s="262" t="s">
        <v>4241</v>
      </c>
    </row>
    <row r="328" spans="1:15" ht="12.75" customHeight="1" x14ac:dyDescent="0.3">
      <c r="A328" s="566"/>
      <c r="B328" s="566"/>
      <c r="C328" s="566"/>
      <c r="D328" s="566"/>
      <c r="E328" s="566"/>
      <c r="F328" s="577"/>
      <c r="G328" s="779"/>
      <c r="H328" s="567"/>
      <c r="I328" s="239" t="str">
        <f>IF(ISBLANK(input!I355),"",input!I355)</f>
        <v/>
      </c>
      <c r="O328" s="262" t="s">
        <v>4241</v>
      </c>
    </row>
    <row r="329" spans="1:15" ht="12.75" customHeight="1" x14ac:dyDescent="0.3">
      <c r="A329" s="586" t="s">
        <v>854</v>
      </c>
      <c r="B329" s="566"/>
      <c r="C329" s="566"/>
      <c r="D329" s="566"/>
      <c r="E329" s="566"/>
      <c r="F329" s="577"/>
      <c r="G329" s="779"/>
      <c r="H329" s="567"/>
      <c r="I329" s="239" t="str">
        <f>IF(ISBLANK(input!I356),"",input!I356)</f>
        <v/>
      </c>
      <c r="O329" s="262" t="s">
        <v>4241</v>
      </c>
    </row>
    <row r="330" spans="1:15" ht="12.75" customHeight="1" x14ac:dyDescent="0.3">
      <c r="A330" s="566"/>
      <c r="B330" s="566"/>
      <c r="C330" s="566" t="s">
        <v>855</v>
      </c>
      <c r="D330" s="566"/>
      <c r="E330" s="566"/>
      <c r="F330" s="577"/>
      <c r="G330" s="566" t="s">
        <v>856</v>
      </c>
      <c r="H330" s="567" t="s">
        <v>857</v>
      </c>
      <c r="I330" s="239" t="str">
        <f>IF(ISBLANK(input!I357),"",input!I357)</f>
        <v/>
      </c>
      <c r="O330" s="262" t="s">
        <v>4241</v>
      </c>
    </row>
    <row r="331" spans="1:15" ht="12.75" customHeight="1" x14ac:dyDescent="0.3">
      <c r="A331" s="566"/>
      <c r="B331" s="566"/>
      <c r="C331" s="566" t="s">
        <v>858</v>
      </c>
      <c r="D331" s="566"/>
      <c r="E331" s="566"/>
      <c r="F331" s="577"/>
      <c r="G331" s="566" t="s">
        <v>859</v>
      </c>
      <c r="H331" s="567" t="s">
        <v>857</v>
      </c>
      <c r="I331" s="239" t="str">
        <f>IF(ISBLANK(input!I358),"",input!I358)</f>
        <v/>
      </c>
      <c r="O331" s="262" t="s">
        <v>4241</v>
      </c>
    </row>
    <row r="332" spans="1:15" ht="12.75" customHeight="1" x14ac:dyDescent="0.3">
      <c r="A332" s="566"/>
      <c r="B332" s="566"/>
      <c r="C332" s="566" t="s">
        <v>860</v>
      </c>
      <c r="D332" s="566"/>
      <c r="E332" s="566"/>
      <c r="F332" s="577"/>
      <c r="G332" s="566" t="s">
        <v>861</v>
      </c>
      <c r="H332" s="567" t="s">
        <v>857</v>
      </c>
      <c r="I332" s="239" t="str">
        <f>IF(ISBLANK(input!I359),"",input!I359)</f>
        <v/>
      </c>
      <c r="O332" s="262" t="s">
        <v>4241</v>
      </c>
    </row>
    <row r="333" spans="1:15" ht="12.75" customHeight="1" x14ac:dyDescent="0.3">
      <c r="A333" s="566"/>
      <c r="B333" s="566"/>
      <c r="C333" s="566" t="s">
        <v>862</v>
      </c>
      <c r="D333" s="566"/>
      <c r="E333" s="566"/>
      <c r="F333" s="577"/>
      <c r="G333" s="566" t="s">
        <v>863</v>
      </c>
      <c r="H333" s="567" t="s">
        <v>857</v>
      </c>
      <c r="I333" s="239" t="str">
        <f>IF(ISBLANK(input!I360),"",input!I360)</f>
        <v/>
      </c>
      <c r="O333" s="262" t="s">
        <v>4241</v>
      </c>
    </row>
    <row r="334" spans="1:15" ht="12.75" customHeight="1" x14ac:dyDescent="0.3">
      <c r="A334" s="566"/>
      <c r="B334" s="566"/>
      <c r="C334" s="566" t="s">
        <v>864</v>
      </c>
      <c r="D334" s="566"/>
      <c r="E334" s="566"/>
      <c r="F334" s="566"/>
      <c r="G334" s="566" t="s">
        <v>865</v>
      </c>
      <c r="H334" s="566" t="s">
        <v>866</v>
      </c>
      <c r="I334" s="239" t="str">
        <f>IF(ISBLANK(input!I361),"",input!I361)</f>
        <v/>
      </c>
      <c r="O334" s="262" t="s">
        <v>4241</v>
      </c>
    </row>
    <row r="335" spans="1:15" ht="12.75" customHeight="1" x14ac:dyDescent="0.3">
      <c r="A335" s="566"/>
      <c r="B335" s="566"/>
      <c r="C335" s="566" t="s">
        <v>867</v>
      </c>
      <c r="D335" s="566"/>
      <c r="E335" s="566"/>
      <c r="F335" s="577"/>
      <c r="G335" s="566" t="s">
        <v>868</v>
      </c>
      <c r="H335" s="567" t="s">
        <v>857</v>
      </c>
      <c r="I335" s="239" t="str">
        <f>IF(ISBLANK(input!I362),"",input!I362)</f>
        <v/>
      </c>
      <c r="O335" s="262" t="s">
        <v>4241</v>
      </c>
    </row>
    <row r="336" spans="1:15" ht="12.75" customHeight="1" x14ac:dyDescent="0.3">
      <c r="A336" s="566"/>
      <c r="B336" s="566"/>
      <c r="C336" s="566" t="s">
        <v>869</v>
      </c>
      <c r="D336" s="566"/>
      <c r="E336" s="566"/>
      <c r="F336" s="566"/>
      <c r="G336" s="566" t="s">
        <v>870</v>
      </c>
      <c r="H336" s="566" t="s">
        <v>866</v>
      </c>
      <c r="I336" s="239" t="str">
        <f>IF(ISBLANK(input!I363),"",input!I363)</f>
        <v/>
      </c>
      <c r="O336" s="262" t="s">
        <v>4241</v>
      </c>
    </row>
    <row r="337" spans="1:15" ht="12.75" customHeight="1" x14ac:dyDescent="0.3">
      <c r="A337" s="566"/>
      <c r="B337" s="566"/>
      <c r="C337" s="566" t="s">
        <v>871</v>
      </c>
      <c r="D337" s="566"/>
      <c r="E337" s="566"/>
      <c r="F337" s="577"/>
      <c r="G337" s="566" t="s">
        <v>872</v>
      </c>
      <c r="H337" s="567" t="s">
        <v>857</v>
      </c>
      <c r="I337" s="239" t="str">
        <f>IF(ISBLANK(input!I364),"",input!I364)</f>
        <v/>
      </c>
      <c r="O337" s="262" t="s">
        <v>4241</v>
      </c>
    </row>
    <row r="338" spans="1:15" ht="12.75" customHeight="1" x14ac:dyDescent="0.3">
      <c r="A338" s="577"/>
      <c r="B338" s="566"/>
      <c r="C338" s="566" t="s">
        <v>873</v>
      </c>
      <c r="D338" s="566"/>
      <c r="E338" s="566"/>
      <c r="F338" s="577"/>
      <c r="G338" s="566" t="s">
        <v>874</v>
      </c>
      <c r="H338" s="566" t="s">
        <v>866</v>
      </c>
      <c r="I338" s="239" t="str">
        <f>IF(ISBLANK(input!I365),"",input!I365)</f>
        <v/>
      </c>
      <c r="O338" s="262" t="s">
        <v>4241</v>
      </c>
    </row>
    <row r="339" spans="1:15" ht="12.75" customHeight="1" x14ac:dyDescent="0.3">
      <c r="A339" s="566"/>
      <c r="B339" s="566"/>
      <c r="C339" s="566" t="s">
        <v>875</v>
      </c>
      <c r="D339" s="566"/>
      <c r="E339" s="566"/>
      <c r="F339" s="577"/>
      <c r="G339" s="566" t="s">
        <v>876</v>
      </c>
      <c r="H339" s="567" t="s">
        <v>857</v>
      </c>
      <c r="I339" s="239" t="str">
        <f>IF(ISBLANK(input!I366),"",input!I366)</f>
        <v/>
      </c>
      <c r="O339" s="262" t="s">
        <v>4241</v>
      </c>
    </row>
    <row r="340" spans="1:15" ht="12.75" customHeight="1" x14ac:dyDescent="0.3">
      <c r="A340" s="577"/>
      <c r="B340" s="566"/>
      <c r="C340" s="566" t="s">
        <v>877</v>
      </c>
      <c r="D340" s="566"/>
      <c r="E340" s="566"/>
      <c r="F340" s="577"/>
      <c r="G340" s="566" t="s">
        <v>878</v>
      </c>
      <c r="H340" s="566" t="s">
        <v>866</v>
      </c>
      <c r="I340" s="239" t="str">
        <f>IF(ISBLANK(input!I367),"",input!I367)</f>
        <v/>
      </c>
      <c r="O340" s="262" t="s">
        <v>4241</v>
      </c>
    </row>
    <row r="341" spans="1:15" ht="12.75" customHeight="1" x14ac:dyDescent="0.3">
      <c r="A341" s="107"/>
      <c r="B341" s="108"/>
      <c r="C341" s="108"/>
      <c r="D341" s="108"/>
      <c r="E341" s="108"/>
      <c r="F341" s="108"/>
      <c r="G341" s="107"/>
      <c r="H341" s="107"/>
      <c r="I341" s="239" t="str">
        <f>IF(ISBLANK(input!I368),"",input!I368)</f>
        <v/>
      </c>
      <c r="O341" s="262" t="s">
        <v>4241</v>
      </c>
    </row>
    <row r="342" spans="1:15" ht="12.75" customHeight="1" x14ac:dyDescent="0.3">
      <c r="G342"/>
      <c r="H342"/>
      <c r="I342" s="239" t="str">
        <f>IF(ISBLANK(input!I369),"",input!I369)</f>
        <v/>
      </c>
      <c r="O342" s="262" t="s">
        <v>4241</v>
      </c>
    </row>
    <row r="343" spans="1:15" ht="12.75" customHeight="1" x14ac:dyDescent="0.3">
      <c r="A343" s="598"/>
      <c r="B343" s="598"/>
      <c r="C343" s="801"/>
      <c r="D343" s="801"/>
      <c r="E343" s="801"/>
      <c r="F343" s="801"/>
      <c r="G343" s="803"/>
      <c r="H343" s="804"/>
      <c r="I343" s="239" t="str">
        <f>IF(ISBLANK(input!I370),"",input!I370)</f>
        <v/>
      </c>
      <c r="O343" s="262" t="s">
        <v>4241</v>
      </c>
    </row>
    <row r="344" spans="1:15" ht="12.75" customHeight="1" x14ac:dyDescent="0.3">
      <c r="A344" s="566" t="s">
        <v>879</v>
      </c>
      <c r="B344" s="566"/>
      <c r="C344" s="584"/>
      <c r="D344" s="566"/>
      <c r="E344" s="566"/>
      <c r="F344" s="566"/>
      <c r="G344" s="779"/>
      <c r="H344" s="566"/>
      <c r="I344" s="239" t="str">
        <f>IF(ISBLANK(input!I371),"",input!I371)</f>
        <v/>
      </c>
      <c r="O344" s="262" t="s">
        <v>4241</v>
      </c>
    </row>
    <row r="345" spans="1:15" ht="12.75" customHeight="1" x14ac:dyDescent="0.3">
      <c r="A345" s="566"/>
      <c r="B345" s="566"/>
      <c r="C345" s="566" t="s">
        <v>880</v>
      </c>
      <c r="D345" s="566"/>
      <c r="E345" s="566"/>
      <c r="F345" s="566"/>
      <c r="G345" s="566" t="s">
        <v>881</v>
      </c>
      <c r="H345" s="566" t="s">
        <v>866</v>
      </c>
      <c r="I345" s="239" t="str">
        <f>IF(ISBLANK(input!I372),"",input!I372)</f>
        <v/>
      </c>
      <c r="O345" s="262" t="s">
        <v>4241</v>
      </c>
    </row>
    <row r="346" spans="1:15" ht="12.75" customHeight="1" x14ac:dyDescent="0.3">
      <c r="A346" s="566"/>
      <c r="B346" s="566"/>
      <c r="C346" s="566" t="s">
        <v>883</v>
      </c>
      <c r="D346" s="566"/>
      <c r="E346" s="566"/>
      <c r="F346" s="566"/>
      <c r="G346" s="566" t="s">
        <v>884</v>
      </c>
      <c r="H346" s="566" t="s">
        <v>857</v>
      </c>
      <c r="I346" s="239" t="str">
        <f>IF(ISBLANK(input!I373),"",input!I373)</f>
        <v/>
      </c>
      <c r="J346" s="228"/>
      <c r="O346" s="262" t="s">
        <v>4241</v>
      </c>
    </row>
    <row r="347" spans="1:15" ht="12.75" customHeight="1" x14ac:dyDescent="0.3">
      <c r="A347" s="566"/>
      <c r="B347" s="566"/>
      <c r="C347" s="566" t="s">
        <v>886</v>
      </c>
      <c r="D347" s="566"/>
      <c r="E347" s="566"/>
      <c r="F347" s="566"/>
      <c r="G347" s="566" t="s">
        <v>887</v>
      </c>
      <c r="H347" s="566" t="s">
        <v>888</v>
      </c>
      <c r="I347" s="239" t="str">
        <f>IF(ISBLANK(input!I374),"",input!I374)</f>
        <v/>
      </c>
      <c r="J347" s="411"/>
      <c r="O347" s="262" t="s">
        <v>4241</v>
      </c>
    </row>
    <row r="348" spans="1:15" ht="12.75" customHeight="1" x14ac:dyDescent="0.3">
      <c r="A348" s="566"/>
      <c r="B348" s="566"/>
      <c r="C348" s="566" t="s">
        <v>890</v>
      </c>
      <c r="D348" s="566"/>
      <c r="E348" s="566"/>
      <c r="F348" s="566"/>
      <c r="G348" s="566" t="s">
        <v>891</v>
      </c>
      <c r="H348" s="566" t="s">
        <v>866</v>
      </c>
      <c r="I348" s="239" t="str">
        <f>IF(ISBLANK(input!I375),"",input!I375)</f>
        <v/>
      </c>
      <c r="J348" s="228"/>
      <c r="O348" s="262" t="s">
        <v>4241</v>
      </c>
    </row>
    <row r="349" spans="1:15" ht="12.75" customHeight="1" x14ac:dyDescent="0.3">
      <c r="A349" s="566"/>
      <c r="B349" s="566"/>
      <c r="C349" s="566" t="s">
        <v>892</v>
      </c>
      <c r="D349" s="566"/>
      <c r="E349" s="566"/>
      <c r="F349" s="566"/>
      <c r="G349" s="566" t="s">
        <v>893</v>
      </c>
      <c r="H349" s="566" t="s">
        <v>291</v>
      </c>
      <c r="I349" s="239" t="str">
        <f>IF(ISBLANK(input!I376),"",input!I376)</f>
        <v/>
      </c>
      <c r="O349" s="262" t="s">
        <v>4241</v>
      </c>
    </row>
    <row r="350" spans="1:15" ht="12.75" customHeight="1" x14ac:dyDescent="0.3">
      <c r="A350" s="566"/>
      <c r="B350" s="566"/>
      <c r="C350" s="566" t="s">
        <v>894</v>
      </c>
      <c r="D350" s="566"/>
      <c r="E350" s="566"/>
      <c r="F350" s="566"/>
      <c r="G350" s="566" t="s">
        <v>895</v>
      </c>
      <c r="H350" s="566" t="s">
        <v>291</v>
      </c>
      <c r="I350" s="239" t="str">
        <f>IF(ISBLANK(input!I377),"",input!I377)</f>
        <v/>
      </c>
      <c r="O350" s="262" t="s">
        <v>4241</v>
      </c>
    </row>
    <row r="351" spans="1:15" ht="12.75" customHeight="1" x14ac:dyDescent="0.3">
      <c r="A351" s="586"/>
      <c r="B351" s="586" t="s">
        <v>897</v>
      </c>
      <c r="C351" s="586"/>
      <c r="D351" s="586"/>
      <c r="E351" s="586"/>
      <c r="F351" s="586"/>
      <c r="G351" s="586"/>
      <c r="H351" s="586"/>
      <c r="I351" s="239" t="str">
        <f>IF(ISBLANK(input!I378),"",input!I378)</f>
        <v/>
      </c>
      <c r="O351" s="262" t="s">
        <v>4241</v>
      </c>
    </row>
    <row r="352" spans="1:15" ht="12.75" customHeight="1" x14ac:dyDescent="0.3">
      <c r="A352" s="566"/>
      <c r="B352" s="566"/>
      <c r="C352" s="566" t="s">
        <v>898</v>
      </c>
      <c r="D352" s="566"/>
      <c r="E352" s="566"/>
      <c r="F352" s="566"/>
      <c r="G352" s="566" t="s">
        <v>899</v>
      </c>
      <c r="H352" s="566" t="s">
        <v>900</v>
      </c>
      <c r="I352" s="239" t="str">
        <f>IF(ISBLANK(input!I379),"",input!I379)</f>
        <v/>
      </c>
      <c r="O352" s="262" t="s">
        <v>4241</v>
      </c>
    </row>
    <row r="353" spans="1:15" ht="12.75" customHeight="1" x14ac:dyDescent="0.3">
      <c r="A353" s="566"/>
      <c r="B353" s="566"/>
      <c r="C353" s="566" t="s">
        <v>901</v>
      </c>
      <c r="D353" s="566"/>
      <c r="E353" s="566"/>
      <c r="F353" s="566"/>
      <c r="G353" s="566" t="s">
        <v>902</v>
      </c>
      <c r="H353" s="566" t="s">
        <v>900</v>
      </c>
      <c r="I353" s="239" t="str">
        <f>IF(ISBLANK(input!I380),"",input!I380)</f>
        <v/>
      </c>
      <c r="O353" s="262" t="s">
        <v>4241</v>
      </c>
    </row>
    <row r="354" spans="1:15" ht="12.75" customHeight="1" x14ac:dyDescent="0.3">
      <c r="A354" s="586"/>
      <c r="B354" s="586" t="s">
        <v>905</v>
      </c>
      <c r="C354" s="586"/>
      <c r="D354" s="586"/>
      <c r="E354" s="586"/>
      <c r="F354" s="586"/>
      <c r="G354" s="586"/>
      <c r="H354" s="586"/>
      <c r="I354" s="239" t="str">
        <f>IF(ISBLANK(input!I381),"",input!I381)</f>
        <v/>
      </c>
      <c r="O354" s="262" t="s">
        <v>4241</v>
      </c>
    </row>
    <row r="355" spans="1:15" ht="12.75" customHeight="1" x14ac:dyDescent="0.3">
      <c r="A355" s="566"/>
      <c r="B355" s="566"/>
      <c r="C355" s="566" t="s">
        <v>906</v>
      </c>
      <c r="D355" s="566"/>
      <c r="E355" s="566"/>
      <c r="F355" s="566"/>
      <c r="G355" s="566" t="s">
        <v>907</v>
      </c>
      <c r="H355" s="566" t="s">
        <v>900</v>
      </c>
      <c r="I355" s="239" t="str">
        <f>IF(ISBLANK(input!I382),"",input!I382)</f>
        <v/>
      </c>
      <c r="O355" s="262" t="s">
        <v>4241</v>
      </c>
    </row>
    <row r="356" spans="1:15" ht="12.75" customHeight="1" x14ac:dyDescent="0.3">
      <c r="A356" s="566"/>
      <c r="B356" s="566"/>
      <c r="C356" s="566" t="s">
        <v>909</v>
      </c>
      <c r="D356" s="566"/>
      <c r="E356" s="566"/>
      <c r="F356" s="566"/>
      <c r="G356" s="566" t="s">
        <v>910</v>
      </c>
      <c r="H356" s="566" t="s">
        <v>900</v>
      </c>
      <c r="I356" s="239" t="str">
        <f>IF(ISBLANK(input!I383),"",input!I383)</f>
        <v/>
      </c>
      <c r="O356" s="262" t="s">
        <v>4241</v>
      </c>
    </row>
    <row r="357" spans="1:15" ht="12.75" customHeight="1" x14ac:dyDescent="0.3">
      <c r="A357" s="586"/>
      <c r="B357" s="586" t="s">
        <v>912</v>
      </c>
      <c r="C357" s="586"/>
      <c r="D357" s="586"/>
      <c r="E357" s="586"/>
      <c r="F357" s="586"/>
      <c r="G357" s="586"/>
      <c r="H357" s="586"/>
      <c r="I357" s="239" t="str">
        <f>IF(ISBLANK(input!I384),"",input!I384)</f>
        <v/>
      </c>
      <c r="O357" s="262" t="s">
        <v>4241</v>
      </c>
    </row>
    <row r="358" spans="1:15" ht="12.75" customHeight="1" x14ac:dyDescent="0.3">
      <c r="A358" s="566"/>
      <c r="B358" s="566"/>
      <c r="C358" s="566" t="s">
        <v>913</v>
      </c>
      <c r="D358" s="566"/>
      <c r="E358" s="566"/>
      <c r="F358" s="566"/>
      <c r="G358" s="566" t="s">
        <v>914</v>
      </c>
      <c r="H358" s="566" t="s">
        <v>900</v>
      </c>
      <c r="I358" s="239" t="str">
        <f>IF(ISBLANK(input!I385),"",input!I385)</f>
        <v/>
      </c>
      <c r="O358" s="262" t="s">
        <v>4241</v>
      </c>
    </row>
    <row r="359" spans="1:15" ht="12.75" customHeight="1" x14ac:dyDescent="0.3">
      <c r="A359" s="566"/>
      <c r="B359" s="566"/>
      <c r="C359" s="566" t="s">
        <v>915</v>
      </c>
      <c r="D359" s="566"/>
      <c r="E359" s="566"/>
      <c r="F359" s="566"/>
      <c r="G359" s="566" t="s">
        <v>916</v>
      </c>
      <c r="H359" s="566" t="s">
        <v>900</v>
      </c>
      <c r="I359" s="239" t="str">
        <f>IF(ISBLANK(input!I386),"",input!I386)</f>
        <v/>
      </c>
      <c r="O359" s="262" t="s">
        <v>4241</v>
      </c>
    </row>
    <row r="360" spans="1:15" ht="12.75" customHeight="1" x14ac:dyDescent="0.3">
      <c r="A360" s="566"/>
      <c r="B360" s="566"/>
      <c r="C360" s="566" t="s">
        <v>917</v>
      </c>
      <c r="D360" s="566"/>
      <c r="E360" s="566"/>
      <c r="F360" s="566"/>
      <c r="G360" s="566" t="s">
        <v>918</v>
      </c>
      <c r="H360" s="566" t="s">
        <v>900</v>
      </c>
      <c r="I360" s="239" t="str">
        <f>IF(ISBLANK(input!I387),"",input!I387)</f>
        <v/>
      </c>
      <c r="O360" s="262" t="s">
        <v>4241</v>
      </c>
    </row>
    <row r="361" spans="1:15" ht="12.75" customHeight="1" x14ac:dyDescent="0.3">
      <c r="A361" s="566"/>
      <c r="B361" s="566"/>
      <c r="C361" s="566" t="s">
        <v>919</v>
      </c>
      <c r="D361" s="566"/>
      <c r="E361" s="566"/>
      <c r="F361" s="566"/>
      <c r="G361" s="566" t="s">
        <v>920</v>
      </c>
      <c r="H361" s="566" t="s">
        <v>900</v>
      </c>
      <c r="I361" s="239" t="str">
        <f>IF(ISBLANK(input!I388),"",input!I388)</f>
        <v/>
      </c>
      <c r="O361" s="262" t="s">
        <v>4241</v>
      </c>
    </row>
    <row r="362" spans="1:15" ht="12.75" customHeight="1" x14ac:dyDescent="0.3">
      <c r="A362" s="566"/>
      <c r="B362" s="566"/>
      <c r="C362" s="566" t="s">
        <v>921</v>
      </c>
      <c r="D362" s="566"/>
      <c r="E362" s="566"/>
      <c r="F362" s="566"/>
      <c r="G362" s="566" t="s">
        <v>922</v>
      </c>
      <c r="H362" s="566" t="s">
        <v>900</v>
      </c>
      <c r="I362" s="239" t="str">
        <f>IF(ISBLANK(input!I389),"",input!I389)</f>
        <v/>
      </c>
      <c r="O362" s="262" t="s">
        <v>4241</v>
      </c>
    </row>
    <row r="363" spans="1:15" ht="12.75" customHeight="1" x14ac:dyDescent="0.3">
      <c r="A363" s="566"/>
      <c r="B363" s="566"/>
      <c r="C363" s="566" t="s">
        <v>923</v>
      </c>
      <c r="D363" s="566"/>
      <c r="E363" s="566"/>
      <c r="F363" s="566"/>
      <c r="G363" s="566" t="s">
        <v>924</v>
      </c>
      <c r="H363" s="566" t="s">
        <v>900</v>
      </c>
      <c r="I363" s="239" t="str">
        <f>IF(ISBLANK(input!I390),"",input!I390)</f>
        <v/>
      </c>
      <c r="O363" s="262" t="s">
        <v>4241</v>
      </c>
    </row>
    <row r="364" spans="1:15" ht="12.75" customHeight="1" x14ac:dyDescent="0.3">
      <c r="A364" s="566"/>
      <c r="B364" s="566"/>
      <c r="C364" s="566"/>
      <c r="D364" s="566"/>
      <c r="E364" s="566"/>
      <c r="F364" s="566"/>
      <c r="G364" s="567"/>
      <c r="H364" s="567"/>
      <c r="I364" s="239" t="str">
        <f>IF(ISBLANK(input!I391),"",input!I391)</f>
        <v/>
      </c>
      <c r="O364" s="262" t="s">
        <v>4241</v>
      </c>
    </row>
    <row r="365" spans="1:15" ht="12.75" customHeight="1" x14ac:dyDescent="0.3">
      <c r="A365" s="582" t="s">
        <v>925</v>
      </c>
      <c r="B365" s="582"/>
      <c r="C365" s="582"/>
      <c r="D365" s="582"/>
      <c r="E365" s="582"/>
      <c r="F365" s="582"/>
      <c r="G365" s="582"/>
      <c r="H365" s="582"/>
      <c r="I365" s="239" t="str">
        <f>IF(ISBLANK(input!I392),"",input!I392)</f>
        <v/>
      </c>
      <c r="O365" s="262" t="s">
        <v>4241</v>
      </c>
    </row>
    <row r="366" spans="1:15" ht="12.75" customHeight="1" x14ac:dyDescent="0.3">
      <c r="A366" s="566"/>
      <c r="B366" s="566" t="s">
        <v>926</v>
      </c>
      <c r="C366" s="566"/>
      <c r="D366" s="566"/>
      <c r="E366" s="566"/>
      <c r="F366" s="566"/>
      <c r="G366" s="566" t="s">
        <v>927</v>
      </c>
      <c r="H366" s="566" t="s">
        <v>866</v>
      </c>
      <c r="I366" s="239" t="str">
        <f>IF(ISBLANK(input!I393),"",input!I393)</f>
        <v/>
      </c>
      <c r="O366" s="262" t="s">
        <v>4241</v>
      </c>
    </row>
    <row r="367" spans="1:15" ht="12.75" customHeight="1" x14ac:dyDescent="0.3">
      <c r="A367" s="566"/>
      <c r="B367" s="566"/>
      <c r="C367" s="566" t="s">
        <v>928</v>
      </c>
      <c r="D367" s="566"/>
      <c r="E367" s="566"/>
      <c r="F367" s="566"/>
      <c r="G367" s="566" t="s">
        <v>929</v>
      </c>
      <c r="H367" s="566" t="s">
        <v>813</v>
      </c>
      <c r="I367" s="239" t="str">
        <f>IF(ISBLANK(input!I394),"",input!I394)</f>
        <v/>
      </c>
      <c r="O367" s="262" t="s">
        <v>4241</v>
      </c>
    </row>
    <row r="368" spans="1:15" ht="12.75" customHeight="1" x14ac:dyDescent="0.3">
      <c r="A368" s="566"/>
      <c r="B368" s="566"/>
      <c r="C368" s="566" t="s">
        <v>930</v>
      </c>
      <c r="D368" s="566"/>
      <c r="E368" s="566"/>
      <c r="F368" s="566"/>
      <c r="G368" s="566" t="s">
        <v>931</v>
      </c>
      <c r="H368" s="566" t="s">
        <v>282</v>
      </c>
      <c r="I368" s="239" t="str">
        <f>IF(ISBLANK(input!I395),"",input!I395)</f>
        <v/>
      </c>
      <c r="O368" s="262" t="s">
        <v>4241</v>
      </c>
    </row>
    <row r="369" spans="1:15" ht="12.75" customHeight="1" x14ac:dyDescent="0.3">
      <c r="A369" s="566"/>
      <c r="B369" s="566" t="s">
        <v>932</v>
      </c>
      <c r="C369" s="566"/>
      <c r="D369" s="566"/>
      <c r="E369" s="566"/>
      <c r="F369" s="566"/>
      <c r="G369" s="566" t="s">
        <v>933</v>
      </c>
      <c r="H369" s="566" t="s">
        <v>866</v>
      </c>
      <c r="I369" s="239" t="str">
        <f>IF(ISBLANK(input!I396),"",input!I396)</f>
        <v/>
      </c>
      <c r="O369" s="262" t="s">
        <v>4241</v>
      </c>
    </row>
    <row r="370" spans="1:15" ht="12.75" customHeight="1" x14ac:dyDescent="0.3">
      <c r="A370" s="566"/>
      <c r="B370" s="566"/>
      <c r="C370" s="566" t="s">
        <v>934</v>
      </c>
      <c r="D370" s="566"/>
      <c r="E370" s="566"/>
      <c r="F370" s="566"/>
      <c r="G370" s="566" t="s">
        <v>935</v>
      </c>
      <c r="H370" s="566" t="s">
        <v>813</v>
      </c>
      <c r="I370" s="239" t="str">
        <f>IF(ISBLANK(input!I397),"",input!I397)</f>
        <v/>
      </c>
      <c r="O370" s="262" t="s">
        <v>4241</v>
      </c>
    </row>
    <row r="371" spans="1:15" ht="12.75" customHeight="1" x14ac:dyDescent="0.3">
      <c r="A371" s="566"/>
      <c r="B371" s="566"/>
      <c r="C371" s="566" t="s">
        <v>936</v>
      </c>
      <c r="D371" s="566"/>
      <c r="E371" s="566"/>
      <c r="F371" s="566"/>
      <c r="G371" s="566" t="s">
        <v>937</v>
      </c>
      <c r="H371" s="566" t="s">
        <v>282</v>
      </c>
      <c r="I371" s="239" t="str">
        <f>IF(ISBLANK(input!I398),"",input!I398)</f>
        <v/>
      </c>
      <c r="O371" s="262" t="s">
        <v>4241</v>
      </c>
    </row>
    <row r="372" spans="1:15" ht="12.75" customHeight="1" x14ac:dyDescent="0.3">
      <c r="A372" s="566"/>
      <c r="B372" s="566" t="s">
        <v>938</v>
      </c>
      <c r="C372" s="566"/>
      <c r="D372" s="566"/>
      <c r="E372" s="566"/>
      <c r="F372" s="566"/>
      <c r="G372" s="566" t="s">
        <v>939</v>
      </c>
      <c r="H372" s="566" t="s">
        <v>866</v>
      </c>
      <c r="I372" s="239" t="str">
        <f>IF(ISBLANK(input!I399),"",input!I399)</f>
        <v/>
      </c>
      <c r="O372" s="262" t="s">
        <v>4241</v>
      </c>
    </row>
    <row r="373" spans="1:15" ht="12.75" customHeight="1" x14ac:dyDescent="0.3">
      <c r="A373" s="566"/>
      <c r="B373" s="566"/>
      <c r="C373" s="566" t="s">
        <v>940</v>
      </c>
      <c r="D373" s="566"/>
      <c r="E373" s="566"/>
      <c r="F373" s="566"/>
      <c r="G373" s="567" t="s">
        <v>941</v>
      </c>
      <c r="H373" s="567" t="s">
        <v>291</v>
      </c>
      <c r="I373" s="239" t="str">
        <f>IF(ISBLANK(input!I400),"",input!I400)</f>
        <v/>
      </c>
      <c r="O373" s="262" t="s">
        <v>4241</v>
      </c>
    </row>
    <row r="374" spans="1:15" ht="12.75" customHeight="1" x14ac:dyDescent="0.3">
      <c r="A374" s="566"/>
      <c r="B374" s="566"/>
      <c r="C374" s="566" t="s">
        <v>942</v>
      </c>
      <c r="D374" s="566"/>
      <c r="E374" s="566"/>
      <c r="F374" s="566"/>
      <c r="G374" s="566" t="s">
        <v>943</v>
      </c>
      <c r="H374" s="566" t="s">
        <v>813</v>
      </c>
      <c r="I374" s="239" t="str">
        <f>IF(ISBLANK(input!I401),"",input!I401)</f>
        <v/>
      </c>
      <c r="O374" s="262" t="s">
        <v>4241</v>
      </c>
    </row>
    <row r="375" spans="1:15" ht="12.75" customHeight="1" x14ac:dyDescent="0.3">
      <c r="A375" s="566"/>
      <c r="B375" s="566"/>
      <c r="C375" s="566" t="s">
        <v>944</v>
      </c>
      <c r="D375" s="566"/>
      <c r="E375" s="566"/>
      <c r="F375" s="566"/>
      <c r="G375" s="566" t="s">
        <v>945</v>
      </c>
      <c r="H375" s="566" t="s">
        <v>282</v>
      </c>
      <c r="I375" s="239" t="str">
        <f>IF(ISBLANK(input!I402),"",input!I402)</f>
        <v/>
      </c>
      <c r="O375" s="262" t="s">
        <v>4241</v>
      </c>
    </row>
    <row r="376" spans="1:15" ht="12.75" customHeight="1" x14ac:dyDescent="0.3">
      <c r="A376" s="172"/>
      <c r="H376" s="786"/>
      <c r="I376" s="792"/>
    </row>
    <row r="377" spans="1:15" ht="12.75" customHeight="1" x14ac:dyDescent="0.3">
      <c r="A377" s="100" t="s">
        <v>946</v>
      </c>
      <c r="I377" s="792"/>
    </row>
    <row r="378" spans="1:15" ht="12.75" customHeight="1" x14ac:dyDescent="0.3">
      <c r="I378" s="792"/>
    </row>
    <row r="379" spans="1:15" ht="12.75" customHeight="1" x14ac:dyDescent="0.3">
      <c r="A379" s="413" t="s">
        <v>947</v>
      </c>
      <c r="B379" s="413"/>
      <c r="C379" s="413"/>
      <c r="D379" s="413"/>
      <c r="E379" s="413"/>
      <c r="F379" s="413"/>
      <c r="G379" s="630" t="s">
        <v>258</v>
      </c>
      <c r="H379" s="630" t="s">
        <v>274</v>
      </c>
      <c r="I379" s="792"/>
    </row>
    <row r="380" spans="1:15" ht="12.75" customHeight="1" x14ac:dyDescent="0.3">
      <c r="I380" s="792"/>
    </row>
    <row r="381" spans="1:15" ht="12.75" customHeight="1" x14ac:dyDescent="0.3">
      <c r="A381" s="216" t="s">
        <v>948</v>
      </c>
      <c r="B381" s="228"/>
      <c r="C381" s="228"/>
      <c r="D381" s="228"/>
      <c r="E381" s="228"/>
      <c r="F381" s="228"/>
      <c r="G381" s="216" t="s">
        <v>949</v>
      </c>
      <c r="H381" s="216" t="s">
        <v>950</v>
      </c>
      <c r="I381" s="239" t="str">
        <f>IF(ISBLANK(regional!I5),"",regional!I5)</f>
        <v/>
      </c>
      <c r="O381" s="262" t="s">
        <v>4241</v>
      </c>
    </row>
    <row r="382" spans="1:15" ht="12.75" customHeight="1" x14ac:dyDescent="0.3">
      <c r="A382" s="567" t="s">
        <v>953</v>
      </c>
      <c r="B382" s="566"/>
      <c r="C382" s="566"/>
      <c r="D382" s="566"/>
      <c r="E382" s="566"/>
      <c r="F382" s="566"/>
      <c r="G382" s="567" t="s">
        <v>954</v>
      </c>
      <c r="H382" s="567" t="s">
        <v>950</v>
      </c>
      <c r="I382" s="239" t="str">
        <f>IF(ISBLANK(regional!I6),"",regional!I6)</f>
        <v/>
      </c>
      <c r="O382" s="262" t="s">
        <v>4241</v>
      </c>
    </row>
    <row r="383" spans="1:15" ht="12.75" customHeight="1" x14ac:dyDescent="0.3">
      <c r="A383" s="216" t="s">
        <v>955</v>
      </c>
      <c r="B383" s="228"/>
      <c r="C383" s="228"/>
      <c r="D383" s="228"/>
      <c r="E383" s="228"/>
      <c r="F383" s="228"/>
      <c r="G383" s="216" t="s">
        <v>956</v>
      </c>
      <c r="H383" s="216" t="s">
        <v>950</v>
      </c>
      <c r="I383" s="239" t="str">
        <f>IF(ISBLANK(regional!I7),"",regional!I7)</f>
        <v/>
      </c>
      <c r="O383" s="262" t="s">
        <v>4241</v>
      </c>
    </row>
    <row r="384" spans="1:15" ht="12.75" customHeight="1" x14ac:dyDescent="0.3">
      <c r="A384" s="216" t="s">
        <v>957</v>
      </c>
      <c r="B384" s="228"/>
      <c r="C384" s="228"/>
      <c r="D384" s="228"/>
      <c r="E384" s="228"/>
      <c r="F384" s="228"/>
      <c r="G384" s="216" t="s">
        <v>958</v>
      </c>
      <c r="H384" s="216" t="s">
        <v>950</v>
      </c>
      <c r="I384" s="239" t="str">
        <f>IF(ISBLANK(regional!I8),"",regional!I8)</f>
        <v/>
      </c>
      <c r="O384" s="262" t="s">
        <v>4241</v>
      </c>
    </row>
    <row r="385" spans="1:15" ht="12.75" customHeight="1" x14ac:dyDescent="0.3">
      <c r="A385" s="216" t="s">
        <v>959</v>
      </c>
      <c r="B385" s="228"/>
      <c r="C385" s="228"/>
      <c r="D385" s="228"/>
      <c r="E385" s="228"/>
      <c r="F385" s="228"/>
      <c r="G385" s="216" t="s">
        <v>960</v>
      </c>
      <c r="H385" s="216" t="s">
        <v>950</v>
      </c>
      <c r="I385" s="239" t="str">
        <f>IF(ISBLANK(regional!I9),"",regional!I9)</f>
        <v/>
      </c>
      <c r="O385" s="262" t="s">
        <v>4241</v>
      </c>
    </row>
    <row r="386" spans="1:15" ht="12.75" customHeight="1" x14ac:dyDescent="0.3">
      <c r="A386" s="567" t="s">
        <v>961</v>
      </c>
      <c r="B386" s="566"/>
      <c r="C386" s="566"/>
      <c r="D386" s="566"/>
      <c r="E386" s="566"/>
      <c r="F386" s="566"/>
      <c r="G386" s="567" t="s">
        <v>962</v>
      </c>
      <c r="H386" s="567" t="s">
        <v>950</v>
      </c>
      <c r="I386" s="239" t="str">
        <f>IF(ISBLANK(regional!I10),"",regional!I10)</f>
        <v/>
      </c>
      <c r="O386" s="262" t="s">
        <v>4241</v>
      </c>
    </row>
    <row r="387" spans="1:15" ht="12.75" customHeight="1" x14ac:dyDescent="0.3">
      <c r="A387" s="216" t="s">
        <v>963</v>
      </c>
      <c r="B387" s="228"/>
      <c r="C387" s="228"/>
      <c r="D387" s="228"/>
      <c r="E387" s="228"/>
      <c r="F387" s="228"/>
      <c r="G387" s="216" t="s">
        <v>964</v>
      </c>
      <c r="H387" s="216" t="s">
        <v>950</v>
      </c>
      <c r="I387" s="239" t="str">
        <f>IF(ISBLANK(regional!I11),"",regional!I11)</f>
        <v/>
      </c>
      <c r="O387" s="262" t="s">
        <v>4241</v>
      </c>
    </row>
    <row r="388" spans="1:15" ht="12.75" customHeight="1" x14ac:dyDescent="0.3">
      <c r="A388" s="216" t="s">
        <v>965</v>
      </c>
      <c r="B388" s="228"/>
      <c r="C388" s="228"/>
      <c r="D388" s="228"/>
      <c r="E388" s="228"/>
      <c r="F388" s="228"/>
      <c r="G388" s="216" t="s">
        <v>966</v>
      </c>
      <c r="H388" s="216" t="s">
        <v>950</v>
      </c>
      <c r="I388" s="239" t="str">
        <f>IF(ISBLANK(regional!I12),"",regional!I12)</f>
        <v/>
      </c>
      <c r="O388" s="262" t="s">
        <v>4241</v>
      </c>
    </row>
    <row r="389" spans="1:15" ht="12.75" customHeight="1" x14ac:dyDescent="0.3">
      <c r="A389" s="216" t="s">
        <v>967</v>
      </c>
      <c r="B389" s="228"/>
      <c r="C389" s="228"/>
      <c r="D389" s="228"/>
      <c r="E389" s="228"/>
      <c r="F389" s="228"/>
      <c r="G389" s="216" t="s">
        <v>968</v>
      </c>
      <c r="H389" s="216" t="s">
        <v>950</v>
      </c>
      <c r="I389" s="239" t="str">
        <f>IF(ISBLANK(regional!I13),"",regional!I13)</f>
        <v/>
      </c>
      <c r="O389" s="262" t="s">
        <v>4241</v>
      </c>
    </row>
    <row r="390" spans="1:15" ht="12.75" customHeight="1" x14ac:dyDescent="0.3">
      <c r="A390" s="216" t="s">
        <v>969</v>
      </c>
      <c r="B390" s="228"/>
      <c r="C390" s="228"/>
      <c r="D390" s="228"/>
      <c r="E390" s="228"/>
      <c r="F390" s="228"/>
      <c r="G390" s="216" t="s">
        <v>970</v>
      </c>
      <c r="H390" s="216" t="s">
        <v>950</v>
      </c>
      <c r="I390" s="239" t="str">
        <f>IF(ISBLANK(regional!I14),"",regional!I14)</f>
        <v/>
      </c>
      <c r="O390" s="262" t="s">
        <v>4241</v>
      </c>
    </row>
    <row r="391" spans="1:15" ht="12.75" customHeight="1" x14ac:dyDescent="0.3">
      <c r="A391" s="216" t="s">
        <v>971</v>
      </c>
      <c r="B391" s="228"/>
      <c r="C391" s="228"/>
      <c r="D391" s="228"/>
      <c r="E391" s="228"/>
      <c r="F391" s="228"/>
      <c r="G391" s="216" t="s">
        <v>972</v>
      </c>
      <c r="H391" s="216" t="s">
        <v>950</v>
      </c>
      <c r="I391" s="239" t="str">
        <f>IF(ISBLANK(regional!I15),"",regional!I15)</f>
        <v/>
      </c>
      <c r="O391" s="262" t="s">
        <v>4241</v>
      </c>
    </row>
    <row r="392" spans="1:15" ht="12.75" customHeight="1" x14ac:dyDescent="0.3">
      <c r="A392" s="216"/>
      <c r="B392" s="216" t="s">
        <v>973</v>
      </c>
      <c r="C392" s="228"/>
      <c r="D392" s="228"/>
      <c r="E392" s="228"/>
      <c r="F392" s="228"/>
      <c r="G392" s="216" t="s">
        <v>974</v>
      </c>
      <c r="H392" s="216" t="s">
        <v>672</v>
      </c>
      <c r="I392" s="239" t="str">
        <f>IF(ISBLANK(regional!I16),"",regional!I16)</f>
        <v/>
      </c>
      <c r="O392" s="262" t="s">
        <v>4241</v>
      </c>
    </row>
    <row r="393" spans="1:15" ht="12.75" customHeight="1" x14ac:dyDescent="0.3">
      <c r="A393" s="216"/>
      <c r="B393" s="216" t="s">
        <v>975</v>
      </c>
      <c r="C393" s="228"/>
      <c r="D393" s="228"/>
      <c r="E393" s="228"/>
      <c r="F393" s="228"/>
      <c r="G393" s="578" t="s">
        <v>976</v>
      </c>
      <c r="H393" s="216" t="s">
        <v>291</v>
      </c>
      <c r="I393" s="239" t="str">
        <f>IF(ISBLANK(regional!I17),"",regional!I17)</f>
        <v/>
      </c>
      <c r="O393" s="262" t="s">
        <v>4241</v>
      </c>
    </row>
    <row r="394" spans="1:15" ht="12.75" customHeight="1" x14ac:dyDescent="0.3">
      <c r="A394" s="216"/>
      <c r="B394" s="216" t="s">
        <v>977</v>
      </c>
      <c r="C394" s="228"/>
      <c r="D394" s="228"/>
      <c r="E394" s="228"/>
      <c r="F394" s="228"/>
      <c r="G394" s="578" t="s">
        <v>978</v>
      </c>
      <c r="H394" s="216" t="s">
        <v>291</v>
      </c>
      <c r="I394" s="239" t="str">
        <f>IF(ISBLANK(regional!I18),"",regional!I18)</f>
        <v/>
      </c>
      <c r="O394" s="262" t="s">
        <v>4241</v>
      </c>
    </row>
    <row r="395" spans="1:15" ht="12.75" customHeight="1" x14ac:dyDescent="0.3">
      <c r="A395" s="216"/>
      <c r="B395" s="216" t="s">
        <v>979</v>
      </c>
      <c r="C395" s="228"/>
      <c r="D395" s="228"/>
      <c r="E395" s="228"/>
      <c r="F395" s="228"/>
      <c r="G395" s="578" t="s">
        <v>980</v>
      </c>
      <c r="H395" s="216" t="s">
        <v>291</v>
      </c>
      <c r="I395" s="239" t="str">
        <f>IF(ISBLANK(regional!I19),"",regional!I19)</f>
        <v/>
      </c>
      <c r="K395" s="262" t="s">
        <v>4241</v>
      </c>
      <c r="O395" s="262" t="s">
        <v>4241</v>
      </c>
    </row>
    <row r="396" spans="1:15" ht="12.75" customHeight="1" x14ac:dyDescent="0.3">
      <c r="A396" s="216"/>
      <c r="B396" s="216" t="s">
        <v>981</v>
      </c>
      <c r="C396" s="228"/>
      <c r="D396" s="228"/>
      <c r="E396" s="228"/>
      <c r="F396" s="228"/>
      <c r="G396" s="578" t="s">
        <v>982</v>
      </c>
      <c r="H396" s="216" t="s">
        <v>291</v>
      </c>
      <c r="I396" s="239" t="str">
        <f>IF(ISBLANK(regional!I20),"",regional!I20)</f>
        <v/>
      </c>
      <c r="K396" s="262" t="s">
        <v>4241</v>
      </c>
      <c r="O396" s="262" t="s">
        <v>4241</v>
      </c>
    </row>
    <row r="397" spans="1:15" ht="12.75" customHeight="1" x14ac:dyDescent="0.3">
      <c r="A397" s="216"/>
      <c r="B397" s="216" t="s">
        <v>983</v>
      </c>
      <c r="C397" s="228"/>
      <c r="D397" s="228"/>
      <c r="E397" s="228"/>
      <c r="F397" s="228"/>
      <c r="G397" s="578" t="s">
        <v>984</v>
      </c>
      <c r="H397" s="216" t="s">
        <v>291</v>
      </c>
      <c r="I397" s="239" t="str">
        <f>IF(ISBLANK(regional!I21),"",regional!I21)</f>
        <v/>
      </c>
      <c r="K397" s="262" t="s">
        <v>4241</v>
      </c>
      <c r="O397" s="262" t="s">
        <v>4241</v>
      </c>
    </row>
    <row r="398" spans="1:15" ht="12.75" customHeight="1" x14ac:dyDescent="0.3">
      <c r="A398" s="216"/>
      <c r="B398" s="216" t="s">
        <v>985</v>
      </c>
      <c r="C398" s="228"/>
      <c r="D398" s="228"/>
      <c r="E398" s="228"/>
      <c r="F398" s="228"/>
      <c r="G398" s="578" t="s">
        <v>986</v>
      </c>
      <c r="H398" s="216" t="s">
        <v>291</v>
      </c>
      <c r="I398" s="239" t="str">
        <f>IF(ISBLANK(regional!I22),"",regional!I22)</f>
        <v/>
      </c>
      <c r="K398" s="262" t="s">
        <v>4241</v>
      </c>
      <c r="O398" s="262" t="s">
        <v>4241</v>
      </c>
    </row>
    <row r="399" spans="1:15" ht="12.75" customHeight="1" x14ac:dyDescent="0.3">
      <c r="A399" s="216"/>
      <c r="B399" s="228"/>
      <c r="C399" s="216" t="s">
        <v>987</v>
      </c>
      <c r="D399" s="578"/>
      <c r="E399" s="578"/>
      <c r="F399" s="228"/>
      <c r="G399" s="578" t="s">
        <v>988</v>
      </c>
      <c r="H399" s="216" t="s">
        <v>813</v>
      </c>
      <c r="I399" s="239" t="str">
        <f>IF(ISBLANK(regional!I23),"",regional!I23)</f>
        <v/>
      </c>
      <c r="K399" s="262" t="s">
        <v>4241</v>
      </c>
      <c r="O399" s="262" t="s">
        <v>4241</v>
      </c>
    </row>
    <row r="400" spans="1:15" ht="12.75" customHeight="1" x14ac:dyDescent="0.3">
      <c r="A400" s="216"/>
      <c r="B400" s="228"/>
      <c r="C400" s="216" t="s">
        <v>989</v>
      </c>
      <c r="D400" s="578"/>
      <c r="E400" s="578"/>
      <c r="F400" s="228"/>
      <c r="G400" s="578" t="s">
        <v>990</v>
      </c>
      <c r="H400" s="216" t="s">
        <v>813</v>
      </c>
      <c r="I400" s="239" t="str">
        <f>IF(ISBLANK(regional!I24),"",regional!I24)</f>
        <v/>
      </c>
      <c r="K400" s="262" t="s">
        <v>4241</v>
      </c>
      <c r="O400" s="262" t="s">
        <v>4241</v>
      </c>
    </row>
    <row r="401" spans="1:15" ht="12.75" customHeight="1" x14ac:dyDescent="0.3">
      <c r="A401" s="216"/>
      <c r="B401" s="228"/>
      <c r="C401" s="216" t="s">
        <v>991</v>
      </c>
      <c r="D401" s="578"/>
      <c r="E401" s="578"/>
      <c r="F401" s="228"/>
      <c r="G401" s="578" t="s">
        <v>992</v>
      </c>
      <c r="H401" s="216" t="s">
        <v>813</v>
      </c>
      <c r="I401" s="239" t="str">
        <f>IF(ISBLANK(regional!I25),"",regional!I25)</f>
        <v/>
      </c>
      <c r="K401" s="262" t="s">
        <v>4241</v>
      </c>
      <c r="O401" s="262" t="s">
        <v>4241</v>
      </c>
    </row>
    <row r="402" spans="1:15" ht="12.75" customHeight="1" x14ac:dyDescent="0.3">
      <c r="A402" s="216"/>
      <c r="B402" s="228"/>
      <c r="C402" s="216" t="s">
        <v>993</v>
      </c>
      <c r="D402" s="578"/>
      <c r="E402" s="578"/>
      <c r="F402" s="228"/>
      <c r="G402" s="578" t="s">
        <v>994</v>
      </c>
      <c r="H402" s="216" t="s">
        <v>813</v>
      </c>
      <c r="I402" s="239" t="str">
        <f>IF(ISBLANK(regional!I26),"",regional!I26)</f>
        <v/>
      </c>
      <c r="K402" s="262" t="s">
        <v>4241</v>
      </c>
      <c r="O402" s="262" t="s">
        <v>4241</v>
      </c>
    </row>
    <row r="403" spans="1:15" ht="12.75" customHeight="1" x14ac:dyDescent="0.3">
      <c r="A403" s="567"/>
      <c r="B403" s="566"/>
      <c r="C403" s="567" t="s">
        <v>995</v>
      </c>
      <c r="D403" s="679"/>
      <c r="E403" s="679"/>
      <c r="F403" s="566"/>
      <c r="G403" s="679" t="s">
        <v>996</v>
      </c>
      <c r="H403" s="567" t="s">
        <v>997</v>
      </c>
      <c r="I403" s="239" t="str">
        <f>IF(ISBLANK(regional!I27),"",regional!I27)</f>
        <v/>
      </c>
      <c r="K403" s="262" t="s">
        <v>4241</v>
      </c>
      <c r="O403" s="262" t="s">
        <v>4241</v>
      </c>
    </row>
    <row r="404" spans="1:15" ht="12.75" customHeight="1" x14ac:dyDescent="0.3">
      <c r="A404" s="216"/>
      <c r="B404" s="228"/>
      <c r="C404" s="216" t="s">
        <v>998</v>
      </c>
      <c r="D404" s="578"/>
      <c r="E404" s="578"/>
      <c r="F404" s="228"/>
      <c r="G404" s="578" t="s">
        <v>999</v>
      </c>
      <c r="H404" s="216" t="s">
        <v>997</v>
      </c>
      <c r="I404" s="239" t="str">
        <f>IF(ISBLANK(regional!I28),"",regional!I28)</f>
        <v/>
      </c>
      <c r="K404" s="262" t="s">
        <v>4241</v>
      </c>
      <c r="M404" s="262">
        <v>4</v>
      </c>
      <c r="N404" s="262">
        <v>4</v>
      </c>
      <c r="O404" s="262" t="s">
        <v>4241</v>
      </c>
    </row>
    <row r="405" spans="1:15" ht="12.75" customHeight="1" x14ac:dyDescent="0.3">
      <c r="A405" s="216"/>
      <c r="B405" s="228"/>
      <c r="C405" s="216" t="s">
        <v>1000</v>
      </c>
      <c r="D405" s="578"/>
      <c r="E405" s="578"/>
      <c r="F405" s="228"/>
      <c r="G405" s="578" t="s">
        <v>1001</v>
      </c>
      <c r="H405" s="216" t="s">
        <v>997</v>
      </c>
      <c r="I405" s="239" t="str">
        <f>IF(ISBLANK(regional!I29),"",regional!I29)</f>
        <v/>
      </c>
      <c r="K405" s="262" t="s">
        <v>4241</v>
      </c>
      <c r="M405" s="262" t="s">
        <v>4241</v>
      </c>
      <c r="N405" s="262" t="s">
        <v>4241</v>
      </c>
      <c r="O405" s="262" t="s">
        <v>4241</v>
      </c>
    </row>
    <row r="406" spans="1:15" ht="12.75" customHeight="1" x14ac:dyDescent="0.3">
      <c r="A406" s="216"/>
      <c r="B406" s="228"/>
      <c r="C406" s="216" t="s">
        <v>1002</v>
      </c>
      <c r="D406" s="578"/>
      <c r="E406" s="578"/>
      <c r="F406" s="228"/>
      <c r="G406" s="578" t="s">
        <v>1003</v>
      </c>
      <c r="H406" s="216" t="s">
        <v>813</v>
      </c>
      <c r="I406" s="239" t="str">
        <f>IF(ISBLANK(regional!I30),"",regional!I30)</f>
        <v/>
      </c>
      <c r="K406" s="262" t="s">
        <v>4241</v>
      </c>
      <c r="M406" s="262" t="s">
        <v>4241</v>
      </c>
      <c r="N406" s="262" t="s">
        <v>4241</v>
      </c>
      <c r="O406" s="262" t="s">
        <v>4241</v>
      </c>
    </row>
    <row r="407" spans="1:15" ht="12.75" customHeight="1" x14ac:dyDescent="0.3">
      <c r="A407" s="216"/>
      <c r="B407" s="228"/>
      <c r="C407" s="216" t="s">
        <v>1004</v>
      </c>
      <c r="D407" s="578"/>
      <c r="E407" s="578"/>
      <c r="F407" s="228"/>
      <c r="G407" s="578" t="s">
        <v>1005</v>
      </c>
      <c r="H407" s="216" t="s">
        <v>813</v>
      </c>
      <c r="I407" s="239" t="str">
        <f>IF(ISBLANK(regional!I31),"",regional!I31)</f>
        <v/>
      </c>
      <c r="K407" s="262" t="s">
        <v>4241</v>
      </c>
      <c r="M407" s="262" t="s">
        <v>4241</v>
      </c>
      <c r="N407" s="262" t="s">
        <v>4241</v>
      </c>
      <c r="O407" s="262" t="s">
        <v>4241</v>
      </c>
    </row>
    <row r="408" spans="1:15" ht="12.75" customHeight="1" x14ac:dyDescent="0.3">
      <c r="A408" s="216"/>
      <c r="B408" s="228"/>
      <c r="C408" s="216" t="s">
        <v>1006</v>
      </c>
      <c r="D408" s="578"/>
      <c r="E408" s="578"/>
      <c r="F408" s="228"/>
      <c r="G408" s="578" t="s">
        <v>1007</v>
      </c>
      <c r="H408" s="216" t="s">
        <v>813</v>
      </c>
      <c r="I408" s="239" t="str">
        <f>IF(ISBLANK(regional!I32),"",regional!I32)</f>
        <v/>
      </c>
      <c r="K408" s="262" t="s">
        <v>4241</v>
      </c>
      <c r="M408" s="262" t="s">
        <v>4241</v>
      </c>
      <c r="N408" s="262" t="s">
        <v>4241</v>
      </c>
      <c r="O408" s="262" t="s">
        <v>4241</v>
      </c>
    </row>
    <row r="409" spans="1:15" ht="12.75" customHeight="1" x14ac:dyDescent="0.3">
      <c r="A409" s="566"/>
      <c r="B409" s="566"/>
      <c r="C409" s="566" t="s">
        <v>1008</v>
      </c>
      <c r="D409" s="566"/>
      <c r="E409" s="566"/>
      <c r="F409" s="566"/>
      <c r="G409" s="567" t="s">
        <v>1009</v>
      </c>
      <c r="H409" s="567" t="s">
        <v>1010</v>
      </c>
      <c r="I409" s="239" t="str">
        <f>IF(ISBLANK(regional!I33),"",regional!I33)</f>
        <v/>
      </c>
      <c r="K409" s="262" t="s">
        <v>4241</v>
      </c>
      <c r="M409" s="262" t="s">
        <v>4241</v>
      </c>
      <c r="N409" s="262" t="s">
        <v>4241</v>
      </c>
      <c r="O409" s="262" t="s">
        <v>4241</v>
      </c>
    </row>
    <row r="410" spans="1:15" ht="12.75" customHeight="1" x14ac:dyDescent="0.3">
      <c r="A410" s="228"/>
      <c r="B410" s="228"/>
      <c r="C410" s="228" t="s">
        <v>1012</v>
      </c>
      <c r="D410" s="228"/>
      <c r="E410" s="228"/>
      <c r="F410" s="228"/>
      <c r="G410" s="216" t="s">
        <v>1013</v>
      </c>
      <c r="H410" s="216" t="s">
        <v>1010</v>
      </c>
      <c r="I410" s="239" t="str">
        <f>IF(ISBLANK(regional!I34),"",regional!I34)</f>
        <v/>
      </c>
      <c r="K410" s="262" t="s">
        <v>4241</v>
      </c>
      <c r="M410" s="262" t="s">
        <v>4241</v>
      </c>
      <c r="N410" s="262" t="s">
        <v>4241</v>
      </c>
      <c r="O410" s="262" t="s">
        <v>4241</v>
      </c>
    </row>
    <row r="411" spans="1:15" ht="12.75" customHeight="1" x14ac:dyDescent="0.3">
      <c r="A411" s="228"/>
      <c r="B411" s="228"/>
      <c r="C411" s="228" t="s">
        <v>1015</v>
      </c>
      <c r="D411" s="228"/>
      <c r="E411" s="228"/>
      <c r="F411" s="228"/>
      <c r="G411" s="216" t="s">
        <v>1016</v>
      </c>
      <c r="H411" s="216" t="s">
        <v>1010</v>
      </c>
      <c r="I411" s="239" t="str">
        <f>IF(ISBLANK(regional!I35),"",regional!I35)</f>
        <v/>
      </c>
      <c r="K411" s="262" t="s">
        <v>4241</v>
      </c>
      <c r="M411" s="262" t="s">
        <v>4241</v>
      </c>
      <c r="N411" s="262" t="s">
        <v>4241</v>
      </c>
      <c r="O411" s="262" t="s">
        <v>4241</v>
      </c>
    </row>
    <row r="412" spans="1:15" ht="12.75" customHeight="1" x14ac:dyDescent="0.3">
      <c r="A412" s="216"/>
      <c r="B412" s="228"/>
      <c r="C412" s="216" t="s">
        <v>1017</v>
      </c>
      <c r="D412" s="578"/>
      <c r="E412" s="578"/>
      <c r="F412" s="228"/>
      <c r="G412" s="578" t="s">
        <v>1018</v>
      </c>
      <c r="H412" s="216" t="s">
        <v>1010</v>
      </c>
      <c r="I412" s="239" t="str">
        <f>IF(ISBLANK(regional!I36),"",regional!I36)</f>
        <v/>
      </c>
      <c r="K412" s="262" t="s">
        <v>4241</v>
      </c>
      <c r="M412" s="262" t="s">
        <v>4241</v>
      </c>
      <c r="N412" s="262" t="s">
        <v>4241</v>
      </c>
      <c r="O412" s="262" t="s">
        <v>4241</v>
      </c>
    </row>
    <row r="413" spans="1:15" ht="12.75" customHeight="1" x14ac:dyDescent="0.3">
      <c r="A413" s="216"/>
      <c r="B413" s="228"/>
      <c r="C413" s="216" t="s">
        <v>1019</v>
      </c>
      <c r="D413" s="578"/>
      <c r="E413" s="578"/>
      <c r="F413" s="228"/>
      <c r="G413" s="578" t="s">
        <v>1020</v>
      </c>
      <c r="H413" s="216" t="s">
        <v>1010</v>
      </c>
      <c r="I413" s="239" t="str">
        <f>IF(ISBLANK(regional!I37),"",regional!I37)</f>
        <v/>
      </c>
      <c r="K413" s="262" t="s">
        <v>4241</v>
      </c>
      <c r="M413" s="262" t="s">
        <v>4241</v>
      </c>
      <c r="N413" s="262" t="s">
        <v>4241</v>
      </c>
      <c r="O413" s="262" t="s">
        <v>4241</v>
      </c>
    </row>
    <row r="414" spans="1:15" ht="12.75" customHeight="1" x14ac:dyDescent="0.3">
      <c r="A414" s="216"/>
      <c r="B414" s="228"/>
      <c r="C414" s="216" t="s">
        <v>1021</v>
      </c>
      <c r="D414" s="578"/>
      <c r="E414" s="578"/>
      <c r="F414" s="228"/>
      <c r="G414" s="578" t="s">
        <v>1022</v>
      </c>
      <c r="H414" s="216" t="s">
        <v>1010</v>
      </c>
      <c r="I414" s="239" t="str">
        <f>IF(ISBLANK(regional!I38),"",regional!I38)</f>
        <v/>
      </c>
      <c r="K414" s="262" t="s">
        <v>4241</v>
      </c>
      <c r="M414" s="262" t="s">
        <v>4241</v>
      </c>
      <c r="N414" s="262" t="s">
        <v>4241</v>
      </c>
      <c r="O414" s="262" t="s">
        <v>4241</v>
      </c>
    </row>
    <row r="415" spans="1:15" ht="12.75" customHeight="1" x14ac:dyDescent="0.3">
      <c r="A415" s="216"/>
      <c r="B415" s="228"/>
      <c r="C415" s="216" t="s">
        <v>1023</v>
      </c>
      <c r="D415" s="578"/>
      <c r="E415" s="578"/>
      <c r="F415" s="228"/>
      <c r="G415" s="578" t="s">
        <v>1024</v>
      </c>
      <c r="H415" s="216" t="s">
        <v>1010</v>
      </c>
      <c r="I415" s="239" t="str">
        <f>IF(ISBLANK(regional!I39),"",regional!I39)</f>
        <v/>
      </c>
      <c r="K415" s="262" t="s">
        <v>4241</v>
      </c>
      <c r="M415" s="262" t="s">
        <v>4241</v>
      </c>
      <c r="N415" s="262" t="s">
        <v>4241</v>
      </c>
      <c r="O415" s="262" t="s">
        <v>4241</v>
      </c>
    </row>
    <row r="416" spans="1:15" ht="12.75" customHeight="1" x14ac:dyDescent="0.3">
      <c r="A416" s="216"/>
      <c r="B416" s="228"/>
      <c r="C416" s="216" t="s">
        <v>1025</v>
      </c>
      <c r="D416" s="578"/>
      <c r="E416" s="578"/>
      <c r="F416" s="228"/>
      <c r="G416" s="578" t="s">
        <v>1026</v>
      </c>
      <c r="H416" s="216" t="s">
        <v>1010</v>
      </c>
      <c r="I416" s="239" t="str">
        <f>IF(ISBLANK(regional!I40),"",regional!I40)</f>
        <v/>
      </c>
      <c r="K416" s="262" t="s">
        <v>4241</v>
      </c>
      <c r="M416" s="262" t="s">
        <v>4241</v>
      </c>
      <c r="N416" s="262" t="s">
        <v>4241</v>
      </c>
      <c r="O416" s="262" t="s">
        <v>4241</v>
      </c>
    </row>
    <row r="417" spans="1:15" ht="12.75" customHeight="1" x14ac:dyDescent="0.3">
      <c r="A417" s="216"/>
      <c r="B417" s="228"/>
      <c r="C417" s="216" t="s">
        <v>1027</v>
      </c>
      <c r="D417" s="578"/>
      <c r="E417" s="578"/>
      <c r="F417" s="228"/>
      <c r="G417" s="578" t="s">
        <v>1028</v>
      </c>
      <c r="H417" s="216" t="s">
        <v>1010</v>
      </c>
      <c r="I417" s="239" t="str">
        <f>IF(ISBLANK(regional!I41),"",regional!I41)</f>
        <v/>
      </c>
      <c r="K417" s="262" t="s">
        <v>4241</v>
      </c>
      <c r="M417" s="262" t="s">
        <v>4241</v>
      </c>
      <c r="N417" s="262" t="s">
        <v>4241</v>
      </c>
      <c r="O417" s="262" t="s">
        <v>4241</v>
      </c>
    </row>
    <row r="418" spans="1:15" ht="12.75" customHeight="1" x14ac:dyDescent="0.3">
      <c r="A418" s="216"/>
      <c r="B418" s="228"/>
      <c r="C418" s="216" t="s">
        <v>1029</v>
      </c>
      <c r="D418" s="578"/>
      <c r="E418" s="578"/>
      <c r="F418" s="228"/>
      <c r="G418" s="578" t="s">
        <v>1030</v>
      </c>
      <c r="H418" s="216" t="s">
        <v>1010</v>
      </c>
      <c r="I418" s="239" t="str">
        <f>IF(ISBLANK(regional!I42),"",regional!I42)</f>
        <v/>
      </c>
      <c r="K418" s="262" t="s">
        <v>4241</v>
      </c>
      <c r="M418" s="262" t="s">
        <v>4241</v>
      </c>
      <c r="N418" s="262" t="s">
        <v>4241</v>
      </c>
      <c r="O418" s="262" t="s">
        <v>4241</v>
      </c>
    </row>
    <row r="419" spans="1:15" ht="12.75" customHeight="1" x14ac:dyDescent="0.3">
      <c r="A419" s="216"/>
      <c r="B419" s="228"/>
      <c r="C419" s="216" t="s">
        <v>1031</v>
      </c>
      <c r="D419" s="578"/>
      <c r="E419" s="578"/>
      <c r="F419" s="228"/>
      <c r="G419" s="578" t="s">
        <v>1032</v>
      </c>
      <c r="H419" s="216" t="s">
        <v>1010</v>
      </c>
      <c r="I419" s="239" t="str">
        <f>IF(ISBLANK(regional!I43),"",regional!I43)</f>
        <v/>
      </c>
      <c r="K419" s="262" t="s">
        <v>4241</v>
      </c>
      <c r="M419" s="262" t="s">
        <v>4241</v>
      </c>
      <c r="N419" s="262" t="s">
        <v>4241</v>
      </c>
      <c r="O419" s="262" t="s">
        <v>4241</v>
      </c>
    </row>
    <row r="420" spans="1:15" ht="12.75" customHeight="1" x14ac:dyDescent="0.3">
      <c r="A420" s="216"/>
      <c r="B420" s="228"/>
      <c r="C420" s="216" t="s">
        <v>1033</v>
      </c>
      <c r="D420" s="578"/>
      <c r="E420" s="578"/>
      <c r="F420" s="228"/>
      <c r="G420" s="578" t="s">
        <v>1034</v>
      </c>
      <c r="H420" s="216" t="s">
        <v>1010</v>
      </c>
      <c r="I420" s="239" t="str">
        <f>IF(ISBLANK(regional!I44),"",regional!I44)</f>
        <v/>
      </c>
      <c r="K420" s="262" t="s">
        <v>4241</v>
      </c>
      <c r="M420" s="262" t="s">
        <v>4241</v>
      </c>
      <c r="N420" s="262" t="s">
        <v>4241</v>
      </c>
      <c r="O420" s="262" t="s">
        <v>4241</v>
      </c>
    </row>
    <row r="421" spans="1:15" ht="12.75" customHeight="1" x14ac:dyDescent="0.3">
      <c r="A421" s="216"/>
      <c r="B421" s="228"/>
      <c r="C421" s="216" t="s">
        <v>1035</v>
      </c>
      <c r="D421" s="578"/>
      <c r="E421" s="578"/>
      <c r="F421" s="228"/>
      <c r="G421" s="578" t="s">
        <v>1036</v>
      </c>
      <c r="H421" s="216" t="s">
        <v>1010</v>
      </c>
      <c r="I421" s="239" t="str">
        <f>IF(ISBLANK(regional!I45),"",regional!I45)</f>
        <v/>
      </c>
      <c r="J421" s="822"/>
      <c r="K421" s="262" t="s">
        <v>4241</v>
      </c>
      <c r="M421" s="262">
        <v>0.5</v>
      </c>
      <c r="N421" s="262">
        <v>0.5</v>
      </c>
      <c r="O421" s="262" t="s">
        <v>4241</v>
      </c>
    </row>
    <row r="422" spans="1:15" ht="12.75" customHeight="1" x14ac:dyDescent="0.3">
      <c r="A422" s="216"/>
      <c r="B422" s="228"/>
      <c r="C422" s="216" t="s">
        <v>1037</v>
      </c>
      <c r="D422" s="578"/>
      <c r="E422" s="578"/>
      <c r="F422" s="228"/>
      <c r="G422" s="578" t="s">
        <v>1038</v>
      </c>
      <c r="H422" s="216" t="s">
        <v>1010</v>
      </c>
      <c r="I422" s="239" t="str">
        <f>IF(ISBLANK(regional!I46),"",regional!I46)</f>
        <v/>
      </c>
      <c r="K422" s="262" t="s">
        <v>4241</v>
      </c>
      <c r="O422" s="262" t="s">
        <v>4241</v>
      </c>
    </row>
    <row r="423" spans="1:15" ht="12.75" customHeight="1" x14ac:dyDescent="0.3">
      <c r="A423" s="216"/>
      <c r="B423" s="228"/>
      <c r="C423" s="228"/>
      <c r="D423" s="228"/>
      <c r="E423" s="228"/>
      <c r="F423" s="228"/>
      <c r="G423" s="578"/>
      <c r="H423" s="216"/>
      <c r="I423" s="239" t="str">
        <f>IF(ISBLANK(regional!I47),"",regional!I47)</f>
        <v/>
      </c>
      <c r="K423" s="262" t="s">
        <v>4241</v>
      </c>
      <c r="O423" s="262" t="s">
        <v>4241</v>
      </c>
    </row>
    <row r="424" spans="1:15" ht="12.75" customHeight="1" x14ac:dyDescent="0.3">
      <c r="A424" s="216" t="s">
        <v>1039</v>
      </c>
      <c r="B424" s="228"/>
      <c r="C424" s="228"/>
      <c r="D424" s="228"/>
      <c r="E424" s="228"/>
      <c r="F424" s="228"/>
      <c r="G424" s="216" t="s">
        <v>1040</v>
      </c>
      <c r="H424" s="216" t="s">
        <v>617</v>
      </c>
      <c r="I424" s="239" t="str">
        <f>IF(ISBLANK(regional!I48),"",regional!I48)</f>
        <v/>
      </c>
      <c r="K424" s="262" t="s">
        <v>4241</v>
      </c>
      <c r="L424" s="262">
        <v>0</v>
      </c>
      <c r="O424" s="262" t="s">
        <v>4241</v>
      </c>
    </row>
    <row r="425" spans="1:15" ht="12.75" customHeight="1" x14ac:dyDescent="0.3">
      <c r="A425" s="216"/>
      <c r="B425" s="216"/>
      <c r="C425" s="216" t="s">
        <v>1042</v>
      </c>
      <c r="D425" s="578"/>
      <c r="E425" s="228"/>
      <c r="F425" s="228"/>
      <c r="G425" s="216" t="s">
        <v>1043</v>
      </c>
      <c r="H425" s="216" t="s">
        <v>1044</v>
      </c>
      <c r="I425" s="239" t="str">
        <f>IF(ISBLANK(regional!I49),"",regional!I49)</f>
        <v/>
      </c>
      <c r="K425" s="262" t="s">
        <v>4241</v>
      </c>
      <c r="O425" s="262" t="s">
        <v>4241</v>
      </c>
    </row>
    <row r="426" spans="1:15" ht="12.75" customHeight="1" x14ac:dyDescent="0.3">
      <c r="A426" s="216"/>
      <c r="B426" s="228"/>
      <c r="C426" s="228"/>
      <c r="D426" s="228"/>
      <c r="E426" s="228"/>
      <c r="F426" s="228"/>
      <c r="G426" s="578"/>
      <c r="H426" s="216"/>
      <c r="I426" s="239" t="str">
        <f>IF(ISBLANK(regional!I50),"",regional!I50)</f>
        <v/>
      </c>
      <c r="K426" s="262" t="s">
        <v>4241</v>
      </c>
      <c r="O426" s="262" t="s">
        <v>4241</v>
      </c>
    </row>
    <row r="427" spans="1:15" ht="12.75" customHeight="1" x14ac:dyDescent="0.3">
      <c r="A427" s="216" t="s">
        <v>1046</v>
      </c>
      <c r="B427" s="228"/>
      <c r="C427" s="228"/>
      <c r="D427" s="228"/>
      <c r="E427" s="228"/>
      <c r="F427" s="228"/>
      <c r="G427" s="216" t="s">
        <v>1047</v>
      </c>
      <c r="H427" s="216" t="s">
        <v>617</v>
      </c>
      <c r="I427" s="239" t="str">
        <f>IF(ISBLANK(regional!I51),"",regional!I51)</f>
        <v/>
      </c>
      <c r="K427" s="262" t="s">
        <v>4241</v>
      </c>
      <c r="L427" s="262">
        <v>0</v>
      </c>
      <c r="O427" s="262" t="s">
        <v>4241</v>
      </c>
    </row>
    <row r="428" spans="1:15" ht="12.75" customHeight="1" x14ac:dyDescent="0.3">
      <c r="A428" s="216" t="s">
        <v>1048</v>
      </c>
      <c r="B428" s="228"/>
      <c r="C428" s="228"/>
      <c r="D428" s="228"/>
      <c r="E428" s="228"/>
      <c r="F428" s="228"/>
      <c r="G428" s="216" t="s">
        <v>1049</v>
      </c>
      <c r="H428" s="216" t="s">
        <v>617</v>
      </c>
      <c r="I428" s="239" t="str">
        <f>IF(ISBLANK(regional!I52),"",regional!I52)</f>
        <v/>
      </c>
      <c r="K428" s="262" t="s">
        <v>4241</v>
      </c>
      <c r="L428" s="262">
        <v>0</v>
      </c>
      <c r="O428" s="262" t="s">
        <v>4241</v>
      </c>
    </row>
    <row r="429" spans="1:15" ht="12.75" customHeight="1" x14ac:dyDescent="0.3">
      <c r="A429" s="216" t="s">
        <v>1050</v>
      </c>
      <c r="B429" s="228"/>
      <c r="C429" s="228"/>
      <c r="D429" s="228"/>
      <c r="E429" s="228"/>
      <c r="F429" s="228"/>
      <c r="G429" s="216" t="s">
        <v>1051</v>
      </c>
      <c r="H429" s="216" t="s">
        <v>617</v>
      </c>
      <c r="I429" s="239" t="str">
        <f>IF(ISBLANK(regional!I53),"",regional!I53)</f>
        <v/>
      </c>
      <c r="K429" s="262" t="s">
        <v>4241</v>
      </c>
      <c r="L429" s="262">
        <v>0</v>
      </c>
      <c r="O429" s="262" t="s">
        <v>4241</v>
      </c>
    </row>
    <row r="430" spans="1:15" ht="12.75" customHeight="1" x14ac:dyDescent="0.3">
      <c r="A430" s="216" t="s">
        <v>1052</v>
      </c>
      <c r="B430" s="228"/>
      <c r="C430" s="228"/>
      <c r="D430" s="228"/>
      <c r="E430" s="228"/>
      <c r="F430" s="228"/>
      <c r="G430" s="216" t="s">
        <v>1053</v>
      </c>
      <c r="H430" s="216" t="s">
        <v>617</v>
      </c>
      <c r="I430" s="239" t="str">
        <f>IF(ISBLANK(regional!I54),"",regional!I54)</f>
        <v/>
      </c>
      <c r="K430" s="262" t="s">
        <v>4241</v>
      </c>
      <c r="L430" s="262">
        <v>0</v>
      </c>
      <c r="O430" s="262" t="s">
        <v>4241</v>
      </c>
    </row>
    <row r="431" spans="1:15" ht="12.75" customHeight="1" x14ac:dyDescent="0.3">
      <c r="A431" s="216" t="s">
        <v>1054</v>
      </c>
      <c r="B431" s="228"/>
      <c r="C431" s="228"/>
      <c r="D431" s="228"/>
      <c r="E431" s="228"/>
      <c r="F431" s="228"/>
      <c r="G431" s="216" t="s">
        <v>1055</v>
      </c>
      <c r="H431" s="216" t="s">
        <v>617</v>
      </c>
      <c r="I431" s="239" t="str">
        <f>IF(ISBLANK(regional!I55),"",regional!I55)</f>
        <v/>
      </c>
      <c r="K431" s="262" t="s">
        <v>4241</v>
      </c>
      <c r="L431" s="262">
        <v>0</v>
      </c>
      <c r="O431" s="262" t="s">
        <v>4241</v>
      </c>
    </row>
    <row r="432" spans="1:15" ht="12.75" customHeight="1" x14ac:dyDescent="0.3">
      <c r="A432" s="216"/>
      <c r="B432" s="216" t="s">
        <v>1056</v>
      </c>
      <c r="C432" s="228"/>
      <c r="D432" s="228"/>
      <c r="E432" s="578"/>
      <c r="F432" s="578"/>
      <c r="G432" s="578" t="s">
        <v>1057</v>
      </c>
      <c r="H432" s="216" t="s">
        <v>1058</v>
      </c>
      <c r="I432" s="239" t="str">
        <f>IF(ISBLANK(regional!I56),"",regional!I56)</f>
        <v/>
      </c>
      <c r="K432" s="262" t="s">
        <v>4241</v>
      </c>
      <c r="O432" s="262" t="s">
        <v>4241</v>
      </c>
    </row>
    <row r="433" spans="1:15" ht="12.75" customHeight="1" x14ac:dyDescent="0.3">
      <c r="A433" s="216"/>
      <c r="B433" s="216" t="s">
        <v>1060</v>
      </c>
      <c r="C433" s="228"/>
      <c r="D433" s="228"/>
      <c r="E433" s="578"/>
      <c r="F433" s="578"/>
      <c r="G433" s="578" t="s">
        <v>1061</v>
      </c>
      <c r="H433" s="216" t="s">
        <v>1058</v>
      </c>
      <c r="I433" s="239" t="str">
        <f>IF(ISBLANK(regional!I57),"",regional!I57)</f>
        <v/>
      </c>
      <c r="K433" s="262" t="s">
        <v>4241</v>
      </c>
      <c r="O433" s="262" t="s">
        <v>4241</v>
      </c>
    </row>
    <row r="434" spans="1:15" ht="12.75" customHeight="1" x14ac:dyDescent="0.3">
      <c r="A434" s="216"/>
      <c r="B434" s="216" t="s">
        <v>1062</v>
      </c>
      <c r="C434" s="228"/>
      <c r="D434" s="228"/>
      <c r="E434" s="578"/>
      <c r="F434" s="578"/>
      <c r="G434" s="578" t="s">
        <v>1063</v>
      </c>
      <c r="H434" s="216" t="s">
        <v>1058</v>
      </c>
      <c r="I434" s="239" t="str">
        <f>IF(ISBLANK(regional!I58),"",regional!I58)</f>
        <v/>
      </c>
      <c r="K434" s="262" t="s">
        <v>4241</v>
      </c>
      <c r="O434" s="262" t="s">
        <v>4241</v>
      </c>
    </row>
    <row r="435" spans="1:15" ht="12.75" customHeight="1" x14ac:dyDescent="0.3">
      <c r="A435" s="216"/>
      <c r="B435" s="216" t="s">
        <v>1064</v>
      </c>
      <c r="C435" s="228"/>
      <c r="D435" s="228"/>
      <c r="E435" s="578"/>
      <c r="F435" s="578"/>
      <c r="G435" s="578" t="s">
        <v>1065</v>
      </c>
      <c r="H435" s="216" t="s">
        <v>1058</v>
      </c>
      <c r="I435" s="239" t="str">
        <f>IF(ISBLANK(regional!I59),"",regional!I59)</f>
        <v/>
      </c>
      <c r="K435" s="262" t="s">
        <v>4241</v>
      </c>
      <c r="M435" s="262">
        <v>74.451027688627093</v>
      </c>
      <c r="N435" s="262">
        <v>13.076273510050701</v>
      </c>
      <c r="O435" s="262" t="s">
        <v>4241</v>
      </c>
    </row>
    <row r="436" spans="1:15" ht="12.75" customHeight="1" x14ac:dyDescent="0.3">
      <c r="A436" s="216"/>
      <c r="B436" s="216" t="s">
        <v>1066</v>
      </c>
      <c r="C436" s="216"/>
      <c r="D436" s="228"/>
      <c r="E436" s="578"/>
      <c r="F436" s="578"/>
      <c r="G436" s="578" t="s">
        <v>1067</v>
      </c>
      <c r="H436" s="216" t="s">
        <v>1058</v>
      </c>
      <c r="I436" s="239" t="str">
        <f>IF(ISBLANK(regional!I60),"",regional!I60)</f>
        <v/>
      </c>
      <c r="K436" s="262" t="s">
        <v>4241</v>
      </c>
      <c r="L436" s="262">
        <v>0</v>
      </c>
      <c r="O436" s="262" t="s">
        <v>4241</v>
      </c>
    </row>
    <row r="437" spans="1:15" ht="12.75" customHeight="1" x14ac:dyDescent="0.3">
      <c r="I437" s="239" t="str">
        <f>IF(ISBLANK(regional!I61),"",regional!I61)</f>
        <v/>
      </c>
      <c r="K437" s="262" t="s">
        <v>4241</v>
      </c>
      <c r="O437" s="262" t="s">
        <v>4241</v>
      </c>
    </row>
    <row r="438" spans="1:15" ht="12.75" customHeight="1" x14ac:dyDescent="0.3">
      <c r="A438" s="630" t="s">
        <v>1068</v>
      </c>
      <c r="B438" s="413"/>
      <c r="C438" s="413"/>
      <c r="D438" s="413"/>
      <c r="E438" s="413"/>
      <c r="F438" s="413"/>
      <c r="G438" s="630" t="s">
        <v>258</v>
      </c>
      <c r="H438" s="630" t="s">
        <v>274</v>
      </c>
      <c r="I438" s="239" t="str">
        <f>IF(ISBLANK(regional!I62),"",regional!I62)</f>
        <v>User input</v>
      </c>
      <c r="K438" s="262" t="s">
        <v>259</v>
      </c>
      <c r="O438" s="262" t="s">
        <v>259</v>
      </c>
    </row>
    <row r="439" spans="1:15" ht="12.75" customHeight="1" x14ac:dyDescent="0.3">
      <c r="A439" s="172"/>
      <c r="B439" s="172"/>
      <c r="C439" s="172"/>
      <c r="D439" s="172"/>
      <c r="E439" s="172"/>
      <c r="F439" s="172"/>
      <c r="I439" s="239" t="str">
        <f>IF(ISBLANK(regional!I63),"",regional!I63)</f>
        <v/>
      </c>
      <c r="K439" s="262" t="s">
        <v>4241</v>
      </c>
      <c r="O439" s="262" t="s">
        <v>4241</v>
      </c>
    </row>
    <row r="440" spans="1:15" ht="12.75" customHeight="1" x14ac:dyDescent="0.3">
      <c r="A440" s="228"/>
      <c r="B440" s="228" t="s">
        <v>1069</v>
      </c>
      <c r="C440" s="228"/>
      <c r="D440" s="228"/>
      <c r="E440" s="228"/>
      <c r="F440" s="228"/>
      <c r="G440" s="228" t="s">
        <v>1070</v>
      </c>
      <c r="H440" s="228" t="s">
        <v>291</v>
      </c>
      <c r="I440" s="239" t="str">
        <f>IF(ISBLANK(regional!I64),"",regional!I64)</f>
        <v/>
      </c>
      <c r="K440" s="262" t="s">
        <v>4241</v>
      </c>
      <c r="O440" s="262" t="s">
        <v>4241</v>
      </c>
    </row>
    <row r="441" spans="1:15" ht="12.75" customHeight="1" x14ac:dyDescent="0.3">
      <c r="A441" s="228"/>
      <c r="B441" s="228" t="s">
        <v>1071</v>
      </c>
      <c r="C441" s="228"/>
      <c r="D441" s="228"/>
      <c r="E441" s="228"/>
      <c r="F441" s="228"/>
      <c r="G441" s="228" t="s">
        <v>1072</v>
      </c>
      <c r="H441" s="228" t="s">
        <v>291</v>
      </c>
      <c r="I441" s="239" t="str">
        <f>IF(ISBLANK(regional!I65),"",regional!I65)</f>
        <v/>
      </c>
      <c r="K441" s="262" t="s">
        <v>4241</v>
      </c>
      <c r="O441" s="262" t="s">
        <v>4241</v>
      </c>
    </row>
    <row r="442" spans="1:15" ht="12.75" customHeight="1" x14ac:dyDescent="0.3">
      <c r="A442" s="228"/>
      <c r="B442" s="228" t="s">
        <v>1074</v>
      </c>
      <c r="C442" s="228"/>
      <c r="D442" s="228"/>
      <c r="E442" s="228"/>
      <c r="F442" s="228"/>
      <c r="G442" s="228" t="s">
        <v>1075</v>
      </c>
      <c r="H442" s="228" t="s">
        <v>291</v>
      </c>
      <c r="I442" s="239" t="str">
        <f>IF(ISBLANK(regional!I66),"",regional!I66)</f>
        <v/>
      </c>
      <c r="K442" s="262" t="s">
        <v>4241</v>
      </c>
      <c r="O442" s="262" t="s">
        <v>4241</v>
      </c>
    </row>
    <row r="443" spans="1:15" ht="12.75" customHeight="1" x14ac:dyDescent="0.4">
      <c r="A443" s="228"/>
      <c r="B443" s="228"/>
      <c r="C443" s="228" t="s">
        <v>1076</v>
      </c>
      <c r="D443" s="228"/>
      <c r="E443" s="228"/>
      <c r="F443" s="228"/>
      <c r="G443" s="228" t="s">
        <v>1077</v>
      </c>
      <c r="H443" s="228" t="s">
        <v>1078</v>
      </c>
      <c r="I443" s="239" t="str">
        <f>IF(ISBLANK(regional!I67),"",regional!I67)</f>
        <v/>
      </c>
      <c r="K443" s="262" t="s">
        <v>4241</v>
      </c>
      <c r="O443" s="262" t="s">
        <v>4241</v>
      </c>
    </row>
    <row r="444" spans="1:15" ht="12.75" customHeight="1" x14ac:dyDescent="0.4">
      <c r="A444" s="228"/>
      <c r="B444" s="228"/>
      <c r="C444" s="228" t="s">
        <v>1079</v>
      </c>
      <c r="D444" s="228"/>
      <c r="E444" s="228"/>
      <c r="F444" s="228"/>
      <c r="G444" s="228" t="s">
        <v>1080</v>
      </c>
      <c r="H444" s="228" t="s">
        <v>1081</v>
      </c>
      <c r="I444" s="239" t="str">
        <f>IF(ISBLANK(regional!I68),"",regional!I68)</f>
        <v/>
      </c>
      <c r="K444" s="262" t="s">
        <v>4241</v>
      </c>
      <c r="O444" s="262" t="s">
        <v>4241</v>
      </c>
    </row>
    <row r="445" spans="1:15" ht="12.75" customHeight="1" x14ac:dyDescent="0.4">
      <c r="A445" s="228"/>
      <c r="B445" s="228"/>
      <c r="C445" s="228" t="s">
        <v>1082</v>
      </c>
      <c r="D445" s="228"/>
      <c r="E445" s="228"/>
      <c r="F445" s="228"/>
      <c r="G445" s="228" t="s">
        <v>1083</v>
      </c>
      <c r="H445" s="228" t="s">
        <v>1084</v>
      </c>
      <c r="I445" s="239" t="str">
        <f>IF(ISBLANK(regional!I69),"",regional!I69)</f>
        <v/>
      </c>
      <c r="J445" s="822"/>
      <c r="K445" s="262" t="s">
        <v>4241</v>
      </c>
      <c r="O445" s="262" t="s">
        <v>4241</v>
      </c>
    </row>
    <row r="446" spans="1:15" ht="12.75" customHeight="1" x14ac:dyDescent="0.3">
      <c r="A446" s="216"/>
      <c r="B446" s="216" t="s">
        <v>1086</v>
      </c>
      <c r="C446" s="578"/>
      <c r="D446" s="228"/>
      <c r="E446" s="228"/>
      <c r="F446" s="228"/>
      <c r="G446" s="578" t="s">
        <v>1087</v>
      </c>
      <c r="H446" s="216" t="s">
        <v>291</v>
      </c>
      <c r="I446" s="239" t="str">
        <f>IF(ISBLANK(regional!I70),"",regional!I70)</f>
        <v/>
      </c>
      <c r="K446" s="262" t="s">
        <v>4241</v>
      </c>
      <c r="O446" s="262" t="s">
        <v>4241</v>
      </c>
    </row>
    <row r="447" spans="1:15" ht="12.75" customHeight="1" x14ac:dyDescent="0.3">
      <c r="A447" s="216"/>
      <c r="B447" s="228"/>
      <c r="C447" s="216" t="s">
        <v>1088</v>
      </c>
      <c r="D447" s="228"/>
      <c r="E447" s="228"/>
      <c r="F447" s="228"/>
      <c r="G447" s="578" t="s">
        <v>1089</v>
      </c>
      <c r="H447" s="216" t="s">
        <v>1090</v>
      </c>
      <c r="I447" s="239" t="str">
        <f>IF(ISBLANK(regional!I71),"",regional!I71)</f>
        <v/>
      </c>
      <c r="K447" s="262" t="s">
        <v>4241</v>
      </c>
      <c r="O447" s="262" t="s">
        <v>4241</v>
      </c>
    </row>
    <row r="448" spans="1:15" ht="12.75" customHeight="1" x14ac:dyDescent="0.3">
      <c r="A448" s="216"/>
      <c r="B448" s="228"/>
      <c r="C448" s="216" t="s">
        <v>1092</v>
      </c>
      <c r="D448" s="228"/>
      <c r="E448" s="228"/>
      <c r="F448" s="228"/>
      <c r="G448" s="578" t="s">
        <v>1093</v>
      </c>
      <c r="H448" s="216" t="s">
        <v>291</v>
      </c>
      <c r="I448" s="239" t="str">
        <f>IF(ISBLANK(regional!I72),"",regional!I72)</f>
        <v/>
      </c>
      <c r="K448" s="262" t="s">
        <v>4241</v>
      </c>
      <c r="O448" s="262" t="s">
        <v>4241</v>
      </c>
    </row>
    <row r="449" spans="1:15" ht="12.75" customHeight="1" x14ac:dyDescent="0.3">
      <c r="A449" s="216"/>
      <c r="B449" s="228"/>
      <c r="C449" s="216" t="s">
        <v>720</v>
      </c>
      <c r="D449" s="228"/>
      <c r="E449" s="228"/>
      <c r="F449" s="228"/>
      <c r="G449" s="578" t="s">
        <v>721</v>
      </c>
      <c r="H449" s="216" t="s">
        <v>579</v>
      </c>
      <c r="I449" s="239" t="str">
        <f>IF(ISBLANK(input!I281),"",input!I281)</f>
        <v/>
      </c>
      <c r="K449" s="262" t="s">
        <v>4241</v>
      </c>
      <c r="O449" s="262" t="s">
        <v>4241</v>
      </c>
    </row>
    <row r="450" spans="1:15" ht="12.75" customHeight="1" x14ac:dyDescent="0.3">
      <c r="A450" s="216"/>
      <c r="B450" s="228"/>
      <c r="C450" s="216" t="s">
        <v>1094</v>
      </c>
      <c r="D450" s="228"/>
      <c r="E450" s="228"/>
      <c r="F450" s="228"/>
      <c r="G450" s="578" t="s">
        <v>1095</v>
      </c>
      <c r="H450" s="216" t="s">
        <v>1096</v>
      </c>
      <c r="I450" s="239" t="str">
        <f>IF(ISBLANK(regional!I73),"",regional!I73)</f>
        <v/>
      </c>
      <c r="K450" s="262" t="s">
        <v>4241</v>
      </c>
      <c r="O450" s="262" t="s">
        <v>4241</v>
      </c>
    </row>
    <row r="451" spans="1:15" ht="12.75" customHeight="1" x14ac:dyDescent="0.3">
      <c r="A451" s="216"/>
      <c r="B451" s="228"/>
      <c r="C451" s="216" t="s">
        <v>714</v>
      </c>
      <c r="D451" s="228"/>
      <c r="E451" s="228"/>
      <c r="F451" s="228"/>
      <c r="G451" s="578" t="s">
        <v>715</v>
      </c>
      <c r="H451" s="216" t="s">
        <v>716</v>
      </c>
      <c r="I451" s="239" t="str">
        <f>IF(ISBLANK(input!I278),"",input!I278)</f>
        <v/>
      </c>
      <c r="K451" s="262" t="s">
        <v>4241</v>
      </c>
      <c r="O451" s="262" t="s">
        <v>4241</v>
      </c>
    </row>
    <row r="452" spans="1:15" ht="12.75" customHeight="1" x14ac:dyDescent="0.3">
      <c r="A452" s="216"/>
      <c r="B452" s="216" t="s">
        <v>1097</v>
      </c>
      <c r="C452" s="578"/>
      <c r="D452" s="228"/>
      <c r="E452" s="228"/>
      <c r="F452" s="228"/>
      <c r="G452" s="578" t="s">
        <v>1098</v>
      </c>
      <c r="H452" s="216" t="s">
        <v>291</v>
      </c>
      <c r="I452" s="239" t="str">
        <f>IF(ISBLANK(regional!I74),"",regional!I74)</f>
        <v/>
      </c>
      <c r="K452" s="262" t="s">
        <v>4241</v>
      </c>
      <c r="O452" s="262" t="s">
        <v>4241</v>
      </c>
    </row>
    <row r="453" spans="1:15" ht="12.75" customHeight="1" x14ac:dyDescent="0.3">
      <c r="A453" s="216"/>
      <c r="B453" s="228"/>
      <c r="C453" s="216" t="s">
        <v>1088</v>
      </c>
      <c r="D453" s="228"/>
      <c r="E453" s="228"/>
      <c r="F453" s="228"/>
      <c r="G453" s="578" t="s">
        <v>1099</v>
      </c>
      <c r="H453" s="216" t="s">
        <v>1090</v>
      </c>
      <c r="I453" s="239" t="str">
        <f>IF(ISBLANK(regional!I75),"",regional!I75)</f>
        <v/>
      </c>
      <c r="K453" s="262" t="s">
        <v>4241</v>
      </c>
      <c r="O453" s="262" t="s">
        <v>4241</v>
      </c>
    </row>
    <row r="454" spans="1:15" ht="12.75" customHeight="1" x14ac:dyDescent="0.3">
      <c r="A454" s="216"/>
      <c r="B454" s="228"/>
      <c r="C454" s="216" t="s">
        <v>1092</v>
      </c>
      <c r="D454" s="228"/>
      <c r="E454" s="228"/>
      <c r="F454" s="228"/>
      <c r="G454" s="578" t="s">
        <v>1100</v>
      </c>
      <c r="H454" s="216" t="s">
        <v>291</v>
      </c>
      <c r="I454" s="239" t="str">
        <f>IF(ISBLANK(regional!I76),"",regional!I76)</f>
        <v/>
      </c>
      <c r="K454" s="262" t="s">
        <v>4241</v>
      </c>
      <c r="O454" s="262" t="s">
        <v>4241</v>
      </c>
    </row>
    <row r="455" spans="1:15" ht="12.75" customHeight="1" x14ac:dyDescent="0.3">
      <c r="A455" s="216"/>
      <c r="B455" s="228"/>
      <c r="C455" s="216" t="s">
        <v>723</v>
      </c>
      <c r="D455" s="228"/>
      <c r="E455" s="228"/>
      <c r="F455" s="228"/>
      <c r="G455" s="578" t="s">
        <v>724</v>
      </c>
      <c r="H455" s="216" t="s">
        <v>579</v>
      </c>
      <c r="I455" s="239" t="str">
        <f>IF(ISBLANK(input!I282),"",input!I282)</f>
        <v/>
      </c>
      <c r="K455" s="262" t="s">
        <v>4241</v>
      </c>
      <c r="O455" s="262" t="s">
        <v>4241</v>
      </c>
    </row>
    <row r="456" spans="1:15" ht="12.75" customHeight="1" x14ac:dyDescent="0.3">
      <c r="A456" s="216"/>
      <c r="B456" s="228"/>
      <c r="C456" s="216" t="s">
        <v>1094</v>
      </c>
      <c r="D456" s="228"/>
      <c r="E456" s="228"/>
      <c r="F456" s="228"/>
      <c r="G456" s="578" t="s">
        <v>1101</v>
      </c>
      <c r="H456" s="216" t="s">
        <v>1096</v>
      </c>
      <c r="I456" s="239" t="str">
        <f>IF(ISBLANK(regional!I77),"",regional!I77)</f>
        <v/>
      </c>
      <c r="K456" s="262" t="s">
        <v>4241</v>
      </c>
      <c r="O456" s="262" t="s">
        <v>4241</v>
      </c>
    </row>
    <row r="457" spans="1:15" ht="12.75" customHeight="1" x14ac:dyDescent="0.3">
      <c r="A457" s="216"/>
      <c r="B457" s="228"/>
      <c r="C457" s="216" t="s">
        <v>714</v>
      </c>
      <c r="D457" s="228"/>
      <c r="E457" s="228"/>
      <c r="F457" s="228"/>
      <c r="G457" s="578" t="s">
        <v>718</v>
      </c>
      <c r="H457" s="216" t="s">
        <v>716</v>
      </c>
      <c r="I457" s="239" t="str">
        <f>IF(ISBLANK(input!I279),"",input!I279)</f>
        <v/>
      </c>
      <c r="K457" s="262" t="s">
        <v>4241</v>
      </c>
      <c r="O457" s="262" t="s">
        <v>4241</v>
      </c>
    </row>
    <row r="458" spans="1:15" ht="12.75" customHeight="1" x14ac:dyDescent="0.3">
      <c r="A458" s="216"/>
      <c r="B458" s="216" t="s">
        <v>1102</v>
      </c>
      <c r="C458" s="578"/>
      <c r="D458" s="228"/>
      <c r="E458" s="228"/>
      <c r="F458" s="228"/>
      <c r="G458" s="578" t="s">
        <v>1103</v>
      </c>
      <c r="H458" s="216" t="s">
        <v>291</v>
      </c>
      <c r="I458" s="239" t="str">
        <f>IF(ISBLANK(regional!I78),"",regional!I78)</f>
        <v/>
      </c>
      <c r="K458" s="262" t="s">
        <v>4241</v>
      </c>
      <c r="O458" s="262" t="s">
        <v>4241</v>
      </c>
    </row>
    <row r="459" spans="1:15" ht="12.75" customHeight="1" x14ac:dyDescent="0.3">
      <c r="A459" s="216"/>
      <c r="B459" s="228"/>
      <c r="C459" s="216" t="s">
        <v>1088</v>
      </c>
      <c r="D459" s="228"/>
      <c r="E459" s="228"/>
      <c r="F459" s="228"/>
      <c r="G459" s="578" t="s">
        <v>1104</v>
      </c>
      <c r="H459" s="216" t="s">
        <v>1090</v>
      </c>
      <c r="I459" s="239" t="str">
        <f>IF(ISBLANK(regional!I79),"",regional!I79)</f>
        <v/>
      </c>
      <c r="K459" s="262" t="s">
        <v>4241</v>
      </c>
      <c r="O459" s="262" t="s">
        <v>4241</v>
      </c>
    </row>
    <row r="460" spans="1:15" ht="12.75" customHeight="1" x14ac:dyDescent="0.3">
      <c r="A460" s="216"/>
      <c r="B460" s="228"/>
      <c r="C460" s="216" t="s">
        <v>1092</v>
      </c>
      <c r="D460" s="228"/>
      <c r="E460" s="228"/>
      <c r="F460" s="228"/>
      <c r="G460" s="578" t="s">
        <v>1105</v>
      </c>
      <c r="H460" s="216" t="s">
        <v>291</v>
      </c>
      <c r="I460" s="239" t="str">
        <f>IF(ISBLANK(regional!I80),"",regional!I80)</f>
        <v/>
      </c>
      <c r="K460" s="262" t="s">
        <v>4241</v>
      </c>
      <c r="O460" s="262" t="s">
        <v>4241</v>
      </c>
    </row>
    <row r="461" spans="1:15" ht="12.75" customHeight="1" x14ac:dyDescent="0.3">
      <c r="A461" s="216"/>
      <c r="B461" s="228"/>
      <c r="C461" s="216" t="s">
        <v>725</v>
      </c>
      <c r="D461" s="228"/>
      <c r="E461" s="228"/>
      <c r="F461" s="228"/>
      <c r="G461" s="578" t="s">
        <v>726</v>
      </c>
      <c r="H461" s="216" t="s">
        <v>579</v>
      </c>
      <c r="I461" s="239" t="str">
        <f>IF(ISBLANK(input!I283),"",input!I283)</f>
        <v/>
      </c>
      <c r="K461" s="262" t="s">
        <v>4241</v>
      </c>
      <c r="O461" s="262" t="s">
        <v>4241</v>
      </c>
    </row>
    <row r="462" spans="1:15" ht="12.75" customHeight="1" x14ac:dyDescent="0.3">
      <c r="A462" s="216"/>
      <c r="B462" s="228"/>
      <c r="C462" s="216" t="s">
        <v>1094</v>
      </c>
      <c r="D462" s="228"/>
      <c r="E462" s="228"/>
      <c r="F462" s="228"/>
      <c r="G462" s="578" t="s">
        <v>1106</v>
      </c>
      <c r="H462" s="216" t="s">
        <v>1096</v>
      </c>
      <c r="I462" s="239" t="str">
        <f>IF(ISBLANK(regional!I81),"",regional!I81)</f>
        <v/>
      </c>
      <c r="K462" s="262" t="s">
        <v>4241</v>
      </c>
      <c r="O462" s="262" t="s">
        <v>4241</v>
      </c>
    </row>
    <row r="463" spans="1:15" ht="12.75" customHeight="1" x14ac:dyDescent="0.3">
      <c r="A463" s="216"/>
      <c r="B463" s="228"/>
      <c r="C463" s="216" t="s">
        <v>714</v>
      </c>
      <c r="D463" s="228"/>
      <c r="E463" s="228"/>
      <c r="F463" s="228"/>
      <c r="G463" s="578" t="s">
        <v>719</v>
      </c>
      <c r="H463" s="216" t="s">
        <v>716</v>
      </c>
      <c r="I463" s="239" t="str">
        <f>IF(ISBLANK(input!I280),"",input!I280)</f>
        <v/>
      </c>
      <c r="K463" s="262" t="s">
        <v>4241</v>
      </c>
      <c r="O463" s="262" t="s">
        <v>4241</v>
      </c>
    </row>
    <row r="464" spans="1:15" ht="12.75" customHeight="1" x14ac:dyDescent="0.3">
      <c r="A464" s="567"/>
      <c r="B464" s="566"/>
      <c r="C464" s="567" t="s">
        <v>1107</v>
      </c>
      <c r="D464" s="679"/>
      <c r="E464" s="566"/>
      <c r="F464" s="566"/>
      <c r="G464" s="679" t="s">
        <v>1108</v>
      </c>
      <c r="H464" s="567" t="s">
        <v>291</v>
      </c>
      <c r="I464" s="239" t="str">
        <f>IF(ISBLANK(regional!I82),"",regional!I82)</f>
        <v/>
      </c>
      <c r="K464" s="262" t="s">
        <v>4241</v>
      </c>
      <c r="O464" s="262" t="s">
        <v>4241</v>
      </c>
    </row>
    <row r="465" spans="1:15" ht="12.75" customHeight="1" x14ac:dyDescent="0.3">
      <c r="A465" s="567"/>
      <c r="B465" s="566"/>
      <c r="C465" s="566"/>
      <c r="D465" s="567" t="s">
        <v>1109</v>
      </c>
      <c r="E465" s="566"/>
      <c r="F465" s="566"/>
      <c r="G465" s="679" t="s">
        <v>1110</v>
      </c>
      <c r="H465" s="567" t="s">
        <v>1090</v>
      </c>
      <c r="I465" s="239" t="str">
        <f>IF(ISBLANK(regional!I83),"",regional!I83)</f>
        <v/>
      </c>
      <c r="K465" s="262" t="s">
        <v>4241</v>
      </c>
      <c r="O465" s="262" t="s">
        <v>4241</v>
      </c>
    </row>
    <row r="466" spans="1:15" ht="12.75" customHeight="1" x14ac:dyDescent="0.3">
      <c r="A466" s="567"/>
      <c r="B466" s="566"/>
      <c r="C466" s="567" t="s">
        <v>1111</v>
      </c>
      <c r="D466" s="566"/>
      <c r="E466" s="566"/>
      <c r="F466" s="566"/>
      <c r="G466" s="679" t="s">
        <v>1112</v>
      </c>
      <c r="H466" s="567" t="s">
        <v>291</v>
      </c>
      <c r="I466" s="239" t="str">
        <f>IF(ISBLANK(regional!I84),"",regional!I84)</f>
        <v/>
      </c>
      <c r="K466" s="262" t="s">
        <v>4241</v>
      </c>
      <c r="O466" s="262" t="s">
        <v>4241</v>
      </c>
    </row>
    <row r="467" spans="1:15" ht="12.75" customHeight="1" x14ac:dyDescent="0.3">
      <c r="A467" s="216"/>
      <c r="B467" s="216"/>
      <c r="C467" s="216" t="s">
        <v>1113</v>
      </c>
      <c r="D467" s="578"/>
      <c r="E467" s="228"/>
      <c r="F467" s="228"/>
      <c r="G467" s="578" t="s">
        <v>1114</v>
      </c>
      <c r="H467" s="216" t="s">
        <v>291</v>
      </c>
      <c r="I467" s="239" t="str">
        <f>IF(ISBLANK(regional!I85),"",regional!I85)</f>
        <v/>
      </c>
      <c r="K467" s="262" t="s">
        <v>4241</v>
      </c>
      <c r="O467" s="262" t="s">
        <v>4241</v>
      </c>
    </row>
    <row r="468" spans="1:15" ht="12.75" customHeight="1" x14ac:dyDescent="0.3">
      <c r="A468" s="216"/>
      <c r="B468" s="228"/>
      <c r="C468" s="228"/>
      <c r="D468" s="216" t="s">
        <v>1115</v>
      </c>
      <c r="E468" s="228"/>
      <c r="F468" s="228"/>
      <c r="G468" s="578" t="s">
        <v>1116</v>
      </c>
      <c r="H468" s="216" t="s">
        <v>1090</v>
      </c>
      <c r="I468" s="239" t="str">
        <f>IF(ISBLANK(regional!I86),"",regional!I86)</f>
        <v/>
      </c>
      <c r="K468" s="262" t="s">
        <v>4241</v>
      </c>
      <c r="O468" s="262" t="s">
        <v>4241</v>
      </c>
    </row>
    <row r="469" spans="1:15" ht="12.75" customHeight="1" x14ac:dyDescent="0.3">
      <c r="A469" s="216"/>
      <c r="B469" s="228"/>
      <c r="C469" s="216" t="s">
        <v>1117</v>
      </c>
      <c r="D469" s="228"/>
      <c r="E469" s="228"/>
      <c r="F469" s="228"/>
      <c r="G469" s="578" t="s">
        <v>1118</v>
      </c>
      <c r="H469" s="216" t="s">
        <v>291</v>
      </c>
      <c r="I469" s="239" t="str">
        <f>IF(ISBLANK(regional!I87),"",regional!I87)</f>
        <v/>
      </c>
      <c r="K469" s="262" t="s">
        <v>4241</v>
      </c>
      <c r="O469" s="262" t="s">
        <v>4241</v>
      </c>
    </row>
    <row r="470" spans="1:15" ht="12.75" customHeight="1" x14ac:dyDescent="0.3">
      <c r="A470" s="216"/>
      <c r="B470" s="216"/>
      <c r="C470" s="216" t="s">
        <v>1119</v>
      </c>
      <c r="D470" s="578"/>
      <c r="E470" s="228"/>
      <c r="F470" s="228"/>
      <c r="G470" s="578" t="s">
        <v>1120</v>
      </c>
      <c r="H470" s="216" t="s">
        <v>291</v>
      </c>
      <c r="I470" s="239" t="str">
        <f>IF(ISBLANK(regional!I88),"",regional!I88)</f>
        <v/>
      </c>
      <c r="K470" s="262" t="s">
        <v>4241</v>
      </c>
      <c r="O470" s="262" t="s">
        <v>4241</v>
      </c>
    </row>
    <row r="471" spans="1:15" ht="12.75" customHeight="1" x14ac:dyDescent="0.3">
      <c r="A471" s="216"/>
      <c r="B471" s="216"/>
      <c r="C471" s="228"/>
      <c r="D471" s="216" t="s">
        <v>1121</v>
      </c>
      <c r="E471" s="228"/>
      <c r="F471" s="228"/>
      <c r="G471" s="578" t="s">
        <v>1122</v>
      </c>
      <c r="H471" s="216" t="s">
        <v>1090</v>
      </c>
      <c r="I471" s="239" t="str">
        <f>IF(ISBLANK(regional!I89),"",regional!I89)</f>
        <v/>
      </c>
      <c r="K471" s="262" t="s">
        <v>4241</v>
      </c>
      <c r="O471" s="262" t="s">
        <v>4241</v>
      </c>
    </row>
    <row r="472" spans="1:15" ht="12.75" customHeight="1" x14ac:dyDescent="0.3">
      <c r="A472" s="216"/>
      <c r="B472" s="228"/>
      <c r="C472" s="216" t="s">
        <v>1123</v>
      </c>
      <c r="D472" s="228"/>
      <c r="E472" s="228"/>
      <c r="F472" s="228"/>
      <c r="G472" s="578" t="s">
        <v>1124</v>
      </c>
      <c r="H472" s="216" t="s">
        <v>291</v>
      </c>
      <c r="I472" s="239" t="str">
        <f>IF(ISBLANK(regional!I90),"",regional!I90)</f>
        <v/>
      </c>
      <c r="K472" s="262" t="s">
        <v>4241</v>
      </c>
      <c r="O472" s="262" t="s">
        <v>4241</v>
      </c>
    </row>
    <row r="473" spans="1:15" ht="12.75" customHeight="1" x14ac:dyDescent="0.3">
      <c r="A473" s="216"/>
      <c r="B473" s="216"/>
      <c r="C473" s="216" t="s">
        <v>1125</v>
      </c>
      <c r="D473" s="578"/>
      <c r="E473" s="228"/>
      <c r="F473" s="228"/>
      <c r="G473" s="578" t="s">
        <v>1126</v>
      </c>
      <c r="H473" s="216" t="s">
        <v>291</v>
      </c>
      <c r="I473" s="239" t="str">
        <f>IF(ISBLANK(regional!I91),"",regional!I91)</f>
        <v/>
      </c>
      <c r="K473" s="262" t="s">
        <v>4241</v>
      </c>
      <c r="O473" s="262" t="s">
        <v>4241</v>
      </c>
    </row>
    <row r="474" spans="1:15" ht="12.75" customHeight="1" x14ac:dyDescent="0.3">
      <c r="A474" s="216"/>
      <c r="B474" s="216" t="s">
        <v>1127</v>
      </c>
      <c r="C474" s="578"/>
      <c r="D474" s="228"/>
      <c r="E474" s="228"/>
      <c r="F474" s="228"/>
      <c r="G474" s="578" t="s">
        <v>1128</v>
      </c>
      <c r="H474" s="216" t="s">
        <v>291</v>
      </c>
      <c r="I474" s="239" t="str">
        <f>IF(ISBLANK(regional!I92),"",regional!I92)</f>
        <v/>
      </c>
      <c r="K474" s="262" t="s">
        <v>4241</v>
      </c>
      <c r="O474" s="262" t="s">
        <v>4241</v>
      </c>
    </row>
    <row r="475" spans="1:15" ht="12.75" customHeight="1" x14ac:dyDescent="0.3">
      <c r="A475" s="216"/>
      <c r="B475" s="216" t="s">
        <v>1129</v>
      </c>
      <c r="C475" s="578"/>
      <c r="D475" s="228"/>
      <c r="E475" s="228"/>
      <c r="F475" s="228"/>
      <c r="G475" s="578" t="s">
        <v>1130</v>
      </c>
      <c r="H475" s="216" t="s">
        <v>291</v>
      </c>
      <c r="I475" s="239" t="str">
        <f>IF(ISBLANK(regional!I93),"",regional!I93)</f>
        <v/>
      </c>
      <c r="K475" s="262" t="s">
        <v>4241</v>
      </c>
      <c r="O475" s="262" t="s">
        <v>4241</v>
      </c>
    </row>
    <row r="476" spans="1:15" ht="12.75" customHeight="1" x14ac:dyDescent="0.3">
      <c r="A476" s="216"/>
      <c r="B476" s="228"/>
      <c r="C476" s="216" t="s">
        <v>1131</v>
      </c>
      <c r="D476" s="228"/>
      <c r="E476" s="228"/>
      <c r="F476" s="228"/>
      <c r="G476" s="578" t="s">
        <v>1132</v>
      </c>
      <c r="H476" s="216" t="s">
        <v>1090</v>
      </c>
      <c r="I476" s="239" t="str">
        <f>IF(ISBLANK(regional!I94),"",regional!I94)</f>
        <v/>
      </c>
      <c r="J476" s="228"/>
      <c r="K476" s="262" t="s">
        <v>4241</v>
      </c>
      <c r="O476" s="262" t="s">
        <v>4241</v>
      </c>
    </row>
    <row r="477" spans="1:15" ht="12.75" customHeight="1" x14ac:dyDescent="0.3">
      <c r="A477" s="216"/>
      <c r="B477" s="228"/>
      <c r="C477" s="216" t="s">
        <v>1133</v>
      </c>
      <c r="D477" s="228"/>
      <c r="E477" s="228"/>
      <c r="F477" s="228"/>
      <c r="G477" s="578" t="s">
        <v>1134</v>
      </c>
      <c r="H477" s="216" t="s">
        <v>291</v>
      </c>
      <c r="I477" s="239" t="str">
        <f>IF(ISBLANK(regional!I95),"",regional!I95)</f>
        <v/>
      </c>
      <c r="J477" s="411"/>
      <c r="K477" s="262" t="s">
        <v>4241</v>
      </c>
      <c r="O477" s="262" t="s">
        <v>4241</v>
      </c>
    </row>
    <row r="478" spans="1:15" ht="12.75" customHeight="1" x14ac:dyDescent="0.3">
      <c r="A478" s="216"/>
      <c r="B478" s="216"/>
      <c r="C478" s="216" t="s">
        <v>1135</v>
      </c>
      <c r="D478" s="578"/>
      <c r="E478" s="228"/>
      <c r="F478" s="228"/>
      <c r="G478" s="578" t="s">
        <v>1136</v>
      </c>
      <c r="H478" s="216" t="s">
        <v>291</v>
      </c>
      <c r="I478" s="239" t="str">
        <f>IF(ISBLANK(regional!I96),"",regional!I96)</f>
        <v/>
      </c>
      <c r="J478" s="228"/>
      <c r="K478" s="262" t="s">
        <v>4241</v>
      </c>
      <c r="O478" s="262" t="s">
        <v>4241</v>
      </c>
    </row>
    <row r="479" spans="1:15" ht="12.75" customHeight="1" x14ac:dyDescent="0.3">
      <c r="A479" s="216"/>
      <c r="B479" s="216" t="s">
        <v>1137</v>
      </c>
      <c r="C479" s="578"/>
      <c r="D479" s="228"/>
      <c r="E479" s="228"/>
      <c r="F479" s="228"/>
      <c r="G479" s="578" t="s">
        <v>1138</v>
      </c>
      <c r="H479" s="216" t="s">
        <v>291</v>
      </c>
      <c r="I479" s="239" t="str">
        <f>IF(ISBLANK(regional!I97),"",regional!I97)</f>
        <v/>
      </c>
      <c r="K479" s="262" t="s">
        <v>4241</v>
      </c>
      <c r="O479" s="262" t="s">
        <v>4241</v>
      </c>
    </row>
    <row r="480" spans="1:15" ht="12.75" customHeight="1" x14ac:dyDescent="0.3">
      <c r="A480" s="216"/>
      <c r="B480" s="216" t="s">
        <v>1139</v>
      </c>
      <c r="C480" s="578"/>
      <c r="D480" s="228"/>
      <c r="E480" s="228"/>
      <c r="F480" s="228"/>
      <c r="G480" s="578" t="s">
        <v>1140</v>
      </c>
      <c r="H480" s="216" t="s">
        <v>291</v>
      </c>
      <c r="I480" s="239" t="str">
        <f>IF(ISBLANK(regional!I98),"",regional!I98)</f>
        <v/>
      </c>
      <c r="K480" s="262" t="s">
        <v>4241</v>
      </c>
      <c r="O480" s="262" t="s">
        <v>4241</v>
      </c>
    </row>
    <row r="481" spans="1:15" ht="12.75" customHeight="1" x14ac:dyDescent="0.3">
      <c r="A481" s="216"/>
      <c r="B481" s="228"/>
      <c r="C481" s="216" t="s">
        <v>1141</v>
      </c>
      <c r="D481" s="228"/>
      <c r="E481" s="228"/>
      <c r="F481" s="228"/>
      <c r="G481" s="578" t="s">
        <v>1142</v>
      </c>
      <c r="H481" s="216" t="s">
        <v>1090</v>
      </c>
      <c r="I481" s="239" t="str">
        <f>IF(ISBLANK(regional!I99),"",regional!I99)</f>
        <v/>
      </c>
      <c r="K481" s="262" t="s">
        <v>4241</v>
      </c>
      <c r="O481" s="262" t="s">
        <v>4241</v>
      </c>
    </row>
    <row r="482" spans="1:15" ht="12.75" customHeight="1" x14ac:dyDescent="0.3">
      <c r="A482" s="216"/>
      <c r="B482" s="228"/>
      <c r="C482" s="216" t="s">
        <v>1143</v>
      </c>
      <c r="D482" s="228"/>
      <c r="E482" s="228"/>
      <c r="F482" s="228"/>
      <c r="G482" s="578" t="s">
        <v>1144</v>
      </c>
      <c r="H482" s="216" t="s">
        <v>291</v>
      </c>
      <c r="I482" s="239" t="str">
        <f>IF(ISBLANK(regional!I100),"",regional!I100)</f>
        <v/>
      </c>
      <c r="K482" s="262" t="s">
        <v>4241</v>
      </c>
      <c r="O482" s="262" t="s">
        <v>4241</v>
      </c>
    </row>
    <row r="483" spans="1:15" ht="12.75" customHeight="1" x14ac:dyDescent="0.3">
      <c r="A483" s="216"/>
      <c r="B483" s="216"/>
      <c r="C483" s="216" t="s">
        <v>1145</v>
      </c>
      <c r="D483" s="578"/>
      <c r="E483" s="228"/>
      <c r="F483" s="228"/>
      <c r="G483" s="578" t="s">
        <v>1146</v>
      </c>
      <c r="H483" s="216" t="s">
        <v>291</v>
      </c>
      <c r="I483" s="239" t="str">
        <f>IF(ISBLANK(regional!I101),"",regional!I101)</f>
        <v/>
      </c>
      <c r="K483" s="262" t="s">
        <v>4241</v>
      </c>
      <c r="O483" s="262" t="s">
        <v>4241</v>
      </c>
    </row>
    <row r="484" spans="1:15" ht="12.75" customHeight="1" x14ac:dyDescent="0.3">
      <c r="A484" s="216"/>
      <c r="B484" s="216" t="s">
        <v>1147</v>
      </c>
      <c r="C484" s="578"/>
      <c r="D484" s="228"/>
      <c r="E484" s="228"/>
      <c r="F484" s="228"/>
      <c r="G484" s="578" t="s">
        <v>1148</v>
      </c>
      <c r="H484" s="216" t="s">
        <v>291</v>
      </c>
      <c r="I484" s="239" t="str">
        <f>IF(ISBLANK(regional!I102),"",regional!I102)</f>
        <v/>
      </c>
      <c r="K484" s="262" t="s">
        <v>4241</v>
      </c>
      <c r="O484" s="262" t="s">
        <v>4241</v>
      </c>
    </row>
    <row r="485" spans="1:15" ht="12.75" customHeight="1" x14ac:dyDescent="0.3">
      <c r="A485" s="216"/>
      <c r="B485" s="216" t="s">
        <v>1149</v>
      </c>
      <c r="C485" s="578"/>
      <c r="D485" s="228"/>
      <c r="E485" s="228"/>
      <c r="F485" s="228"/>
      <c r="G485" s="578" t="s">
        <v>1150</v>
      </c>
      <c r="H485" s="216" t="s">
        <v>291</v>
      </c>
      <c r="I485" s="239" t="str">
        <f>IF(ISBLANK(regional!I103),"",regional!I103)</f>
        <v/>
      </c>
      <c r="K485" s="262" t="s">
        <v>4241</v>
      </c>
      <c r="O485" s="262" t="s">
        <v>4241</v>
      </c>
    </row>
    <row r="486" spans="1:15" ht="12.75" customHeight="1" x14ac:dyDescent="0.3">
      <c r="A486" s="216"/>
      <c r="B486" s="228"/>
      <c r="C486" s="216" t="s">
        <v>1151</v>
      </c>
      <c r="D486" s="228"/>
      <c r="E486" s="228"/>
      <c r="F486" s="228"/>
      <c r="G486" s="578" t="s">
        <v>1152</v>
      </c>
      <c r="H486" s="216" t="s">
        <v>1090</v>
      </c>
      <c r="I486" s="239" t="str">
        <f>IF(ISBLANK(regional!I104),"",regional!I104)</f>
        <v/>
      </c>
      <c r="K486" s="262" t="s">
        <v>4241</v>
      </c>
      <c r="O486" s="262" t="s">
        <v>4241</v>
      </c>
    </row>
    <row r="487" spans="1:15" ht="12.75" customHeight="1" x14ac:dyDescent="0.3">
      <c r="A487" s="216"/>
      <c r="B487" s="228"/>
      <c r="C487" s="216" t="s">
        <v>1153</v>
      </c>
      <c r="D487" s="228"/>
      <c r="E487" s="228"/>
      <c r="F487" s="228"/>
      <c r="G487" s="578" t="s">
        <v>1154</v>
      </c>
      <c r="H487" s="216" t="s">
        <v>291</v>
      </c>
      <c r="I487" s="239" t="str">
        <f>IF(ISBLANK(regional!I105),"",regional!I105)</f>
        <v/>
      </c>
      <c r="K487" s="262" t="s">
        <v>4241</v>
      </c>
      <c r="O487" s="262" t="s">
        <v>4241</v>
      </c>
    </row>
    <row r="488" spans="1:15" ht="12.75" customHeight="1" x14ac:dyDescent="0.3">
      <c r="A488" s="172"/>
      <c r="D488" s="172"/>
      <c r="G488" s="183"/>
      <c r="I488" s="239" t="str">
        <f>IF(ISBLANK(regional!I106),"",regional!I106)</f>
        <v/>
      </c>
      <c r="K488" s="262" t="s">
        <v>4241</v>
      </c>
      <c r="O488" s="262" t="s">
        <v>4241</v>
      </c>
    </row>
    <row r="489" spans="1:15" ht="12.75" customHeight="1" x14ac:dyDescent="0.3">
      <c r="A489" s="630" t="s">
        <v>1155</v>
      </c>
      <c r="B489" s="413"/>
      <c r="C489" s="413"/>
      <c r="D489" s="413"/>
      <c r="E489" s="413"/>
      <c r="F489" s="413"/>
      <c r="G489" s="630" t="s">
        <v>258</v>
      </c>
      <c r="H489" s="630" t="s">
        <v>274</v>
      </c>
      <c r="I489" s="239" t="str">
        <f>IF(ISBLANK(regional!I107),"",regional!I107)</f>
        <v>User input</v>
      </c>
      <c r="K489" s="262" t="s">
        <v>259</v>
      </c>
      <c r="O489" s="262" t="s">
        <v>259</v>
      </c>
    </row>
    <row r="490" spans="1:15" ht="12.75" customHeight="1" x14ac:dyDescent="0.3">
      <c r="I490" s="239" t="str">
        <f>IF(ISBLANK(regional!I108),"",regional!I108)</f>
        <v/>
      </c>
      <c r="K490" s="262" t="s">
        <v>4241</v>
      </c>
      <c r="O490" s="262" t="s">
        <v>4241</v>
      </c>
    </row>
    <row r="491" spans="1:15" ht="12.75" customHeight="1" x14ac:dyDescent="0.3">
      <c r="A491" s="216" t="s">
        <v>1156</v>
      </c>
      <c r="B491" s="228"/>
      <c r="C491" s="228"/>
      <c r="D491" s="228"/>
      <c r="E491" s="228"/>
      <c r="F491" s="228"/>
      <c r="G491" s="216" t="s">
        <v>1157</v>
      </c>
      <c r="H491" s="216" t="s">
        <v>617</v>
      </c>
      <c r="I491" s="239" t="str">
        <f>IF(ISBLANK(regional!I109),"",regional!I109)</f>
        <v/>
      </c>
      <c r="K491" s="262">
        <v>0</v>
      </c>
      <c r="L491" s="262">
        <v>0</v>
      </c>
      <c r="O491" s="262" t="s">
        <v>4241</v>
      </c>
    </row>
    <row r="492" spans="1:15" ht="12.75" customHeight="1" x14ac:dyDescent="0.3">
      <c r="A492" s="216" t="s">
        <v>1158</v>
      </c>
      <c r="B492" s="228"/>
      <c r="C492" s="228"/>
      <c r="D492" s="228"/>
      <c r="E492" s="228"/>
      <c r="F492" s="228"/>
      <c r="G492" s="216" t="s">
        <v>1159</v>
      </c>
      <c r="H492" s="216" t="s">
        <v>617</v>
      </c>
      <c r="I492" s="239" t="str">
        <f>IF(ISBLANK(regional!I110),"",regional!I110)</f>
        <v/>
      </c>
      <c r="K492" s="262" t="s">
        <v>4241</v>
      </c>
      <c r="L492" s="262">
        <v>0</v>
      </c>
      <c r="O492" s="262" t="s">
        <v>4241</v>
      </c>
    </row>
    <row r="493" spans="1:15" ht="12.75" customHeight="1" x14ac:dyDescent="0.3">
      <c r="A493" s="216" t="s">
        <v>1160</v>
      </c>
      <c r="B493" s="228"/>
      <c r="C493" s="228"/>
      <c r="D493" s="228"/>
      <c r="E493" s="228"/>
      <c r="F493" s="228"/>
      <c r="G493" s="216" t="s">
        <v>1161</v>
      </c>
      <c r="H493" s="216" t="s">
        <v>617</v>
      </c>
      <c r="I493" s="239" t="str">
        <f>IF(ISBLANK(regional!I111),"",regional!I111)</f>
        <v/>
      </c>
      <c r="K493" s="262">
        <v>0</v>
      </c>
      <c r="L493" s="262">
        <v>0</v>
      </c>
      <c r="O493" s="262" t="s">
        <v>4241</v>
      </c>
    </row>
    <row r="494" spans="1:15" ht="12.75" customHeight="1" x14ac:dyDescent="0.3">
      <c r="A494" s="216" t="s">
        <v>1162</v>
      </c>
      <c r="B494" s="228"/>
      <c r="C494" s="228"/>
      <c r="D494" s="228"/>
      <c r="E494" s="228"/>
      <c r="F494" s="228"/>
      <c r="G494" s="216" t="s">
        <v>1163</v>
      </c>
      <c r="H494" s="216" t="s">
        <v>617</v>
      </c>
      <c r="I494" s="239" t="str">
        <f>IF(ISBLANK(regional!I112),"",regional!I112)</f>
        <v/>
      </c>
      <c r="K494" s="262" t="s">
        <v>4241</v>
      </c>
      <c r="L494" s="262">
        <v>0</v>
      </c>
      <c r="O494" s="262" t="s">
        <v>4241</v>
      </c>
    </row>
    <row r="495" spans="1:15" ht="12.75" customHeight="1" x14ac:dyDescent="0.3">
      <c r="A495" s="216" t="s">
        <v>1164</v>
      </c>
      <c r="B495" s="228"/>
      <c r="C495" s="228"/>
      <c r="D495" s="228"/>
      <c r="E495" s="228"/>
      <c r="F495" s="228"/>
      <c r="G495" s="216" t="s">
        <v>1165</v>
      </c>
      <c r="H495" s="216" t="s">
        <v>617</v>
      </c>
      <c r="I495" s="239" t="str">
        <f>IF(ISBLANK(regional!I113),"",regional!I113)</f>
        <v/>
      </c>
      <c r="K495" s="262">
        <v>0</v>
      </c>
      <c r="L495" s="262">
        <v>0</v>
      </c>
      <c r="O495" s="262" t="s">
        <v>4241</v>
      </c>
    </row>
    <row r="496" spans="1:15" ht="12.75" customHeight="1" x14ac:dyDescent="0.3">
      <c r="A496" s="216" t="s">
        <v>1166</v>
      </c>
      <c r="B496" s="228"/>
      <c r="C496" s="228"/>
      <c r="D496" s="228"/>
      <c r="E496" s="228"/>
      <c r="F496" s="228"/>
      <c r="G496" s="216" t="s">
        <v>1167</v>
      </c>
      <c r="H496" s="216" t="s">
        <v>617</v>
      </c>
      <c r="I496" s="239" t="str">
        <f>IF(ISBLANK(regional!I114),"",regional!I114)</f>
        <v/>
      </c>
      <c r="K496" s="262">
        <v>0</v>
      </c>
      <c r="L496" s="262">
        <v>0</v>
      </c>
      <c r="O496" s="262" t="s">
        <v>4241</v>
      </c>
    </row>
    <row r="497" spans="1:15" ht="12.75" customHeight="1" x14ac:dyDescent="0.3">
      <c r="A497" s="216" t="s">
        <v>1168</v>
      </c>
      <c r="B497" s="228"/>
      <c r="C497" s="228"/>
      <c r="D497" s="228"/>
      <c r="E497" s="228"/>
      <c r="F497" s="228"/>
      <c r="G497" s="216" t="s">
        <v>1169</v>
      </c>
      <c r="H497" s="216" t="s">
        <v>617</v>
      </c>
      <c r="I497" s="239" t="str">
        <f>IF(ISBLANK(regional!I115),"",regional!I115)</f>
        <v/>
      </c>
      <c r="K497" s="262" t="s">
        <v>4241</v>
      </c>
      <c r="O497" s="262" t="s">
        <v>4241</v>
      </c>
    </row>
    <row r="498" spans="1:15" ht="12.75" customHeight="1" x14ac:dyDescent="0.3">
      <c r="A498" s="216" t="s">
        <v>1170</v>
      </c>
      <c r="B498" s="228"/>
      <c r="C498" s="228"/>
      <c r="D498" s="228"/>
      <c r="E498" s="228"/>
      <c r="F498" s="228"/>
      <c r="G498" s="216" t="s">
        <v>1171</v>
      </c>
      <c r="H498" s="216" t="s">
        <v>617</v>
      </c>
      <c r="I498" s="239" t="str">
        <f>IF(ISBLANK(regional!I116),"",regional!I116)</f>
        <v/>
      </c>
      <c r="K498" s="262" t="s">
        <v>4241</v>
      </c>
      <c r="O498" s="262" t="s">
        <v>4241</v>
      </c>
    </row>
    <row r="499" spans="1:15" ht="12.75" customHeight="1" x14ac:dyDescent="0.3">
      <c r="A499" s="216" t="s">
        <v>1172</v>
      </c>
      <c r="B499" s="228"/>
      <c r="C499" s="228"/>
      <c r="D499" s="228"/>
      <c r="E499" s="228"/>
      <c r="F499" s="228"/>
      <c r="G499" s="216" t="s">
        <v>1173</v>
      </c>
      <c r="H499" s="216" t="s">
        <v>617</v>
      </c>
      <c r="I499" s="239" t="str">
        <f>IF(ISBLANK(regional!I117),"",regional!I117)</f>
        <v/>
      </c>
      <c r="K499" s="262" t="s">
        <v>4241</v>
      </c>
      <c r="O499" s="262" t="s">
        <v>4241</v>
      </c>
    </row>
    <row r="500" spans="1:15" ht="12.75" customHeight="1" x14ac:dyDescent="0.3">
      <c r="A500" s="216" t="s">
        <v>1174</v>
      </c>
      <c r="B500" s="228"/>
      <c r="C500" s="228"/>
      <c r="D500" s="228"/>
      <c r="E500" s="228"/>
      <c r="F500" s="228"/>
      <c r="G500" s="216" t="s">
        <v>1175</v>
      </c>
      <c r="H500" s="216" t="s">
        <v>617</v>
      </c>
      <c r="I500" s="239" t="str">
        <f>IF(ISBLANK(regional!I118),"",regional!I118)</f>
        <v/>
      </c>
      <c r="K500" s="262" t="s">
        <v>4241</v>
      </c>
      <c r="O500" s="262" t="s">
        <v>4241</v>
      </c>
    </row>
    <row r="501" spans="1:15" ht="12.75" customHeight="1" x14ac:dyDescent="0.3">
      <c r="A501" s="216" t="s">
        <v>1176</v>
      </c>
      <c r="B501" s="228"/>
      <c r="C501" s="228"/>
      <c r="D501" s="228"/>
      <c r="E501" s="228"/>
      <c r="F501" s="228"/>
      <c r="G501" s="216" t="s">
        <v>1177</v>
      </c>
      <c r="H501" s="216" t="s">
        <v>617</v>
      </c>
      <c r="I501" s="239" t="str">
        <f>IF(ISBLANK(regional!I119),"",regional!I119)</f>
        <v/>
      </c>
      <c r="K501" s="262" t="s">
        <v>4241</v>
      </c>
      <c r="O501" s="262" t="s">
        <v>4241</v>
      </c>
    </row>
    <row r="502" spans="1:15" ht="12.75" customHeight="1" x14ac:dyDescent="0.3">
      <c r="A502" s="216" t="s">
        <v>1178</v>
      </c>
      <c r="B502" s="228"/>
      <c r="C502" s="228"/>
      <c r="D502" s="228"/>
      <c r="E502" s="228"/>
      <c r="F502" s="228"/>
      <c r="G502" s="216" t="s">
        <v>1179</v>
      </c>
      <c r="H502" s="216" t="s">
        <v>617</v>
      </c>
      <c r="I502" s="239" t="str">
        <f>IF(ISBLANK(regional!I120),"",regional!I120)</f>
        <v/>
      </c>
      <c r="K502" s="262" t="s">
        <v>4241</v>
      </c>
      <c r="O502" s="262" t="s">
        <v>4241</v>
      </c>
    </row>
    <row r="503" spans="1:15" ht="12.75" customHeight="1" x14ac:dyDescent="0.3">
      <c r="A503" s="216"/>
      <c r="B503" s="216" t="s">
        <v>1180</v>
      </c>
      <c r="C503" s="228"/>
      <c r="D503" s="228"/>
      <c r="E503" s="228"/>
      <c r="F503" s="228"/>
      <c r="G503" s="641" t="s">
        <v>1181</v>
      </c>
      <c r="H503" s="216" t="s">
        <v>617</v>
      </c>
      <c r="I503" s="239" t="str">
        <f>IF(ISBLANK(regional!I121),"",regional!I121)</f>
        <v/>
      </c>
      <c r="K503" s="262" t="s">
        <v>4241</v>
      </c>
      <c r="O503" s="262" t="s">
        <v>4241</v>
      </c>
    </row>
    <row r="504" spans="1:15" ht="12.75" customHeight="1" x14ac:dyDescent="0.3">
      <c r="A504" s="216"/>
      <c r="B504" s="216"/>
      <c r="C504" s="228" t="s">
        <v>1182</v>
      </c>
      <c r="D504" s="228"/>
      <c r="E504" s="228"/>
      <c r="F504" s="228"/>
      <c r="G504" s="641" t="s">
        <v>1183</v>
      </c>
      <c r="H504" s="216" t="s">
        <v>617</v>
      </c>
      <c r="I504" s="239" t="str">
        <f>IF(ISBLANK(regional!I122),"",regional!I122)</f>
        <v/>
      </c>
      <c r="K504" s="262" t="s">
        <v>4241</v>
      </c>
      <c r="O504" s="262" t="s">
        <v>4241</v>
      </c>
    </row>
    <row r="505" spans="1:15" ht="12.75" customHeight="1" x14ac:dyDescent="0.3">
      <c r="A505" s="216"/>
      <c r="B505" s="216"/>
      <c r="C505" s="216"/>
      <c r="D505" s="216" t="s">
        <v>1184</v>
      </c>
      <c r="E505" s="228"/>
      <c r="F505" s="228"/>
      <c r="G505" s="216" t="s">
        <v>1185</v>
      </c>
      <c r="H505" s="216" t="s">
        <v>617</v>
      </c>
      <c r="I505" s="239" t="str">
        <f>IF(ISBLANK(regional!I123),"",regional!I123)</f>
        <v/>
      </c>
      <c r="K505" s="262" t="s">
        <v>4241</v>
      </c>
      <c r="O505" s="262" t="s">
        <v>4241</v>
      </c>
    </row>
    <row r="506" spans="1:15" ht="12.75" customHeight="1" x14ac:dyDescent="0.3">
      <c r="A506" s="216"/>
      <c r="B506" s="216"/>
      <c r="C506" s="216"/>
      <c r="D506" s="216" t="s">
        <v>1186</v>
      </c>
      <c r="E506" s="228"/>
      <c r="F506" s="228"/>
      <c r="G506" s="216" t="s">
        <v>1187</v>
      </c>
      <c r="H506" s="216" t="s">
        <v>617</v>
      </c>
      <c r="I506" s="239" t="str">
        <f>IF(ISBLANK(regional!I124),"",regional!I124)</f>
        <v/>
      </c>
      <c r="K506" s="262" t="s">
        <v>4241</v>
      </c>
      <c r="O506" s="262" t="s">
        <v>4241</v>
      </c>
    </row>
    <row r="507" spans="1:15" ht="12.75" customHeight="1" x14ac:dyDescent="0.3">
      <c r="A507" s="216"/>
      <c r="B507" s="216"/>
      <c r="C507" s="228"/>
      <c r="D507" s="228" t="s">
        <v>1188</v>
      </c>
      <c r="E507" s="228"/>
      <c r="F507" s="228"/>
      <c r="G507" s="228" t="s">
        <v>1189</v>
      </c>
      <c r="H507" s="228" t="s">
        <v>1190</v>
      </c>
      <c r="I507" s="239" t="str">
        <f>IF(ISBLANK(regional!I125),"",regional!I125)</f>
        <v/>
      </c>
      <c r="K507" s="262" t="s">
        <v>4241</v>
      </c>
      <c r="O507" s="262" t="s">
        <v>4241</v>
      </c>
    </row>
    <row r="508" spans="1:15" ht="12.75" customHeight="1" x14ac:dyDescent="0.3">
      <c r="A508" s="216"/>
      <c r="B508" s="216"/>
      <c r="C508" s="228"/>
      <c r="D508" s="228" t="s">
        <v>1191</v>
      </c>
      <c r="E508" s="228"/>
      <c r="F508" s="228"/>
      <c r="G508" s="228" t="s">
        <v>1192</v>
      </c>
      <c r="H508" s="228" t="s">
        <v>1190</v>
      </c>
      <c r="I508" s="239" t="str">
        <f>IF(ISBLANK(regional!I126),"",regional!I126)</f>
        <v/>
      </c>
      <c r="K508" s="262" t="s">
        <v>4241</v>
      </c>
      <c r="O508" s="262" t="s">
        <v>4241</v>
      </c>
    </row>
    <row r="509" spans="1:15" ht="12.75" customHeight="1" x14ac:dyDescent="0.3">
      <c r="A509" s="216"/>
      <c r="B509" s="216"/>
      <c r="C509" s="216" t="s">
        <v>1193</v>
      </c>
      <c r="D509" s="228"/>
      <c r="E509" s="228"/>
      <c r="F509" s="228"/>
      <c r="G509" s="578" t="s">
        <v>1194</v>
      </c>
      <c r="H509" s="578" t="s">
        <v>1195</v>
      </c>
      <c r="I509" s="239" t="str">
        <f>IF(ISBLANK(regional!I127),"",regional!I127)</f>
        <v/>
      </c>
      <c r="K509" s="262" t="s">
        <v>4241</v>
      </c>
      <c r="O509" s="262" t="s">
        <v>4241</v>
      </c>
    </row>
    <row r="510" spans="1:15" ht="12.75" customHeight="1" x14ac:dyDescent="0.3">
      <c r="A510" s="216"/>
      <c r="B510" s="216"/>
      <c r="C510" s="216" t="s">
        <v>1196</v>
      </c>
      <c r="D510" s="228"/>
      <c r="E510" s="228"/>
      <c r="F510" s="228"/>
      <c r="G510" s="216" t="s">
        <v>1197</v>
      </c>
      <c r="H510" s="578" t="s">
        <v>1195</v>
      </c>
      <c r="I510" s="239" t="str">
        <f>IF(ISBLANK(regional!I128),"",regional!I128)</f>
        <v/>
      </c>
      <c r="K510" s="262" t="s">
        <v>4241</v>
      </c>
      <c r="O510" s="262" t="s">
        <v>4241</v>
      </c>
    </row>
    <row r="511" spans="1:15" ht="12.75" customHeight="1" x14ac:dyDescent="0.3">
      <c r="A511" s="216"/>
      <c r="B511" s="216"/>
      <c r="C511" s="216" t="s">
        <v>4339</v>
      </c>
      <c r="D511" s="228"/>
      <c r="E511" s="228"/>
      <c r="F511" s="228"/>
      <c r="G511" s="216" t="s">
        <v>4340</v>
      </c>
      <c r="H511" s="578" t="s">
        <v>1195</v>
      </c>
      <c r="I511" s="239" t="str">
        <f>IF(ISBLANK(regional!I129),"",regional!I129)</f>
        <v/>
      </c>
      <c r="K511" s="262" t="s">
        <v>4241</v>
      </c>
      <c r="O511" s="262" t="s">
        <v>4241</v>
      </c>
    </row>
    <row r="512" spans="1:15" ht="12.75" customHeight="1" x14ac:dyDescent="0.3">
      <c r="A512" s="216"/>
      <c r="B512" s="216"/>
      <c r="C512" s="228"/>
      <c r="D512" s="578" t="s">
        <v>1200</v>
      </c>
      <c r="E512" s="578"/>
      <c r="F512" s="578"/>
      <c r="G512" s="578" t="s">
        <v>1201</v>
      </c>
      <c r="H512" s="578" t="s">
        <v>1195</v>
      </c>
      <c r="I512" s="239" t="str">
        <f>IF(ISBLANK(regional!I130),"",regional!I130)</f>
        <v/>
      </c>
      <c r="K512" s="262" t="s">
        <v>4241</v>
      </c>
      <c r="O512" s="262" t="s">
        <v>4241</v>
      </c>
    </row>
    <row r="513" spans="1:15" ht="12.75" customHeight="1" x14ac:dyDescent="0.3">
      <c r="A513" s="216"/>
      <c r="B513" s="216"/>
      <c r="C513" s="228"/>
      <c r="D513" s="216" t="s">
        <v>1202</v>
      </c>
      <c r="E513" s="228"/>
      <c r="F513" s="228"/>
      <c r="G513" s="578" t="s">
        <v>1203</v>
      </c>
      <c r="H513" s="216" t="s">
        <v>291</v>
      </c>
      <c r="I513" s="239" t="str">
        <f>IF(ISBLANK(regional!I131),"",regional!I131)</f>
        <v/>
      </c>
      <c r="K513" s="262" t="s">
        <v>4241</v>
      </c>
      <c r="O513" s="262" t="s">
        <v>4241</v>
      </c>
    </row>
    <row r="514" spans="1:15" ht="12.75" customHeight="1" x14ac:dyDescent="0.3">
      <c r="A514" s="216"/>
      <c r="B514" s="216"/>
      <c r="C514" s="216" t="s">
        <v>1204</v>
      </c>
      <c r="D514" s="216"/>
      <c r="E514" s="228"/>
      <c r="F514" s="228"/>
      <c r="G514" s="641" t="s">
        <v>1205</v>
      </c>
      <c r="H514" s="216" t="s">
        <v>1195</v>
      </c>
      <c r="I514" s="239" t="str">
        <f>IF(ISBLANK(regional!I132),"",regional!I132)</f>
        <v/>
      </c>
      <c r="K514" s="262" t="s">
        <v>4241</v>
      </c>
      <c r="O514" s="262" t="s">
        <v>4241</v>
      </c>
    </row>
    <row r="515" spans="1:15" ht="12.75" customHeight="1" x14ac:dyDescent="0.3">
      <c r="A515" s="216"/>
      <c r="B515" s="216"/>
      <c r="C515" s="216" t="s">
        <v>1206</v>
      </c>
      <c r="D515" s="216"/>
      <c r="E515" s="228"/>
      <c r="F515" s="228"/>
      <c r="G515" s="641" t="s">
        <v>1207</v>
      </c>
      <c r="H515" s="216" t="s">
        <v>1195</v>
      </c>
      <c r="I515" s="239" t="str">
        <f>IF(ISBLANK(regional!I133),"",regional!I133)</f>
        <v/>
      </c>
      <c r="J515" s="545"/>
      <c r="K515" s="262" t="s">
        <v>4241</v>
      </c>
      <c r="O515" s="262" t="s">
        <v>4241</v>
      </c>
    </row>
    <row r="516" spans="1:15" ht="12.75" customHeight="1" x14ac:dyDescent="0.3">
      <c r="A516" s="216"/>
      <c r="B516" s="216"/>
      <c r="C516" s="216" t="s">
        <v>1208</v>
      </c>
      <c r="D516" s="216"/>
      <c r="E516" s="228"/>
      <c r="F516" s="228"/>
      <c r="G516" s="641" t="s">
        <v>1209</v>
      </c>
      <c r="H516" s="216" t="s">
        <v>1195</v>
      </c>
      <c r="I516" s="239" t="str">
        <f>IF(ISBLANK(regional!I134),"",regional!I134)</f>
        <v/>
      </c>
      <c r="J516" s="228"/>
      <c r="K516" s="262" t="s">
        <v>4241</v>
      </c>
      <c r="O516" s="262" t="s">
        <v>4241</v>
      </c>
    </row>
    <row r="517" spans="1:15" ht="12.75" customHeight="1" x14ac:dyDescent="0.3">
      <c r="A517" s="216"/>
      <c r="B517" s="216"/>
      <c r="C517" s="216" t="s">
        <v>1211</v>
      </c>
      <c r="D517" s="216"/>
      <c r="E517" s="228"/>
      <c r="F517" s="228"/>
      <c r="G517" s="641" t="s">
        <v>1212</v>
      </c>
      <c r="H517" s="216" t="s">
        <v>1195</v>
      </c>
      <c r="I517" s="239" t="str">
        <f>IF(ISBLANK(regional!I135),"",regional!I135)</f>
        <v/>
      </c>
      <c r="J517" s="228"/>
      <c r="K517" s="262" t="s">
        <v>4241</v>
      </c>
      <c r="O517" s="262" t="s">
        <v>4241</v>
      </c>
    </row>
    <row r="518" spans="1:15" ht="12.75" customHeight="1" x14ac:dyDescent="0.3">
      <c r="A518" s="216"/>
      <c r="B518" s="216"/>
      <c r="C518" s="216" t="s">
        <v>1213</v>
      </c>
      <c r="D518" s="216"/>
      <c r="E518" s="228"/>
      <c r="F518" s="228"/>
      <c r="G518" s="641" t="s">
        <v>1214</v>
      </c>
      <c r="H518" s="216" t="s">
        <v>1195</v>
      </c>
      <c r="I518" s="239" t="str">
        <f>IF(ISBLANK(regional!I136),"",regional!I136)</f>
        <v/>
      </c>
      <c r="J518" s="228"/>
      <c r="K518" s="262" t="s">
        <v>4241</v>
      </c>
      <c r="O518" s="262" t="s">
        <v>4241</v>
      </c>
    </row>
    <row r="519" spans="1:15" ht="12.75" customHeight="1" x14ac:dyDescent="0.3">
      <c r="A519" s="216"/>
      <c r="B519" s="216"/>
      <c r="C519" s="228"/>
      <c r="D519" s="228" t="s">
        <v>1215</v>
      </c>
      <c r="E519" s="578"/>
      <c r="F519" s="578"/>
      <c r="G519" s="228" t="s">
        <v>1216</v>
      </c>
      <c r="H519" s="578" t="s">
        <v>1195</v>
      </c>
      <c r="I519" s="239" t="str">
        <f>IF(ISBLANK(regional!I137),"",regional!I137)</f>
        <v/>
      </c>
      <c r="J519" s="411"/>
      <c r="K519" s="262" t="s">
        <v>4241</v>
      </c>
      <c r="O519" s="262" t="s">
        <v>4241</v>
      </c>
    </row>
    <row r="520" spans="1:15" ht="12.75" customHeight="1" x14ac:dyDescent="0.3">
      <c r="A520" s="216"/>
      <c r="B520" s="216"/>
      <c r="C520" s="228"/>
      <c r="D520" s="228" t="s">
        <v>1217</v>
      </c>
      <c r="E520" s="578"/>
      <c r="F520" s="578"/>
      <c r="G520" s="228" t="s">
        <v>1218</v>
      </c>
      <c r="H520" s="578" t="s">
        <v>1195</v>
      </c>
      <c r="I520" s="239" t="str">
        <f>IF(ISBLANK(regional!I138),"",regional!I138)</f>
        <v/>
      </c>
      <c r="J520" s="228"/>
      <c r="K520" s="262" t="s">
        <v>4241</v>
      </c>
      <c r="O520" s="262" t="s">
        <v>4241</v>
      </c>
    </row>
    <row r="521" spans="1:15" ht="12.75" customHeight="1" x14ac:dyDescent="0.3">
      <c r="A521" s="216"/>
      <c r="B521" s="216" t="s">
        <v>1219</v>
      </c>
      <c r="C521" s="228"/>
      <c r="D521" s="228"/>
      <c r="E521" s="578"/>
      <c r="F521" s="578"/>
      <c r="G521" s="641" t="s">
        <v>1220</v>
      </c>
      <c r="H521" s="216" t="s">
        <v>1195</v>
      </c>
      <c r="I521" s="239" t="str">
        <f>IF(ISBLANK(regional!I139),"",regional!I139)</f>
        <v/>
      </c>
      <c r="K521" s="262" t="s">
        <v>4241</v>
      </c>
      <c r="O521" s="262" t="s">
        <v>4241</v>
      </c>
    </row>
    <row r="522" spans="1:15" ht="12.75" customHeight="1" x14ac:dyDescent="0.3">
      <c r="A522" s="216"/>
      <c r="B522" s="216" t="s">
        <v>1221</v>
      </c>
      <c r="C522" s="228"/>
      <c r="D522" s="228"/>
      <c r="E522" s="578"/>
      <c r="F522" s="578"/>
      <c r="G522" s="641" t="s">
        <v>1222</v>
      </c>
      <c r="H522" s="216" t="s">
        <v>1195</v>
      </c>
      <c r="I522" s="239" t="str">
        <f>IF(ISBLANK(regional!I140),"",regional!I140)</f>
        <v/>
      </c>
      <c r="K522" s="262" t="s">
        <v>4241</v>
      </c>
      <c r="O522" s="262" t="s">
        <v>4241</v>
      </c>
    </row>
    <row r="523" spans="1:15" ht="12.75" customHeight="1" x14ac:dyDescent="0.3">
      <c r="A523" s="216"/>
      <c r="B523" s="216" t="s">
        <v>1223</v>
      </c>
      <c r="C523" s="228"/>
      <c r="D523" s="228"/>
      <c r="E523" s="578"/>
      <c r="F523" s="578"/>
      <c r="G523" s="641" t="s">
        <v>1224</v>
      </c>
      <c r="H523" s="216" t="s">
        <v>1195</v>
      </c>
      <c r="I523" s="239" t="str">
        <f>IF(ISBLANK(regional!I141),"",regional!I141)</f>
        <v/>
      </c>
      <c r="K523" s="262" t="s">
        <v>4241</v>
      </c>
      <c r="O523" s="262" t="s">
        <v>4241</v>
      </c>
    </row>
    <row r="524" spans="1:15" ht="12.75" customHeight="1" x14ac:dyDescent="0.3">
      <c r="A524" s="216"/>
      <c r="B524" s="216"/>
      <c r="C524" s="228" t="s">
        <v>1225</v>
      </c>
      <c r="D524" s="228"/>
      <c r="E524" s="228"/>
      <c r="F524" s="578"/>
      <c r="G524" s="228" t="s">
        <v>1226</v>
      </c>
      <c r="H524" s="578" t="s">
        <v>1195</v>
      </c>
      <c r="I524" s="239" t="str">
        <f>IF(ISBLANK(regional!I142),"",regional!I142)</f>
        <v/>
      </c>
      <c r="K524" s="262" t="s">
        <v>4241</v>
      </c>
      <c r="O524" s="262" t="s">
        <v>4241</v>
      </c>
    </row>
    <row r="525" spans="1:15" ht="12.75" customHeight="1" x14ac:dyDescent="0.3">
      <c r="A525" s="216"/>
      <c r="B525" s="216"/>
      <c r="C525" s="228" t="s">
        <v>1227</v>
      </c>
      <c r="D525" s="228"/>
      <c r="E525" s="578"/>
      <c r="F525" s="578"/>
      <c r="G525" s="228" t="s">
        <v>1228</v>
      </c>
      <c r="H525" s="578" t="s">
        <v>1195</v>
      </c>
      <c r="I525" s="239" t="str">
        <f>IF(ISBLANK(regional!I143),"",regional!I143)</f>
        <v/>
      </c>
      <c r="K525" s="262" t="s">
        <v>4241</v>
      </c>
      <c r="O525" s="262" t="s">
        <v>4241</v>
      </c>
    </row>
    <row r="526" spans="1:15" ht="12.75" customHeight="1" x14ac:dyDescent="0.3">
      <c r="A526" s="216"/>
      <c r="B526" s="216"/>
      <c r="C526" s="228" t="s">
        <v>1229</v>
      </c>
      <c r="D526" s="228"/>
      <c r="E526" s="578"/>
      <c r="F526" s="578"/>
      <c r="G526" s="216" t="s">
        <v>1230</v>
      </c>
      <c r="H526" s="228" t="s">
        <v>291</v>
      </c>
      <c r="I526" s="239" t="str">
        <f>IF(ISBLANK(regional!I144),"",regional!I144)</f>
        <v/>
      </c>
      <c r="K526" s="262" t="s">
        <v>4241</v>
      </c>
      <c r="O526" s="262" t="s">
        <v>4241</v>
      </c>
    </row>
    <row r="527" spans="1:15" ht="12.75" customHeight="1" x14ac:dyDescent="0.3">
      <c r="A527" s="216"/>
      <c r="B527" s="216"/>
      <c r="C527" s="228" t="s">
        <v>1229</v>
      </c>
      <c r="D527" s="228"/>
      <c r="E527" s="578"/>
      <c r="F527" s="578"/>
      <c r="G527" s="216" t="s">
        <v>1232</v>
      </c>
      <c r="H527" s="228" t="s">
        <v>291</v>
      </c>
      <c r="I527" s="239" t="str">
        <f>IF(ISBLANK(regional!I145),"",regional!I145)</f>
        <v/>
      </c>
      <c r="K527" s="262" t="s">
        <v>4241</v>
      </c>
      <c r="O527" s="262" t="s">
        <v>4241</v>
      </c>
    </row>
    <row r="528" spans="1:15" ht="12.75" customHeight="1" x14ac:dyDescent="0.3">
      <c r="A528" s="216"/>
      <c r="B528" s="216"/>
      <c r="C528" s="228" t="s">
        <v>1229</v>
      </c>
      <c r="D528" s="228"/>
      <c r="E528" s="578"/>
      <c r="F528" s="578"/>
      <c r="G528" s="216" t="s">
        <v>1233</v>
      </c>
      <c r="H528" s="228" t="s">
        <v>291</v>
      </c>
      <c r="I528" s="239" t="str">
        <f>IF(ISBLANK(regional!I146),"",regional!I146)</f>
        <v/>
      </c>
      <c r="K528" s="262" t="s">
        <v>4241</v>
      </c>
      <c r="O528" s="262" t="s">
        <v>4241</v>
      </c>
    </row>
    <row r="529" spans="1:15" ht="12.75" customHeight="1" x14ac:dyDescent="0.3">
      <c r="I529" s="239" t="str">
        <f>IF(ISBLANK(regional!I147),"",regional!I147)</f>
        <v/>
      </c>
      <c r="K529" s="262" t="s">
        <v>4241</v>
      </c>
      <c r="O529" s="262" t="s">
        <v>4241</v>
      </c>
    </row>
    <row r="530" spans="1:15" ht="12.75" customHeight="1" x14ac:dyDescent="0.3">
      <c r="A530" s="567" t="s">
        <v>1234</v>
      </c>
      <c r="B530" s="566"/>
      <c r="C530" s="566"/>
      <c r="D530" s="566"/>
      <c r="E530" s="566"/>
      <c r="F530" s="566"/>
      <c r="G530" s="567" t="s">
        <v>1235</v>
      </c>
      <c r="H530" s="567" t="s">
        <v>617</v>
      </c>
      <c r="I530" s="239" t="str">
        <f>IF(ISBLANK(regional!I148),"",regional!I148)</f>
        <v/>
      </c>
      <c r="K530" s="262" t="s">
        <v>4241</v>
      </c>
      <c r="O530" s="262" t="s">
        <v>4241</v>
      </c>
    </row>
    <row r="531" spans="1:15" ht="12.75" customHeight="1" x14ac:dyDescent="0.3">
      <c r="A531" s="216" t="s">
        <v>1237</v>
      </c>
      <c r="B531" s="228"/>
      <c r="C531" s="228"/>
      <c r="D531" s="228"/>
      <c r="E531" s="228"/>
      <c r="F531" s="228"/>
      <c r="G531" s="216" t="s">
        <v>1238</v>
      </c>
      <c r="H531" s="216" t="s">
        <v>617</v>
      </c>
      <c r="I531" s="239" t="str">
        <f>IF(ISBLANK(regional!I149),"",regional!I149)</f>
        <v/>
      </c>
      <c r="K531" s="262" t="s">
        <v>4241</v>
      </c>
      <c r="O531" s="262" t="s">
        <v>4241</v>
      </c>
    </row>
    <row r="532" spans="1:15" ht="12.75" customHeight="1" x14ac:dyDescent="0.3">
      <c r="A532" s="216" t="s">
        <v>1239</v>
      </c>
      <c r="B532" s="228"/>
      <c r="C532" s="228"/>
      <c r="D532" s="228"/>
      <c r="E532" s="228"/>
      <c r="F532" s="228"/>
      <c r="G532" s="216" t="s">
        <v>1240</v>
      </c>
      <c r="H532" s="216" t="s">
        <v>617</v>
      </c>
      <c r="I532" s="239" t="str">
        <f>IF(ISBLANK(regional!I150),"",regional!I150)</f>
        <v/>
      </c>
      <c r="K532" s="262" t="s">
        <v>4241</v>
      </c>
      <c r="O532" s="262" t="s">
        <v>4241</v>
      </c>
    </row>
    <row r="533" spans="1:15" ht="12.75" customHeight="1" x14ac:dyDescent="0.3">
      <c r="A533" s="567" t="s">
        <v>1241</v>
      </c>
      <c r="B533" s="566"/>
      <c r="C533" s="566"/>
      <c r="D533" s="566"/>
      <c r="E533" s="566"/>
      <c r="F533" s="566"/>
      <c r="G533" s="567" t="s">
        <v>1242</v>
      </c>
      <c r="H533" s="567" t="s">
        <v>617</v>
      </c>
      <c r="I533" s="239" t="str">
        <f>IF(ISBLANK(regional!I151),"",regional!I151)</f>
        <v/>
      </c>
      <c r="K533" s="262" t="s">
        <v>4241</v>
      </c>
      <c r="O533" s="262" t="s">
        <v>4241</v>
      </c>
    </row>
    <row r="534" spans="1:15" ht="12.75" customHeight="1" x14ac:dyDescent="0.3">
      <c r="A534" s="216" t="s">
        <v>1244</v>
      </c>
      <c r="B534" s="228"/>
      <c r="C534" s="228"/>
      <c r="D534" s="228"/>
      <c r="E534" s="228"/>
      <c r="F534" s="228"/>
      <c r="G534" s="216" t="s">
        <v>1245</v>
      </c>
      <c r="H534" s="216" t="s">
        <v>617</v>
      </c>
      <c r="I534" s="239" t="str">
        <f>IF(ISBLANK(regional!I152),"",regional!I152)</f>
        <v/>
      </c>
      <c r="K534" s="262" t="s">
        <v>4241</v>
      </c>
      <c r="O534" s="262" t="s">
        <v>4241</v>
      </c>
    </row>
    <row r="535" spans="1:15" ht="12.75" customHeight="1" x14ac:dyDescent="0.3">
      <c r="A535" s="216" t="s">
        <v>1246</v>
      </c>
      <c r="B535" s="228"/>
      <c r="C535" s="228"/>
      <c r="D535" s="228"/>
      <c r="E535" s="228"/>
      <c r="F535" s="228"/>
      <c r="G535" s="216" t="s">
        <v>1247</v>
      </c>
      <c r="H535" s="216" t="s">
        <v>617</v>
      </c>
      <c r="I535" s="239" t="str">
        <f>IF(ISBLANK(regional!I153),"",regional!I153)</f>
        <v/>
      </c>
      <c r="K535" s="262" t="s">
        <v>4241</v>
      </c>
      <c r="O535" s="262" t="s">
        <v>4241</v>
      </c>
    </row>
    <row r="536" spans="1:15" ht="12.75" customHeight="1" x14ac:dyDescent="0.3">
      <c r="A536" s="567"/>
      <c r="B536" s="567" t="s">
        <v>1248</v>
      </c>
      <c r="C536" s="566"/>
      <c r="D536" s="566"/>
      <c r="E536" s="566"/>
      <c r="F536" s="566"/>
      <c r="G536" s="567" t="s">
        <v>1249</v>
      </c>
      <c r="H536" s="679" t="s">
        <v>1195</v>
      </c>
      <c r="I536" s="239" t="str">
        <f>IF(ISBLANK(regional!I154),"",regional!I154)</f>
        <v/>
      </c>
      <c r="K536" s="262" t="s">
        <v>4241</v>
      </c>
      <c r="O536" s="262" t="s">
        <v>4241</v>
      </c>
    </row>
    <row r="537" spans="1:15" ht="12.75" customHeight="1" x14ac:dyDescent="0.3">
      <c r="A537" s="567"/>
      <c r="B537" s="567" t="s">
        <v>1251</v>
      </c>
      <c r="C537" s="566"/>
      <c r="D537" s="566"/>
      <c r="E537" s="566"/>
      <c r="F537" s="566"/>
      <c r="G537" s="567" t="s">
        <v>1252</v>
      </c>
      <c r="H537" s="679" t="s">
        <v>1195</v>
      </c>
      <c r="I537" s="239" t="str">
        <f>IF(ISBLANK(regional!I155),"",regional!I155)</f>
        <v/>
      </c>
      <c r="K537" s="262" t="s">
        <v>4241</v>
      </c>
      <c r="O537" s="262" t="s">
        <v>4241</v>
      </c>
    </row>
    <row r="538" spans="1:15" ht="12.75" customHeight="1" x14ac:dyDescent="0.3">
      <c r="A538" s="216"/>
      <c r="B538" s="216" t="s">
        <v>1248</v>
      </c>
      <c r="C538" s="228"/>
      <c r="D538" s="228"/>
      <c r="E538" s="228"/>
      <c r="F538" s="228"/>
      <c r="G538" s="641" t="s">
        <v>1253</v>
      </c>
      <c r="H538" s="578" t="s">
        <v>1195</v>
      </c>
      <c r="I538" s="239" t="str">
        <f>IF(ISBLANK(regional!I156),"",regional!I156)</f>
        <v/>
      </c>
      <c r="K538" s="262" t="s">
        <v>4241</v>
      </c>
      <c r="O538" s="262" t="s">
        <v>4241</v>
      </c>
    </row>
    <row r="539" spans="1:15" ht="12.75" customHeight="1" x14ac:dyDescent="0.3">
      <c r="A539" s="216"/>
      <c r="B539" s="216" t="s">
        <v>1251</v>
      </c>
      <c r="C539" s="228"/>
      <c r="D539" s="228"/>
      <c r="E539" s="228"/>
      <c r="F539" s="228"/>
      <c r="G539" s="641" t="s">
        <v>1254</v>
      </c>
      <c r="H539" s="578" t="s">
        <v>1195</v>
      </c>
      <c r="I539" s="239" t="str">
        <f>IF(ISBLANK(regional!I157),"",regional!I157)</f>
        <v/>
      </c>
      <c r="K539" s="262" t="s">
        <v>4241</v>
      </c>
      <c r="O539" s="262" t="s">
        <v>4241</v>
      </c>
    </row>
    <row r="540" spans="1:15" ht="12.75" customHeight="1" x14ac:dyDescent="0.3">
      <c r="A540" s="216"/>
      <c r="B540" s="216" t="s">
        <v>1255</v>
      </c>
      <c r="C540" s="228"/>
      <c r="D540" s="228"/>
      <c r="E540" s="228"/>
      <c r="F540" s="228"/>
      <c r="G540" s="641" t="s">
        <v>1256</v>
      </c>
      <c r="H540" s="578" t="s">
        <v>1195</v>
      </c>
      <c r="I540" s="239" t="str">
        <f>IF(ISBLANK(regional!I158),"",regional!I158)</f>
        <v/>
      </c>
      <c r="K540" s="262" t="s">
        <v>4241</v>
      </c>
      <c r="O540" s="262" t="s">
        <v>4241</v>
      </c>
    </row>
    <row r="541" spans="1:15" ht="12.75" customHeight="1" x14ac:dyDescent="0.3">
      <c r="A541" s="216"/>
      <c r="B541" s="216" t="s">
        <v>1257</v>
      </c>
      <c r="C541" s="228"/>
      <c r="D541" s="228"/>
      <c r="E541" s="228"/>
      <c r="F541" s="228"/>
      <c r="G541" s="641" t="s">
        <v>1258</v>
      </c>
      <c r="H541" s="578" t="s">
        <v>1195</v>
      </c>
      <c r="I541" s="239" t="str">
        <f>IF(ISBLANK(regional!I159),"",regional!I159)</f>
        <v/>
      </c>
      <c r="K541" s="262" t="s">
        <v>4241</v>
      </c>
      <c r="O541" s="262" t="s">
        <v>4241</v>
      </c>
    </row>
    <row r="542" spans="1:15" ht="12.75" customHeight="1" x14ac:dyDescent="0.3">
      <c r="A542" s="567"/>
      <c r="B542" s="567"/>
      <c r="C542" s="567" t="s">
        <v>1259</v>
      </c>
      <c r="D542" s="566"/>
      <c r="E542" s="566"/>
      <c r="F542" s="566"/>
      <c r="G542" s="679" t="s">
        <v>1260</v>
      </c>
      <c r="H542" s="679" t="s">
        <v>1195</v>
      </c>
      <c r="I542" s="239" t="str">
        <f>IF(ISBLANK(regional!I160),"",regional!I160)</f>
        <v/>
      </c>
      <c r="K542" s="262" t="s">
        <v>4241</v>
      </c>
      <c r="O542" s="262" t="s">
        <v>4241</v>
      </c>
    </row>
    <row r="543" spans="1:15" ht="12.75" customHeight="1" x14ac:dyDescent="0.3">
      <c r="A543" s="216"/>
      <c r="B543" s="216"/>
      <c r="C543" s="216" t="s">
        <v>1261</v>
      </c>
      <c r="D543" s="228"/>
      <c r="E543" s="228"/>
      <c r="F543" s="228"/>
      <c r="G543" s="578" t="s">
        <v>1262</v>
      </c>
      <c r="H543" s="578" t="s">
        <v>1195</v>
      </c>
      <c r="I543" s="239" t="str">
        <f>IF(ISBLANK(regional!I161),"",regional!I161)</f>
        <v/>
      </c>
      <c r="K543" s="262" t="s">
        <v>4241</v>
      </c>
      <c r="O543" s="262" t="s">
        <v>4241</v>
      </c>
    </row>
    <row r="544" spans="1:15" ht="12.75" customHeight="1" x14ac:dyDescent="0.3">
      <c r="A544" s="216"/>
      <c r="B544" s="216"/>
      <c r="C544" s="216" t="s">
        <v>1263</v>
      </c>
      <c r="D544" s="228"/>
      <c r="E544" s="578"/>
      <c r="F544" s="578"/>
      <c r="G544" s="578" t="s">
        <v>1264</v>
      </c>
      <c r="H544" s="578" t="s">
        <v>1195</v>
      </c>
      <c r="I544" s="239" t="str">
        <f>IF(ISBLANK(regional!I162),"",regional!I162)</f>
        <v/>
      </c>
      <c r="K544" s="262" t="s">
        <v>4241</v>
      </c>
      <c r="O544" s="262" t="s">
        <v>4241</v>
      </c>
    </row>
    <row r="545" spans="1:15" ht="12.75" customHeight="1" x14ac:dyDescent="0.3">
      <c r="A545" s="216"/>
      <c r="B545" s="216"/>
      <c r="C545" s="228"/>
      <c r="D545" s="216" t="s">
        <v>1265</v>
      </c>
      <c r="E545" s="578"/>
      <c r="F545" s="578"/>
      <c r="G545" s="578" t="s">
        <v>1266</v>
      </c>
      <c r="H545" s="578" t="s">
        <v>1195</v>
      </c>
      <c r="I545" s="239" t="str">
        <f>IF(ISBLANK(regional!I163),"",regional!I163)</f>
        <v/>
      </c>
      <c r="K545" s="262" t="s">
        <v>4241</v>
      </c>
      <c r="O545" s="262" t="s">
        <v>4241</v>
      </c>
    </row>
    <row r="546" spans="1:15" ht="12.75" customHeight="1" x14ac:dyDescent="0.3">
      <c r="A546" s="567"/>
      <c r="B546" s="567"/>
      <c r="C546" s="566"/>
      <c r="D546" s="567" t="s">
        <v>1268</v>
      </c>
      <c r="E546" s="679"/>
      <c r="F546" s="679"/>
      <c r="G546" s="679" t="s">
        <v>1269</v>
      </c>
      <c r="H546" s="679" t="s">
        <v>866</v>
      </c>
      <c r="I546" s="239" t="str">
        <f>IF(ISBLANK(regional!I164),"",regional!I164)</f>
        <v/>
      </c>
      <c r="K546" s="262" t="s">
        <v>4241</v>
      </c>
      <c r="O546" s="262" t="s">
        <v>4241</v>
      </c>
    </row>
    <row r="547" spans="1:15" ht="12.75" customHeight="1" x14ac:dyDescent="0.3">
      <c r="A547" s="216"/>
      <c r="B547" s="216"/>
      <c r="C547" s="228"/>
      <c r="D547" s="216" t="s">
        <v>1270</v>
      </c>
      <c r="E547" s="578"/>
      <c r="F547" s="216"/>
      <c r="G547" s="578" t="s">
        <v>1271</v>
      </c>
      <c r="H547" s="578" t="s">
        <v>1195</v>
      </c>
      <c r="I547" s="239" t="str">
        <f>IF(ISBLANK(regional!I165),"",regional!I165)</f>
        <v/>
      </c>
      <c r="K547" s="262" t="s">
        <v>4241</v>
      </c>
      <c r="O547" s="262" t="s">
        <v>4241</v>
      </c>
    </row>
    <row r="548" spans="1:15" ht="12.75" customHeight="1" x14ac:dyDescent="0.3">
      <c r="A548" s="216"/>
      <c r="B548" s="216"/>
      <c r="C548" s="228"/>
      <c r="D548" s="216" t="s">
        <v>1273</v>
      </c>
      <c r="E548" s="578"/>
      <c r="F548" s="216"/>
      <c r="G548" s="578" t="s">
        <v>1274</v>
      </c>
      <c r="H548" s="578" t="s">
        <v>1195</v>
      </c>
      <c r="I548" s="239" t="str">
        <f>IF(ISBLANK(regional!I166),"",regional!I166)</f>
        <v/>
      </c>
      <c r="K548" s="262" t="s">
        <v>4241</v>
      </c>
      <c r="O548" s="262" t="s">
        <v>4241</v>
      </c>
    </row>
    <row r="549" spans="1:15" ht="12.75" customHeight="1" x14ac:dyDescent="0.3">
      <c r="A549" s="216"/>
      <c r="B549" s="216"/>
      <c r="C549" s="228"/>
      <c r="D549" s="228"/>
      <c r="E549" s="216" t="s">
        <v>1275</v>
      </c>
      <c r="F549" s="578"/>
      <c r="G549" s="578" t="s">
        <v>1276</v>
      </c>
      <c r="H549" s="216" t="s">
        <v>1277</v>
      </c>
      <c r="I549" s="239" t="str">
        <f>IF(ISBLANK(regional!I167),"",regional!I167)</f>
        <v/>
      </c>
      <c r="K549" s="262" t="s">
        <v>4241</v>
      </c>
      <c r="O549" s="262" t="s">
        <v>4241</v>
      </c>
    </row>
    <row r="550" spans="1:15" ht="12.75" customHeight="1" x14ac:dyDescent="0.3">
      <c r="A550" s="216"/>
      <c r="B550" s="216"/>
      <c r="C550" s="228"/>
      <c r="D550" s="228"/>
      <c r="E550" s="216" t="s">
        <v>1279</v>
      </c>
      <c r="F550" s="228"/>
      <c r="G550" s="578" t="s">
        <v>1280</v>
      </c>
      <c r="H550" s="216" t="s">
        <v>1277</v>
      </c>
      <c r="I550" s="239" t="str">
        <f>IF(ISBLANK(regional!I168),"",regional!I168)</f>
        <v/>
      </c>
      <c r="K550" s="262" t="s">
        <v>4241</v>
      </c>
      <c r="O550" s="262" t="s">
        <v>4241</v>
      </c>
    </row>
    <row r="551" spans="1:15" ht="12.75" customHeight="1" x14ac:dyDescent="0.3">
      <c r="A551" s="228"/>
      <c r="B551" s="228" t="s">
        <v>1281</v>
      </c>
      <c r="C551" s="578"/>
      <c r="D551" s="578"/>
      <c r="E551" s="228"/>
      <c r="F551" s="228"/>
      <c r="G551" s="641" t="s">
        <v>1282</v>
      </c>
      <c r="H551" s="578" t="s">
        <v>1195</v>
      </c>
      <c r="I551" s="239" t="str">
        <f>IF(ISBLANK(regional!I169),"",regional!I169)</f>
        <v/>
      </c>
      <c r="K551" s="262" t="s">
        <v>4241</v>
      </c>
      <c r="O551" s="262" t="s">
        <v>4241</v>
      </c>
    </row>
    <row r="552" spans="1:15" ht="12.75" customHeight="1" x14ac:dyDescent="0.3">
      <c r="A552" s="228"/>
      <c r="B552" s="228" t="s">
        <v>1283</v>
      </c>
      <c r="C552" s="578"/>
      <c r="D552" s="578"/>
      <c r="E552" s="228"/>
      <c r="F552" s="228"/>
      <c r="G552" s="641" t="s">
        <v>1284</v>
      </c>
      <c r="H552" s="578" t="s">
        <v>1195</v>
      </c>
      <c r="I552" s="239" t="str">
        <f>IF(ISBLANK(regional!I170),"",regional!I170)</f>
        <v/>
      </c>
      <c r="K552" s="262" t="s">
        <v>4241</v>
      </c>
      <c r="O552" s="262" t="s">
        <v>4241</v>
      </c>
    </row>
    <row r="553" spans="1:15" ht="12.75" customHeight="1" x14ac:dyDescent="0.3">
      <c r="A553" s="228"/>
      <c r="B553" s="228" t="s">
        <v>1285</v>
      </c>
      <c r="C553" s="578"/>
      <c r="D553" s="578"/>
      <c r="E553" s="228"/>
      <c r="F553" s="578"/>
      <c r="G553" s="641" t="s">
        <v>1286</v>
      </c>
      <c r="H553" s="578" t="s">
        <v>1195</v>
      </c>
      <c r="I553" s="239" t="str">
        <f>IF(ISBLANK(regional!I171),"",regional!I171)</f>
        <v/>
      </c>
      <c r="K553" s="262" t="s">
        <v>4241</v>
      </c>
      <c r="O553" s="262" t="s">
        <v>4241</v>
      </c>
    </row>
    <row r="554" spans="1:15" ht="12.75" customHeight="1" x14ac:dyDescent="0.3">
      <c r="A554" s="228"/>
      <c r="B554" s="228" t="s">
        <v>1287</v>
      </c>
      <c r="C554" s="578"/>
      <c r="D554" s="578"/>
      <c r="E554" s="228"/>
      <c r="F554" s="578"/>
      <c r="G554" s="641" t="s">
        <v>1288</v>
      </c>
      <c r="H554" s="578" t="s">
        <v>1195</v>
      </c>
      <c r="I554" s="239" t="str">
        <f>IF(ISBLANK(regional!I172),"",regional!I172)</f>
        <v/>
      </c>
      <c r="K554" s="262" t="s">
        <v>4241</v>
      </c>
      <c r="O554" s="262" t="s">
        <v>4241</v>
      </c>
    </row>
    <row r="555" spans="1:15" ht="12.75" customHeight="1" x14ac:dyDescent="0.3">
      <c r="A555" s="216"/>
      <c r="B555" s="216"/>
      <c r="C555" s="228" t="s">
        <v>1289</v>
      </c>
      <c r="D555" s="228"/>
      <c r="E555" s="578"/>
      <c r="F555" s="578"/>
      <c r="G555" s="228" t="s">
        <v>1290</v>
      </c>
      <c r="H555" s="578" t="s">
        <v>1195</v>
      </c>
      <c r="I555" s="239" t="str">
        <f>IF(ISBLANK(regional!I173),"",regional!I173)</f>
        <v/>
      </c>
      <c r="K555" s="262" t="s">
        <v>4241</v>
      </c>
      <c r="O555" s="262" t="s">
        <v>4241</v>
      </c>
    </row>
    <row r="556" spans="1:15" ht="12.75" customHeight="1" x14ac:dyDescent="0.3">
      <c r="A556" s="216"/>
      <c r="B556" s="216"/>
      <c r="C556" s="228" t="s">
        <v>1291</v>
      </c>
      <c r="D556" s="228"/>
      <c r="E556" s="578"/>
      <c r="F556" s="228"/>
      <c r="G556" s="228" t="s">
        <v>1292</v>
      </c>
      <c r="H556" s="578" t="s">
        <v>1195</v>
      </c>
      <c r="I556" s="239" t="str">
        <f>IF(ISBLANK(regional!I174),"",regional!I174)</f>
        <v/>
      </c>
      <c r="K556" s="262" t="s">
        <v>4241</v>
      </c>
      <c r="O556" s="262" t="s">
        <v>4241</v>
      </c>
    </row>
    <row r="557" spans="1:15" ht="12.75" customHeight="1" x14ac:dyDescent="0.3">
      <c r="A557" s="216"/>
      <c r="B557" s="228"/>
      <c r="C557" s="228"/>
      <c r="D557" s="228"/>
      <c r="E557" s="228"/>
      <c r="F557" s="228"/>
      <c r="G557" s="578"/>
      <c r="H557" s="216"/>
      <c r="I557" s="239" t="str">
        <f>IF(ISBLANK(regional!I175),"",regional!I175)</f>
        <v/>
      </c>
      <c r="K557" s="262" t="s">
        <v>4241</v>
      </c>
      <c r="O557" s="262" t="s">
        <v>4241</v>
      </c>
    </row>
    <row r="558" spans="1:15" ht="12.75" customHeight="1" x14ac:dyDescent="0.3">
      <c r="A558" s="216" t="s">
        <v>1293</v>
      </c>
      <c r="B558" s="228"/>
      <c r="C558" s="228"/>
      <c r="D558" s="228"/>
      <c r="E558" s="228"/>
      <c r="F558" s="228"/>
      <c r="G558" s="216" t="s">
        <v>1294</v>
      </c>
      <c r="H558" s="216" t="s">
        <v>617</v>
      </c>
      <c r="I558" s="239" t="str">
        <f>IF(ISBLANK(regional!I176),"",regional!I176)</f>
        <v/>
      </c>
      <c r="K558" s="262" t="s">
        <v>4241</v>
      </c>
      <c r="O558" s="262" t="s">
        <v>4241</v>
      </c>
    </row>
    <row r="559" spans="1:15" ht="12.75" customHeight="1" x14ac:dyDescent="0.3">
      <c r="A559" s="216" t="s">
        <v>1295</v>
      </c>
      <c r="B559" s="228"/>
      <c r="C559" s="228"/>
      <c r="D559" s="228"/>
      <c r="E559" s="228"/>
      <c r="F559" s="228"/>
      <c r="G559" s="216" t="s">
        <v>1296</v>
      </c>
      <c r="H559" s="216" t="s">
        <v>617</v>
      </c>
      <c r="I559" s="239" t="str">
        <f>IF(ISBLANK(regional!I177),"",regional!I177)</f>
        <v/>
      </c>
      <c r="K559" s="262" t="s">
        <v>4241</v>
      </c>
      <c r="O559" s="262" t="s">
        <v>4241</v>
      </c>
    </row>
    <row r="560" spans="1:15" ht="12.75" customHeight="1" x14ac:dyDescent="0.3">
      <c r="A560" s="216" t="s">
        <v>1297</v>
      </c>
      <c r="B560" s="228"/>
      <c r="C560" s="228"/>
      <c r="D560" s="228"/>
      <c r="E560" s="228"/>
      <c r="F560" s="228"/>
      <c r="G560" s="216" t="s">
        <v>1298</v>
      </c>
      <c r="H560" s="216" t="s">
        <v>617</v>
      </c>
      <c r="I560" s="239" t="str">
        <f>IF(ISBLANK(regional!I178),"",regional!I178)</f>
        <v/>
      </c>
      <c r="J560" s="822"/>
      <c r="K560" s="262" t="s">
        <v>4241</v>
      </c>
      <c r="O560" s="262" t="s">
        <v>4241</v>
      </c>
    </row>
    <row r="561" spans="1:15" ht="12.75" customHeight="1" x14ac:dyDescent="0.3">
      <c r="A561" s="216" t="s">
        <v>4748</v>
      </c>
      <c r="B561" s="228"/>
      <c r="C561" s="228"/>
      <c r="D561" s="228"/>
      <c r="E561" s="228"/>
      <c r="F561" s="228"/>
      <c r="G561" s="216" t="s">
        <v>4736</v>
      </c>
      <c r="H561" s="216" t="s">
        <v>335</v>
      </c>
      <c r="I561" s="239" t="str">
        <f>IF(ISBLANK(regional!I179),"",regional!I179)</f>
        <v/>
      </c>
      <c r="J561" s="822"/>
    </row>
    <row r="562" spans="1:15" ht="12.75" customHeight="1" x14ac:dyDescent="0.3">
      <c r="A562" s="216" t="s">
        <v>4749</v>
      </c>
      <c r="B562" s="228"/>
      <c r="C562" s="228"/>
      <c r="D562" s="228"/>
      <c r="E562" s="228"/>
      <c r="F562" s="228"/>
      <c r="G562" s="216" t="s">
        <v>4737</v>
      </c>
      <c r="H562" s="216" t="s">
        <v>335</v>
      </c>
      <c r="I562" s="239" t="str">
        <f>IF(ISBLANK(regional!I180),"",regional!I180)</f>
        <v/>
      </c>
      <c r="J562" s="822"/>
    </row>
    <row r="563" spans="1:15" ht="12.75" customHeight="1" x14ac:dyDescent="0.3">
      <c r="A563" s="216" t="s">
        <v>4750</v>
      </c>
      <c r="B563" s="228"/>
      <c r="C563" s="228"/>
      <c r="D563" s="228"/>
      <c r="E563" s="228"/>
      <c r="F563" s="228"/>
      <c r="G563" s="216" t="s">
        <v>4738</v>
      </c>
      <c r="H563" s="216" t="s">
        <v>335</v>
      </c>
      <c r="I563" s="239" t="str">
        <f>IF(ISBLANK(regional!I181),"",regional!I181)</f>
        <v/>
      </c>
      <c r="J563" s="822"/>
    </row>
    <row r="564" spans="1:15" ht="12.75" customHeight="1" x14ac:dyDescent="0.3">
      <c r="A564" s="216"/>
      <c r="B564" s="216"/>
      <c r="C564" s="578" t="s">
        <v>1299</v>
      </c>
      <c r="D564" s="228"/>
      <c r="E564" s="578"/>
      <c r="F564" s="578"/>
      <c r="G564" s="578" t="s">
        <v>1300</v>
      </c>
      <c r="H564" s="216" t="s">
        <v>1195</v>
      </c>
      <c r="I564" s="239" t="str">
        <f>IF(ISBLANK(regional!I182),"",regional!I182)</f>
        <v/>
      </c>
      <c r="K564" s="262" t="s">
        <v>4241</v>
      </c>
      <c r="O564" s="262" t="s">
        <v>4241</v>
      </c>
    </row>
    <row r="565" spans="1:15" ht="12.75" customHeight="1" x14ac:dyDescent="0.3">
      <c r="A565" s="216"/>
      <c r="B565" s="216"/>
      <c r="C565" s="578" t="s">
        <v>1301</v>
      </c>
      <c r="D565" s="228"/>
      <c r="E565" s="578"/>
      <c r="F565" s="578"/>
      <c r="G565" s="578" t="s">
        <v>1302</v>
      </c>
      <c r="H565" s="216" t="s">
        <v>1195</v>
      </c>
      <c r="I565" s="239" t="str">
        <f>IF(ISBLANK(regional!I183),"",regional!I183)</f>
        <v/>
      </c>
      <c r="K565" s="262" t="s">
        <v>4241</v>
      </c>
      <c r="O565" s="262" t="s">
        <v>4241</v>
      </c>
    </row>
    <row r="566" spans="1:15" ht="12.75" customHeight="1" x14ac:dyDescent="0.3">
      <c r="A566" s="216"/>
      <c r="B566" s="216"/>
      <c r="C566" s="578" t="s">
        <v>1303</v>
      </c>
      <c r="D566" s="228"/>
      <c r="E566" s="578"/>
      <c r="F566" s="578"/>
      <c r="G566" s="578" t="s">
        <v>1304</v>
      </c>
      <c r="H566" s="216" t="s">
        <v>1195</v>
      </c>
      <c r="I566" s="239" t="str">
        <f>IF(ISBLANK(regional!I184),"",regional!I184)</f>
        <v/>
      </c>
      <c r="K566" s="262" t="s">
        <v>4241</v>
      </c>
      <c r="O566" s="262" t="s">
        <v>4241</v>
      </c>
    </row>
    <row r="567" spans="1:15" ht="12.75" customHeight="1" x14ac:dyDescent="0.3">
      <c r="A567" s="216"/>
      <c r="B567" s="216"/>
      <c r="C567" s="216" t="s">
        <v>1305</v>
      </c>
      <c r="D567" s="228"/>
      <c r="E567" s="578"/>
      <c r="F567" s="578"/>
      <c r="G567" s="578" t="s">
        <v>1306</v>
      </c>
      <c r="H567" s="216" t="s">
        <v>291</v>
      </c>
      <c r="I567" s="239" t="str">
        <f>IF(ISBLANK(regional!I185),"",regional!I185)</f>
        <v/>
      </c>
      <c r="K567" s="262" t="s">
        <v>4241</v>
      </c>
      <c r="O567" s="262" t="s">
        <v>4241</v>
      </c>
    </row>
    <row r="568" spans="1:15" ht="12.75" customHeight="1" x14ac:dyDescent="0.3">
      <c r="A568" s="216"/>
      <c r="B568" s="216"/>
      <c r="C568" s="216" t="s">
        <v>1307</v>
      </c>
      <c r="D568" s="228"/>
      <c r="E568" s="578"/>
      <c r="F568" s="578"/>
      <c r="G568" s="578" t="s">
        <v>1308</v>
      </c>
      <c r="H568" s="216" t="s">
        <v>291</v>
      </c>
      <c r="I568" s="239" t="str">
        <f>IF(ISBLANK(regional!I186),"",regional!I186)</f>
        <v/>
      </c>
      <c r="K568" s="262" t="s">
        <v>4241</v>
      </c>
      <c r="O568" s="262" t="s">
        <v>4241</v>
      </c>
    </row>
    <row r="569" spans="1:15" ht="12.75" customHeight="1" x14ac:dyDescent="0.3">
      <c r="A569" s="216"/>
      <c r="B569" s="216"/>
      <c r="C569" s="216" t="s">
        <v>1309</v>
      </c>
      <c r="D569" s="228"/>
      <c r="E569" s="578"/>
      <c r="F569" s="578"/>
      <c r="G569" s="578" t="s">
        <v>1310</v>
      </c>
      <c r="H569" s="216" t="s">
        <v>291</v>
      </c>
      <c r="I569" s="239" t="str">
        <f>IF(ISBLANK(regional!I187),"",regional!I187)</f>
        <v/>
      </c>
      <c r="J569" s="822"/>
      <c r="K569" s="262" t="s">
        <v>4241</v>
      </c>
      <c r="O569" s="262" t="s">
        <v>4241</v>
      </c>
    </row>
    <row r="570" spans="1:15" ht="12.75" customHeight="1" x14ac:dyDescent="0.3">
      <c r="A570" s="216"/>
      <c r="B570" s="216"/>
      <c r="C570" s="228" t="s">
        <v>1229</v>
      </c>
      <c r="D570" s="228"/>
      <c r="E570" s="578"/>
      <c r="F570" s="578"/>
      <c r="G570" s="216" t="s">
        <v>1311</v>
      </c>
      <c r="H570" s="228" t="s">
        <v>291</v>
      </c>
      <c r="I570" s="239" t="str">
        <f>IF(ISBLANK(regional!I188),"",regional!I188)</f>
        <v/>
      </c>
      <c r="K570" s="262" t="s">
        <v>4241</v>
      </c>
      <c r="O570" s="262" t="s">
        <v>4241</v>
      </c>
    </row>
    <row r="571" spans="1:15" ht="12.75" customHeight="1" x14ac:dyDescent="0.3">
      <c r="A571" s="216"/>
      <c r="B571" s="216"/>
      <c r="C571" s="228" t="s">
        <v>1229</v>
      </c>
      <c r="D571" s="228"/>
      <c r="E571" s="578"/>
      <c r="F571" s="578"/>
      <c r="G571" s="216" t="s">
        <v>1312</v>
      </c>
      <c r="H571" s="228" t="s">
        <v>291</v>
      </c>
      <c r="I571" s="239" t="str">
        <f>IF(ISBLANK(regional!I189),"",regional!I189)</f>
        <v/>
      </c>
      <c r="K571" s="262" t="s">
        <v>4241</v>
      </c>
      <c r="O571" s="262" t="s">
        <v>4241</v>
      </c>
    </row>
    <row r="572" spans="1:15" ht="12.75" customHeight="1" x14ac:dyDescent="0.3">
      <c r="A572" s="216"/>
      <c r="B572" s="216"/>
      <c r="C572" s="228" t="s">
        <v>1229</v>
      </c>
      <c r="D572" s="228"/>
      <c r="E572" s="578"/>
      <c r="F572" s="578"/>
      <c r="G572" s="216" t="s">
        <v>1313</v>
      </c>
      <c r="H572" s="228" t="s">
        <v>291</v>
      </c>
      <c r="I572" s="239" t="str">
        <f>IF(ISBLANK(regional!I190),"",regional!I190)</f>
        <v/>
      </c>
      <c r="K572" s="262" t="s">
        <v>4241</v>
      </c>
      <c r="O572" s="262" t="s">
        <v>4241</v>
      </c>
    </row>
    <row r="573" spans="1:15" ht="12.75" customHeight="1" x14ac:dyDescent="0.3">
      <c r="I573" s="239" t="str">
        <f>IF(ISBLANK(regional!I191),"",regional!I191)</f>
        <v/>
      </c>
      <c r="K573" s="262" t="s">
        <v>4241</v>
      </c>
      <c r="O573" s="262" t="s">
        <v>4241</v>
      </c>
    </row>
    <row r="574" spans="1:15" ht="12.75" customHeight="1" x14ac:dyDescent="0.3">
      <c r="A574" s="630" t="s">
        <v>1314</v>
      </c>
      <c r="B574" s="413"/>
      <c r="C574" s="413"/>
      <c r="D574" s="413"/>
      <c r="E574" s="413"/>
      <c r="F574" s="413"/>
      <c r="G574" s="630" t="s">
        <v>258</v>
      </c>
      <c r="H574" s="630" t="s">
        <v>274</v>
      </c>
      <c r="I574" s="239" t="str">
        <f>IF(ISBLANK(regional!I192),"",regional!I192)</f>
        <v>User input</v>
      </c>
      <c r="K574" s="262" t="s">
        <v>259</v>
      </c>
      <c r="O574" s="262" t="s">
        <v>259</v>
      </c>
    </row>
    <row r="575" spans="1:15" ht="12.75" customHeight="1" x14ac:dyDescent="0.3">
      <c r="A575" s="172"/>
      <c r="I575" s="239" t="str">
        <f>IF(ISBLANK(regional!I193),"",regional!I193)</f>
        <v/>
      </c>
      <c r="K575" s="262" t="s">
        <v>4241</v>
      </c>
      <c r="O575" s="262" t="s">
        <v>4241</v>
      </c>
    </row>
    <row r="576" spans="1:15" ht="12.75" customHeight="1" x14ac:dyDescent="0.3">
      <c r="A576" s="216" t="s">
        <v>1315</v>
      </c>
      <c r="B576" s="228"/>
      <c r="C576" s="228"/>
      <c r="D576" s="228"/>
      <c r="E576" s="228"/>
      <c r="F576" s="228"/>
      <c r="G576" s="216" t="s">
        <v>1316</v>
      </c>
      <c r="H576" s="216" t="s">
        <v>617</v>
      </c>
      <c r="I576" s="239" t="str">
        <f>IF(ISBLANK(regional!I194),"",regional!I194)</f>
        <v/>
      </c>
      <c r="K576" s="262" t="s">
        <v>4241</v>
      </c>
      <c r="O576" s="262" t="s">
        <v>4241</v>
      </c>
    </row>
    <row r="577" spans="1:15" ht="12.75" customHeight="1" x14ac:dyDescent="0.3">
      <c r="A577" s="216" t="s">
        <v>1317</v>
      </c>
      <c r="B577" s="228"/>
      <c r="C577" s="228"/>
      <c r="D577" s="228"/>
      <c r="E577" s="228"/>
      <c r="F577" s="228"/>
      <c r="G577" s="216" t="s">
        <v>1318</v>
      </c>
      <c r="H577" s="216" t="s">
        <v>617</v>
      </c>
      <c r="I577" s="239" t="str">
        <f>IF(ISBLANK(regional!I195),"",regional!I195)</f>
        <v/>
      </c>
      <c r="K577" s="262" t="s">
        <v>4241</v>
      </c>
      <c r="O577" s="262" t="s">
        <v>4241</v>
      </c>
    </row>
    <row r="578" spans="1:15" ht="12.75" customHeight="1" x14ac:dyDescent="0.3">
      <c r="A578" s="216" t="s">
        <v>1319</v>
      </c>
      <c r="B578" s="228"/>
      <c r="C578" s="228"/>
      <c r="D578" s="228"/>
      <c r="E578" s="228"/>
      <c r="F578" s="228"/>
      <c r="G578" s="216" t="s">
        <v>1320</v>
      </c>
      <c r="H578" s="216" t="s">
        <v>617</v>
      </c>
      <c r="I578" s="239" t="str">
        <f>IF(ISBLANK(regional!I196),"",regional!I196)</f>
        <v/>
      </c>
      <c r="K578" s="262" t="s">
        <v>4241</v>
      </c>
      <c r="O578" s="262" t="s">
        <v>4241</v>
      </c>
    </row>
    <row r="579" spans="1:15" ht="12.75" customHeight="1" x14ac:dyDescent="0.3">
      <c r="A579" s="216" t="s">
        <v>1321</v>
      </c>
      <c r="B579" s="228"/>
      <c r="C579" s="228"/>
      <c r="D579" s="228"/>
      <c r="E579" s="228"/>
      <c r="F579" s="228"/>
      <c r="G579" s="216" t="s">
        <v>1322</v>
      </c>
      <c r="H579" s="216" t="s">
        <v>617</v>
      </c>
      <c r="I579" s="239" t="str">
        <f>IF(ISBLANK(regional!I197),"",regional!I197)</f>
        <v/>
      </c>
      <c r="K579" s="262" t="s">
        <v>4241</v>
      </c>
      <c r="O579" s="262" t="s">
        <v>4241</v>
      </c>
    </row>
    <row r="580" spans="1:15" ht="12.75" customHeight="1" x14ac:dyDescent="0.3">
      <c r="A580" s="567" t="s">
        <v>1323</v>
      </c>
      <c r="B580" s="566"/>
      <c r="C580" s="566"/>
      <c r="D580" s="566"/>
      <c r="E580" s="566"/>
      <c r="F580" s="566"/>
      <c r="G580" s="567" t="s">
        <v>1324</v>
      </c>
      <c r="H580" s="567" t="s">
        <v>617</v>
      </c>
      <c r="I580" s="239" t="str">
        <f>IF(ISBLANK(regional!I198),"",regional!I198)</f>
        <v/>
      </c>
      <c r="K580" s="262" t="s">
        <v>4241</v>
      </c>
      <c r="O580" s="262" t="s">
        <v>4241</v>
      </c>
    </row>
    <row r="581" spans="1:15" ht="12.75" customHeight="1" x14ac:dyDescent="0.3">
      <c r="A581" s="216" t="s">
        <v>1325</v>
      </c>
      <c r="B581" s="228"/>
      <c r="C581" s="228"/>
      <c r="D581" s="228"/>
      <c r="E581" s="228"/>
      <c r="F581" s="228"/>
      <c r="G581" s="216" t="s">
        <v>1326</v>
      </c>
      <c r="H581" s="216" t="s">
        <v>617</v>
      </c>
      <c r="I581" s="239" t="str">
        <f>IF(ISBLANK(regional!I199),"",regional!I199)</f>
        <v/>
      </c>
      <c r="K581" s="262" t="s">
        <v>4241</v>
      </c>
      <c r="O581" s="262" t="s">
        <v>4241</v>
      </c>
    </row>
    <row r="582" spans="1:15" ht="12.75" customHeight="1" x14ac:dyDescent="0.3">
      <c r="A582" s="216" t="s">
        <v>1327</v>
      </c>
      <c r="B582" s="228"/>
      <c r="C582" s="228"/>
      <c r="D582" s="228"/>
      <c r="E582" s="228"/>
      <c r="F582" s="228"/>
      <c r="G582" s="216" t="s">
        <v>1328</v>
      </c>
      <c r="H582" s="216" t="s">
        <v>617</v>
      </c>
      <c r="I582" s="239" t="str">
        <f>IF(ISBLANK(regional!I200),"",regional!I200)</f>
        <v/>
      </c>
      <c r="K582" s="262" t="s">
        <v>4241</v>
      </c>
      <c r="O582" s="262" t="s">
        <v>4241</v>
      </c>
    </row>
    <row r="583" spans="1:15" ht="12.75" customHeight="1" x14ac:dyDescent="0.3">
      <c r="A583" s="216" t="s">
        <v>1329</v>
      </c>
      <c r="B583" s="228"/>
      <c r="C583" s="228"/>
      <c r="D583" s="228"/>
      <c r="E583" s="228"/>
      <c r="F583" s="228"/>
      <c r="G583" s="216" t="s">
        <v>1330</v>
      </c>
      <c r="H583" s="216" t="s">
        <v>617</v>
      </c>
      <c r="I583" s="239" t="str">
        <f>IF(ISBLANK(regional!I201),"",regional!I201)</f>
        <v/>
      </c>
      <c r="K583" s="262" t="s">
        <v>4241</v>
      </c>
      <c r="O583" s="262" t="s">
        <v>4241</v>
      </c>
    </row>
    <row r="584" spans="1:15" ht="12.75" customHeight="1" x14ac:dyDescent="0.3">
      <c r="A584" s="216" t="s">
        <v>1331</v>
      </c>
      <c r="B584" s="228"/>
      <c r="C584" s="228"/>
      <c r="D584" s="228"/>
      <c r="E584" s="228"/>
      <c r="F584" s="228"/>
      <c r="G584" s="216" t="s">
        <v>1332</v>
      </c>
      <c r="H584" s="216" t="s">
        <v>617</v>
      </c>
      <c r="I584" s="239" t="str">
        <f>IF(ISBLANK(regional!I202),"",regional!I202)</f>
        <v/>
      </c>
      <c r="K584" s="262" t="s">
        <v>4241</v>
      </c>
      <c r="O584" s="262" t="s">
        <v>4241</v>
      </c>
    </row>
    <row r="585" spans="1:15" ht="12.75" customHeight="1" x14ac:dyDescent="0.3">
      <c r="A585" s="216" t="s">
        <v>1333</v>
      </c>
      <c r="B585" s="228"/>
      <c r="C585" s="228"/>
      <c r="D585" s="228"/>
      <c r="E585" s="228"/>
      <c r="F585" s="228"/>
      <c r="G585" s="216" t="s">
        <v>1334</v>
      </c>
      <c r="H585" s="216" t="s">
        <v>617</v>
      </c>
      <c r="I585" s="239" t="str">
        <f>IF(ISBLANK(regional!I203),"",regional!I203)</f>
        <v/>
      </c>
      <c r="J585" s="228"/>
      <c r="K585" s="262" t="s">
        <v>4241</v>
      </c>
      <c r="O585" s="262" t="s">
        <v>4241</v>
      </c>
    </row>
    <row r="586" spans="1:15" ht="12.75" customHeight="1" x14ac:dyDescent="0.3">
      <c r="A586" s="216"/>
      <c r="B586" s="216" t="s">
        <v>1335</v>
      </c>
      <c r="C586" s="578"/>
      <c r="D586" s="228"/>
      <c r="E586" s="228"/>
      <c r="F586" s="228"/>
      <c r="G586" s="578" t="s">
        <v>1336</v>
      </c>
      <c r="H586" s="216" t="s">
        <v>617</v>
      </c>
      <c r="I586" s="239" t="str">
        <f>IF(ISBLANK(regional!I204),"",regional!I204)</f>
        <v/>
      </c>
      <c r="J586" s="411"/>
      <c r="K586" s="262" t="s">
        <v>4241</v>
      </c>
      <c r="O586" s="262" t="s">
        <v>4241</v>
      </c>
    </row>
    <row r="587" spans="1:15" ht="12.75" customHeight="1" x14ac:dyDescent="0.3">
      <c r="A587" s="216"/>
      <c r="B587" s="216" t="s">
        <v>1337</v>
      </c>
      <c r="C587" s="228"/>
      <c r="D587" s="228"/>
      <c r="E587" s="228"/>
      <c r="F587" s="228"/>
      <c r="G587" s="216" t="s">
        <v>1338</v>
      </c>
      <c r="H587" s="216" t="s">
        <v>617</v>
      </c>
      <c r="I587" s="239" t="str">
        <f>IF(ISBLANK(regional!I205),"",regional!I205)</f>
        <v/>
      </c>
      <c r="J587" s="826"/>
      <c r="K587" s="262" t="s">
        <v>4241</v>
      </c>
      <c r="O587" s="262" t="s">
        <v>4241</v>
      </c>
    </row>
    <row r="588" spans="1:15" ht="12.75" customHeight="1" x14ac:dyDescent="0.3">
      <c r="A588" s="578"/>
      <c r="B588" s="578"/>
      <c r="C588" s="216" t="s">
        <v>1339</v>
      </c>
      <c r="D588" s="228"/>
      <c r="E588" s="228"/>
      <c r="F588" s="228"/>
      <c r="G588" s="216" t="s">
        <v>1340</v>
      </c>
      <c r="H588" s="216" t="s">
        <v>620</v>
      </c>
      <c r="I588" s="239" t="str">
        <f>IF(ISBLANK(regional!I206),"",regional!I206)</f>
        <v/>
      </c>
      <c r="K588" s="262" t="s">
        <v>4241</v>
      </c>
      <c r="O588" s="262" t="s">
        <v>4241</v>
      </c>
    </row>
    <row r="589" spans="1:15" ht="12.75" customHeight="1" x14ac:dyDescent="0.3">
      <c r="A589" s="578"/>
      <c r="B589" s="578"/>
      <c r="C589" s="216" t="s">
        <v>1342</v>
      </c>
      <c r="D589" s="228"/>
      <c r="E589" s="228"/>
      <c r="F589" s="228"/>
      <c r="G589" s="216" t="s">
        <v>1343</v>
      </c>
      <c r="H589" s="216" t="s">
        <v>291</v>
      </c>
      <c r="I589" s="239" t="str">
        <f>IF(ISBLANK(regional!I207),"",regional!I207)</f>
        <v/>
      </c>
      <c r="K589" s="262" t="s">
        <v>4241</v>
      </c>
      <c r="O589" s="262" t="s">
        <v>4241</v>
      </c>
    </row>
    <row r="590" spans="1:15" ht="12.75" customHeight="1" x14ac:dyDescent="0.3">
      <c r="A590" s="216"/>
      <c r="B590" s="216" t="s">
        <v>1344</v>
      </c>
      <c r="C590" s="228"/>
      <c r="D590" s="228"/>
      <c r="E590" s="228"/>
      <c r="F590" s="228"/>
      <c r="G590" s="216" t="s">
        <v>1345</v>
      </c>
      <c r="H590" s="216" t="s">
        <v>617</v>
      </c>
      <c r="I590" s="239" t="str">
        <f>IF(ISBLANK(regional!I208),"",regional!I208)</f>
        <v/>
      </c>
      <c r="K590" s="262" t="s">
        <v>4241</v>
      </c>
      <c r="O590" s="262" t="s">
        <v>4241</v>
      </c>
    </row>
    <row r="591" spans="1:15" ht="12.75" customHeight="1" x14ac:dyDescent="0.3">
      <c r="A591" s="216"/>
      <c r="B591" s="216" t="s">
        <v>1346</v>
      </c>
      <c r="C591" s="228"/>
      <c r="D591" s="228"/>
      <c r="E591" s="228"/>
      <c r="F591" s="228"/>
      <c r="G591" s="216" t="s">
        <v>1347</v>
      </c>
      <c r="H591" s="216" t="s">
        <v>617</v>
      </c>
      <c r="I591" s="239" t="str">
        <f>IF(ISBLANK(regional!I209),"",regional!I209)</f>
        <v/>
      </c>
      <c r="K591" s="262" t="s">
        <v>4241</v>
      </c>
      <c r="O591" s="262" t="s">
        <v>4241</v>
      </c>
    </row>
    <row r="592" spans="1:15" ht="12.75" customHeight="1" x14ac:dyDescent="0.3">
      <c r="A592" s="216"/>
      <c r="B592" s="216" t="s">
        <v>1348</v>
      </c>
      <c r="C592" s="228"/>
      <c r="D592" s="228"/>
      <c r="E592" s="228"/>
      <c r="F592" s="228"/>
      <c r="G592" s="216" t="s">
        <v>1349</v>
      </c>
      <c r="H592" s="216" t="s">
        <v>617</v>
      </c>
      <c r="I592" s="239" t="str">
        <f>IF(ISBLANK(regional!I210),"",regional!I210)</f>
        <v/>
      </c>
      <c r="K592" s="262" t="s">
        <v>4241</v>
      </c>
      <c r="O592" s="262" t="s">
        <v>4241</v>
      </c>
    </row>
    <row r="593" spans="1:15" ht="12.75" customHeight="1" x14ac:dyDescent="0.3">
      <c r="A593" s="216"/>
      <c r="B593" s="216"/>
      <c r="C593" s="216" t="s">
        <v>1350</v>
      </c>
      <c r="D593" s="228"/>
      <c r="E593" s="228"/>
      <c r="F593" s="228"/>
      <c r="G593" s="578" t="s">
        <v>1351</v>
      </c>
      <c r="H593" s="216" t="s">
        <v>1352</v>
      </c>
      <c r="I593" s="239" t="str">
        <f>IF(ISBLANK(regional!I211),"",regional!I211)</f>
        <v/>
      </c>
      <c r="K593" s="262" t="s">
        <v>4241</v>
      </c>
      <c r="O593" s="262" t="s">
        <v>4241</v>
      </c>
    </row>
    <row r="594" spans="1:15" ht="12.75" customHeight="1" x14ac:dyDescent="0.3">
      <c r="A594" s="216"/>
      <c r="B594" s="216"/>
      <c r="C594" s="216" t="s">
        <v>1354</v>
      </c>
      <c r="D594" s="228"/>
      <c r="E594" s="228"/>
      <c r="F594" s="228"/>
      <c r="G594" s="578" t="s">
        <v>1355</v>
      </c>
      <c r="H594" s="216" t="s">
        <v>1352</v>
      </c>
      <c r="I594" s="239" t="str">
        <f>IF(ISBLANK(regional!I212),"",regional!I212)</f>
        <v/>
      </c>
      <c r="K594" s="262" t="s">
        <v>4241</v>
      </c>
      <c r="O594" s="262" t="s">
        <v>4241</v>
      </c>
    </row>
    <row r="595" spans="1:15" ht="12.75" customHeight="1" x14ac:dyDescent="0.3">
      <c r="A595" s="216"/>
      <c r="B595" s="216"/>
      <c r="C595" s="216" t="s">
        <v>1356</v>
      </c>
      <c r="D595" s="228"/>
      <c r="E595" s="228"/>
      <c r="F595" s="228"/>
      <c r="G595" s="578" t="s">
        <v>1357</v>
      </c>
      <c r="H595" s="216" t="s">
        <v>1352</v>
      </c>
      <c r="I595" s="239" t="str">
        <f>IF(ISBLANK(regional!I213),"",regional!I213)</f>
        <v/>
      </c>
      <c r="K595" s="262" t="s">
        <v>4241</v>
      </c>
      <c r="O595" s="262" t="s">
        <v>4241</v>
      </c>
    </row>
    <row r="596" spans="1:15" ht="12.75" customHeight="1" x14ac:dyDescent="0.3">
      <c r="A596" s="578"/>
      <c r="B596" s="578"/>
      <c r="C596" s="216" t="s">
        <v>1358</v>
      </c>
      <c r="D596" s="228"/>
      <c r="E596" s="228"/>
      <c r="F596" s="228"/>
      <c r="G596" s="216" t="s">
        <v>1359</v>
      </c>
      <c r="H596" s="216" t="s">
        <v>291</v>
      </c>
      <c r="I596" s="239" t="str">
        <f>IF(ISBLANK(regional!I214),"",regional!I214)</f>
        <v/>
      </c>
      <c r="K596" s="262" t="s">
        <v>4241</v>
      </c>
      <c r="O596" s="262" t="s">
        <v>4241</v>
      </c>
    </row>
    <row r="597" spans="1:15" ht="12.75" customHeight="1" x14ac:dyDescent="0.3">
      <c r="A597" s="567"/>
      <c r="B597" s="567" t="s">
        <v>1360</v>
      </c>
      <c r="C597" s="566"/>
      <c r="D597" s="566"/>
      <c r="E597" s="566"/>
      <c r="F597" s="566"/>
      <c r="G597" s="567" t="s">
        <v>1361</v>
      </c>
      <c r="H597" s="567" t="s">
        <v>617</v>
      </c>
      <c r="I597" s="239" t="str">
        <f>IF(ISBLANK(regional!I215),"",regional!I215)</f>
        <v/>
      </c>
      <c r="K597" s="262" t="s">
        <v>4241</v>
      </c>
      <c r="O597" s="262" t="s">
        <v>4241</v>
      </c>
    </row>
    <row r="598" spans="1:15" ht="12.75" customHeight="1" x14ac:dyDescent="0.3">
      <c r="A598" s="216"/>
      <c r="B598" s="216" t="s">
        <v>1362</v>
      </c>
      <c r="C598" s="228"/>
      <c r="D598" s="228"/>
      <c r="E598" s="228"/>
      <c r="F598" s="228"/>
      <c r="G598" s="216" t="s">
        <v>1363</v>
      </c>
      <c r="H598" s="216" t="s">
        <v>617</v>
      </c>
      <c r="I598" s="239" t="str">
        <f>IF(ISBLANK(regional!I216),"",regional!I216)</f>
        <v/>
      </c>
      <c r="K598" s="262" t="s">
        <v>4241</v>
      </c>
      <c r="O598" s="262" t="s">
        <v>4241</v>
      </c>
    </row>
    <row r="599" spans="1:15" ht="12.75" customHeight="1" x14ac:dyDescent="0.3">
      <c r="A599" s="216"/>
      <c r="B599" s="216" t="s">
        <v>1364</v>
      </c>
      <c r="C599" s="228"/>
      <c r="D599" s="228"/>
      <c r="E599" s="228"/>
      <c r="F599" s="228"/>
      <c r="G599" s="216" t="s">
        <v>1365</v>
      </c>
      <c r="H599" s="216" t="s">
        <v>617</v>
      </c>
      <c r="I599" s="239" t="str">
        <f>IF(ISBLANK(regional!I217),"",regional!I217)</f>
        <v/>
      </c>
      <c r="K599" s="262" t="s">
        <v>4241</v>
      </c>
      <c r="O599" s="262" t="s">
        <v>4241</v>
      </c>
    </row>
    <row r="600" spans="1:15" ht="12.75" customHeight="1" x14ac:dyDescent="0.3">
      <c r="A600" s="216"/>
      <c r="B600" s="216" t="s">
        <v>1366</v>
      </c>
      <c r="C600" s="228"/>
      <c r="D600" s="228"/>
      <c r="E600" s="228"/>
      <c r="F600" s="228"/>
      <c r="G600" s="216" t="s">
        <v>1367</v>
      </c>
      <c r="H600" s="216" t="s">
        <v>617</v>
      </c>
      <c r="I600" s="239" t="str">
        <f>IF(ISBLANK(regional!I218),"",regional!I218)</f>
        <v/>
      </c>
      <c r="K600" s="262" t="s">
        <v>4241</v>
      </c>
      <c r="O600" s="262" t="s">
        <v>4241</v>
      </c>
    </row>
    <row r="601" spans="1:15" ht="12.75" customHeight="1" x14ac:dyDescent="0.3">
      <c r="A601" s="216"/>
      <c r="B601" s="216" t="s">
        <v>1368</v>
      </c>
      <c r="C601" s="228"/>
      <c r="D601" s="228"/>
      <c r="E601" s="228"/>
      <c r="F601" s="228"/>
      <c r="G601" s="216" t="s">
        <v>1369</v>
      </c>
      <c r="H601" s="216" t="s">
        <v>617</v>
      </c>
      <c r="I601" s="239" t="str">
        <f>IF(ISBLANK(regional!I219),"",regional!I219)</f>
        <v/>
      </c>
      <c r="K601" s="262" t="s">
        <v>4241</v>
      </c>
      <c r="O601" s="262" t="s">
        <v>4241</v>
      </c>
    </row>
    <row r="602" spans="1:15" ht="12.75" customHeight="1" x14ac:dyDescent="0.3">
      <c r="A602" s="216"/>
      <c r="B602" s="216" t="s">
        <v>1370</v>
      </c>
      <c r="C602" s="228"/>
      <c r="D602" s="228"/>
      <c r="E602" s="228"/>
      <c r="F602" s="228"/>
      <c r="G602" s="216" t="s">
        <v>1371</v>
      </c>
      <c r="H602" s="216" t="s">
        <v>617</v>
      </c>
      <c r="I602" s="239" t="str">
        <f>IF(ISBLANK(regional!I220),"",regional!I220)</f>
        <v/>
      </c>
      <c r="K602" s="262" t="s">
        <v>4241</v>
      </c>
      <c r="O602" s="262" t="s">
        <v>4241</v>
      </c>
    </row>
    <row r="603" spans="1:15" ht="12.75" customHeight="1" x14ac:dyDescent="0.3">
      <c r="A603" s="216"/>
      <c r="B603" s="216"/>
      <c r="C603" s="216" t="s">
        <v>1372</v>
      </c>
      <c r="D603" s="228"/>
      <c r="E603" s="228"/>
      <c r="F603" s="228"/>
      <c r="G603" s="578" t="s">
        <v>1373</v>
      </c>
      <c r="H603" s="216" t="s">
        <v>291</v>
      </c>
      <c r="I603" s="239" t="str">
        <f>IF(ISBLANK(regional!I221),"",regional!I221)</f>
        <v/>
      </c>
      <c r="K603" s="262" t="s">
        <v>4241</v>
      </c>
      <c r="O603" s="262" t="s">
        <v>4241</v>
      </c>
    </row>
    <row r="604" spans="1:15" ht="12.75" customHeight="1" x14ac:dyDescent="0.3">
      <c r="A604" s="216"/>
      <c r="B604" s="216"/>
      <c r="C604" s="216" t="s">
        <v>1374</v>
      </c>
      <c r="D604" s="228"/>
      <c r="E604" s="228"/>
      <c r="F604" s="228"/>
      <c r="G604" s="578" t="s">
        <v>1375</v>
      </c>
      <c r="H604" s="216" t="s">
        <v>291</v>
      </c>
      <c r="I604" s="239" t="str">
        <f>IF(ISBLANK(regional!I222),"",regional!I222)</f>
        <v/>
      </c>
      <c r="K604" s="262" t="s">
        <v>4241</v>
      </c>
      <c r="O604" s="262" t="s">
        <v>4241</v>
      </c>
    </row>
    <row r="605" spans="1:15" ht="12.75" customHeight="1" x14ac:dyDescent="0.3">
      <c r="A605" s="228"/>
      <c r="B605" s="228"/>
      <c r="C605" s="216" t="s">
        <v>1376</v>
      </c>
      <c r="D605" s="228"/>
      <c r="E605" s="228"/>
      <c r="F605" s="228"/>
      <c r="G605" s="578" t="s">
        <v>1377</v>
      </c>
      <c r="H605" s="216" t="s">
        <v>291</v>
      </c>
      <c r="I605" s="239" t="str">
        <f>IF(ISBLANK(regional!I223),"",regional!I223)</f>
        <v/>
      </c>
      <c r="K605" s="262" t="s">
        <v>4241</v>
      </c>
      <c r="O605" s="262" t="s">
        <v>4241</v>
      </c>
    </row>
    <row r="606" spans="1:15" ht="12.75" customHeight="1" x14ac:dyDescent="0.3">
      <c r="A606" s="216"/>
      <c r="B606" s="216"/>
      <c r="C606" s="228" t="s">
        <v>1229</v>
      </c>
      <c r="D606" s="228"/>
      <c r="E606" s="578"/>
      <c r="F606" s="578"/>
      <c r="G606" s="216" t="s">
        <v>1378</v>
      </c>
      <c r="H606" s="228" t="s">
        <v>291</v>
      </c>
      <c r="I606" s="239" t="str">
        <f>IF(ISBLANK(regional!I224),"",regional!I224)</f>
        <v/>
      </c>
      <c r="K606" s="262" t="s">
        <v>4241</v>
      </c>
      <c r="O606" s="262" t="s">
        <v>4241</v>
      </c>
    </row>
    <row r="607" spans="1:15" ht="12.75" customHeight="1" x14ac:dyDescent="0.3">
      <c r="A607" s="216"/>
      <c r="B607" s="216"/>
      <c r="C607" s="228" t="s">
        <v>1229</v>
      </c>
      <c r="D607" s="228"/>
      <c r="E607" s="578"/>
      <c r="F607" s="578"/>
      <c r="G607" s="216" t="s">
        <v>1379</v>
      </c>
      <c r="H607" s="228" t="s">
        <v>291</v>
      </c>
      <c r="I607" s="239" t="str">
        <f>IF(ISBLANK(regional!I225),"",regional!I225)</f>
        <v/>
      </c>
      <c r="K607" s="262" t="s">
        <v>4241</v>
      </c>
      <c r="O607" s="262" t="s">
        <v>4241</v>
      </c>
    </row>
    <row r="608" spans="1:15" ht="12.75" customHeight="1" x14ac:dyDescent="0.3">
      <c r="A608" s="216"/>
      <c r="B608" s="216"/>
      <c r="C608" s="228" t="s">
        <v>1229</v>
      </c>
      <c r="D608" s="228"/>
      <c r="E608" s="578"/>
      <c r="F608" s="578"/>
      <c r="G608" s="216" t="s">
        <v>1380</v>
      </c>
      <c r="H608" s="228" t="s">
        <v>291</v>
      </c>
      <c r="I608" s="239" t="str">
        <f>IF(ISBLANK(regional!I226),"",regional!I226)</f>
        <v/>
      </c>
      <c r="K608" s="262" t="s">
        <v>4241</v>
      </c>
      <c r="O608" s="262" t="s">
        <v>4241</v>
      </c>
    </row>
    <row r="609" spans="1:15" ht="12.75" customHeight="1" x14ac:dyDescent="0.3">
      <c r="A609" s="487"/>
      <c r="B609" s="487"/>
      <c r="C609" s="487"/>
      <c r="D609" s="487"/>
      <c r="E609" s="487"/>
      <c r="F609" s="487"/>
      <c r="G609" s="650"/>
      <c r="H609" s="650"/>
      <c r="I609" s="239" t="str">
        <f>IF(ISBLANK(regional!I227),"",regional!I227)</f>
        <v/>
      </c>
      <c r="K609" s="262" t="s">
        <v>4241</v>
      </c>
      <c r="O609" s="262" t="s">
        <v>4241</v>
      </c>
    </row>
    <row r="610" spans="1:15" ht="12.75" customHeight="1" x14ac:dyDescent="0.3">
      <c r="A610" t="s">
        <v>1381</v>
      </c>
      <c r="I610" s="239" t="str">
        <f>IF(ISBLANK(regional!I228),"",regional!I228)</f>
        <v/>
      </c>
      <c r="K610" s="262" t="s">
        <v>4241</v>
      </c>
      <c r="O610" s="262" t="s">
        <v>4241</v>
      </c>
    </row>
    <row r="611" spans="1:15" ht="12.75" customHeight="1" x14ac:dyDescent="0.3">
      <c r="A611" s="630" t="s">
        <v>1382</v>
      </c>
      <c r="B611" s="413"/>
      <c r="C611" s="413"/>
      <c r="D611" s="413"/>
      <c r="E611" s="413"/>
      <c r="F611" s="413"/>
      <c r="G611" s="630" t="s">
        <v>258</v>
      </c>
      <c r="H611" s="630" t="s">
        <v>274</v>
      </c>
      <c r="I611" s="239" t="str">
        <f>IF(ISBLANK(regional!I229),"",regional!I229)</f>
        <v>User input</v>
      </c>
      <c r="K611" s="262" t="s">
        <v>259</v>
      </c>
      <c r="O611" s="262" t="s">
        <v>259</v>
      </c>
    </row>
    <row r="612" spans="1:15" ht="12.75" customHeight="1" x14ac:dyDescent="0.3">
      <c r="A612" s="410" t="s">
        <v>1385</v>
      </c>
      <c r="B612" s="410"/>
      <c r="C612" s="410"/>
      <c r="D612" s="410"/>
      <c r="E612" s="410"/>
      <c r="F612" s="410"/>
      <c r="G612" s="654"/>
      <c r="H612" s="654"/>
      <c r="I612" s="239" t="str">
        <f>IF(ISBLANK(regional!I230),"",regional!I230)</f>
        <v/>
      </c>
      <c r="K612" s="262" t="s">
        <v>4241</v>
      </c>
      <c r="O612" s="262" t="s">
        <v>4241</v>
      </c>
    </row>
    <row r="613" spans="1:15" ht="12.75" customHeight="1" x14ac:dyDescent="0.3">
      <c r="A613" s="566" t="s">
        <v>1386</v>
      </c>
      <c r="B613" s="566"/>
      <c r="C613" s="566"/>
      <c r="D613" s="566"/>
      <c r="E613" s="566"/>
      <c r="F613" s="566"/>
      <c r="G613" s="566" t="s">
        <v>1387</v>
      </c>
      <c r="H613" s="567" t="s">
        <v>335</v>
      </c>
      <c r="I613" s="239" t="str">
        <f>IF(ISBLANK(regional!I231),"",regional!I231)</f>
        <v/>
      </c>
      <c r="K613" s="262" t="s">
        <v>4241</v>
      </c>
      <c r="O613" s="262" t="s">
        <v>4241</v>
      </c>
    </row>
    <row r="614" spans="1:15" ht="12.75" customHeight="1" x14ac:dyDescent="0.3">
      <c r="A614" s="566"/>
      <c r="B614" s="566" t="s">
        <v>1389</v>
      </c>
      <c r="C614" s="566"/>
      <c r="D614" s="566"/>
      <c r="E614" s="566"/>
      <c r="F614" s="566"/>
      <c r="G614" s="566" t="s">
        <v>1390</v>
      </c>
      <c r="H614" s="566" t="s">
        <v>335</v>
      </c>
      <c r="I614" s="239" t="str">
        <f>IF(ISBLANK(regional!I232),"",regional!I232)</f>
        <v/>
      </c>
      <c r="K614" s="262" t="s">
        <v>4241</v>
      </c>
      <c r="O614" s="262" t="s">
        <v>4241</v>
      </c>
    </row>
    <row r="615" spans="1:15" ht="12.75" customHeight="1" x14ac:dyDescent="0.3">
      <c r="A615" s="566"/>
      <c r="B615" s="566"/>
      <c r="C615" s="566" t="s">
        <v>706</v>
      </c>
      <c r="D615" s="566"/>
      <c r="E615" s="566"/>
      <c r="F615" s="566"/>
      <c r="G615" s="566" t="s">
        <v>707</v>
      </c>
      <c r="H615" s="567" t="s">
        <v>708</v>
      </c>
      <c r="I615" s="239" t="str">
        <f>IF(ISBLANK(input!I275),"",input!I275)</f>
        <v/>
      </c>
      <c r="K615" s="262" t="s">
        <v>4241</v>
      </c>
      <c r="O615" s="262" t="s">
        <v>4241</v>
      </c>
    </row>
    <row r="616" spans="1:15" ht="12.75" customHeight="1" x14ac:dyDescent="0.3">
      <c r="A616" s="566"/>
      <c r="B616" s="566"/>
      <c r="C616" s="566" t="s">
        <v>1391</v>
      </c>
      <c r="D616" s="566"/>
      <c r="E616" s="566"/>
      <c r="F616" s="566"/>
      <c r="G616" s="567" t="s">
        <v>1392</v>
      </c>
      <c r="H616" s="567" t="s">
        <v>291</v>
      </c>
      <c r="I616" s="239" t="str">
        <f>IF(ISBLANK(regional!I233),"",regional!I233)</f>
        <v/>
      </c>
      <c r="K616" s="262" t="s">
        <v>4241</v>
      </c>
      <c r="O616" s="262" t="s">
        <v>4241</v>
      </c>
    </row>
    <row r="617" spans="1:15" ht="12.75" customHeight="1" x14ac:dyDescent="0.3">
      <c r="A617" s="566"/>
      <c r="B617" s="566"/>
      <c r="C617" s="566"/>
      <c r="D617" s="566" t="s">
        <v>1394</v>
      </c>
      <c r="E617" s="566"/>
      <c r="F617" s="566"/>
      <c r="G617" s="566" t="s">
        <v>1395</v>
      </c>
      <c r="H617" s="566" t="s">
        <v>900</v>
      </c>
      <c r="I617" s="239" t="str">
        <f>IF(ISBLANK(regional!I234),"",regional!I234)</f>
        <v/>
      </c>
      <c r="K617" s="262" t="s">
        <v>4241</v>
      </c>
      <c r="O617" s="262" t="s">
        <v>4241</v>
      </c>
    </row>
    <row r="618" spans="1:15" ht="12.75" customHeight="1" x14ac:dyDescent="0.3">
      <c r="A618" s="566"/>
      <c r="B618" s="566"/>
      <c r="C618" s="566"/>
      <c r="D618" s="566" t="s">
        <v>1396</v>
      </c>
      <c r="E618" s="566"/>
      <c r="F618" s="566"/>
      <c r="G618" s="567" t="s">
        <v>1397</v>
      </c>
      <c r="H618" s="567" t="s">
        <v>866</v>
      </c>
      <c r="I618" s="239" t="str">
        <f>IF(ISBLANK(regional!I235),"",regional!I235)</f>
        <v/>
      </c>
      <c r="K618" s="262" t="s">
        <v>4241</v>
      </c>
      <c r="O618" s="262" t="s">
        <v>4241</v>
      </c>
    </row>
    <row r="619" spans="1:15" ht="12.75" customHeight="1" x14ac:dyDescent="0.3">
      <c r="A619" s="566" t="s">
        <v>1398</v>
      </c>
      <c r="B619" s="566"/>
      <c r="C619" s="566"/>
      <c r="D619" s="566"/>
      <c r="E619" s="566"/>
      <c r="F619" s="566"/>
      <c r="G619" s="566" t="s">
        <v>1399</v>
      </c>
      <c r="H619" s="566" t="s">
        <v>335</v>
      </c>
      <c r="I619" s="239" t="str">
        <f>IF(ISBLANK(regional!I236),"",regional!I236)</f>
        <v/>
      </c>
      <c r="K619" s="262" t="s">
        <v>4241</v>
      </c>
      <c r="O619" s="262" t="s">
        <v>4241</v>
      </c>
    </row>
    <row r="620" spans="1:15" ht="12.75" customHeight="1" x14ac:dyDescent="0.3">
      <c r="A620" s="566"/>
      <c r="B620" s="566"/>
      <c r="C620" s="566" t="s">
        <v>710</v>
      </c>
      <c r="D620" s="566"/>
      <c r="E620" s="566"/>
      <c r="F620" s="566"/>
      <c r="G620" s="566" t="s">
        <v>711</v>
      </c>
      <c r="H620" s="567" t="s">
        <v>708</v>
      </c>
      <c r="I620" s="239" t="str">
        <f>IF(ISBLANK(input!I276),"",input!I276)</f>
        <v/>
      </c>
      <c r="K620" s="262" t="s">
        <v>4241</v>
      </c>
      <c r="O620" s="262" t="s">
        <v>4241</v>
      </c>
    </row>
    <row r="621" spans="1:15" ht="12.75" customHeight="1" x14ac:dyDescent="0.3">
      <c r="A621" s="566"/>
      <c r="B621" s="566"/>
      <c r="C621" s="566" t="s">
        <v>1400</v>
      </c>
      <c r="D621" s="566"/>
      <c r="E621" s="566"/>
      <c r="F621" s="566"/>
      <c r="G621" s="567" t="s">
        <v>1401</v>
      </c>
      <c r="H621" s="567" t="s">
        <v>866</v>
      </c>
      <c r="I621" s="239" t="str">
        <f>IF(ISBLANK(regional!I237),"",regional!I237)</f>
        <v/>
      </c>
      <c r="K621" s="262" t="s">
        <v>4241</v>
      </c>
      <c r="O621" s="262" t="s">
        <v>4241</v>
      </c>
    </row>
    <row r="622" spans="1:15" ht="12.75" customHeight="1" x14ac:dyDescent="0.3">
      <c r="A622" s="566"/>
      <c r="B622" s="566"/>
      <c r="C622" s="566" t="s">
        <v>1402</v>
      </c>
      <c r="D622" s="566"/>
      <c r="E622" s="566"/>
      <c r="F622" s="566"/>
      <c r="G622" s="566" t="s">
        <v>1403</v>
      </c>
      <c r="H622" s="566" t="s">
        <v>900</v>
      </c>
      <c r="I622" s="239" t="str">
        <f>IF(ISBLANK(regional!I238),"",regional!I238)</f>
        <v/>
      </c>
      <c r="K622" s="262" t="s">
        <v>4241</v>
      </c>
      <c r="O622" s="262" t="s">
        <v>4241</v>
      </c>
    </row>
    <row r="623" spans="1:15" ht="12.75" customHeight="1" x14ac:dyDescent="0.3">
      <c r="A623" s="566"/>
      <c r="B623" s="566"/>
      <c r="C623" s="566" t="s">
        <v>1404</v>
      </c>
      <c r="D623" s="566"/>
      <c r="E623" s="566"/>
      <c r="F623" s="566"/>
      <c r="G623" s="567" t="s">
        <v>1405</v>
      </c>
      <c r="H623" s="567" t="s">
        <v>291</v>
      </c>
      <c r="I623" s="239" t="str">
        <f>IF(ISBLANK(regional!I239),"",regional!I239)</f>
        <v/>
      </c>
      <c r="K623" s="262" t="s">
        <v>4241</v>
      </c>
      <c r="O623" s="262" t="s">
        <v>4241</v>
      </c>
    </row>
    <row r="624" spans="1:15" ht="12.75" customHeight="1" x14ac:dyDescent="0.3">
      <c r="A624" s="566" t="s">
        <v>1406</v>
      </c>
      <c r="B624" s="566"/>
      <c r="C624" s="566"/>
      <c r="D624" s="566"/>
      <c r="E624" s="566"/>
      <c r="F624" s="566"/>
      <c r="G624" s="567" t="s">
        <v>1407</v>
      </c>
      <c r="H624" s="567" t="s">
        <v>335</v>
      </c>
      <c r="I624" s="239" t="str">
        <f>IF(ISBLANK(regional!I240),"",regional!I240)</f>
        <v/>
      </c>
      <c r="K624" s="262" t="s">
        <v>4241</v>
      </c>
      <c r="O624" s="262" t="s">
        <v>4241</v>
      </c>
    </row>
    <row r="625" spans="1:15" ht="12.75" customHeight="1" x14ac:dyDescent="0.3">
      <c r="A625" s="566"/>
      <c r="B625" s="566" t="s">
        <v>712</v>
      </c>
      <c r="C625" s="566"/>
      <c r="D625" s="566"/>
      <c r="E625" s="566"/>
      <c r="F625" s="566"/>
      <c r="G625" s="566" t="s">
        <v>713</v>
      </c>
      <c r="H625" s="567" t="s">
        <v>708</v>
      </c>
      <c r="I625" s="239" t="str">
        <f>IF(ISBLANK(input!I277),"",input!I277)</f>
        <v/>
      </c>
      <c r="K625" s="262" t="s">
        <v>4241</v>
      </c>
      <c r="O625" s="262" t="s">
        <v>4241</v>
      </c>
    </row>
    <row r="626" spans="1:15" ht="12.75" customHeight="1" x14ac:dyDescent="0.3">
      <c r="A626" s="566"/>
      <c r="B626" s="566" t="s">
        <v>1408</v>
      </c>
      <c r="C626" s="566"/>
      <c r="D626" s="566"/>
      <c r="E626" s="566"/>
      <c r="F626" s="566"/>
      <c r="G626" s="567" t="s">
        <v>1409</v>
      </c>
      <c r="H626" s="567" t="s">
        <v>866</v>
      </c>
      <c r="I626" s="239" t="str">
        <f>IF(ISBLANK(regional!I241),"",regional!I241)</f>
        <v/>
      </c>
      <c r="K626" s="262" t="s">
        <v>4241</v>
      </c>
      <c r="O626" s="262" t="s">
        <v>4241</v>
      </c>
    </row>
    <row r="627" spans="1:15" ht="12.75" customHeight="1" x14ac:dyDescent="0.3">
      <c r="A627" s="566"/>
      <c r="B627" s="566" t="s">
        <v>1410</v>
      </c>
      <c r="C627" s="566"/>
      <c r="D627" s="566"/>
      <c r="E627" s="566"/>
      <c r="F627" s="566"/>
      <c r="G627" s="566" t="s">
        <v>1411</v>
      </c>
      <c r="H627" s="566" t="s">
        <v>900</v>
      </c>
      <c r="I627" s="239" t="str">
        <f>IF(ISBLANK(regional!I242),"",regional!I242)</f>
        <v/>
      </c>
      <c r="K627" s="262" t="s">
        <v>4241</v>
      </c>
      <c r="O627" s="262" t="s">
        <v>4241</v>
      </c>
    </row>
    <row r="628" spans="1:15" ht="12.75" customHeight="1" x14ac:dyDescent="0.3">
      <c r="A628" s="566"/>
      <c r="B628" s="566" t="s">
        <v>1412</v>
      </c>
      <c r="C628" s="566"/>
      <c r="D628" s="566"/>
      <c r="E628" s="566"/>
      <c r="F628" s="566"/>
      <c r="G628" s="567" t="s">
        <v>1413</v>
      </c>
      <c r="H628" s="567" t="s">
        <v>291</v>
      </c>
      <c r="I628" s="239" t="str">
        <f>IF(ISBLANK(regional!I243),"",regional!I243)</f>
        <v/>
      </c>
      <c r="K628" s="262" t="s">
        <v>4241</v>
      </c>
      <c r="O628" s="262" t="s">
        <v>4241</v>
      </c>
    </row>
    <row r="629" spans="1:15" ht="12.75" customHeight="1" x14ac:dyDescent="0.3">
      <c r="A629" s="410" t="s">
        <v>1414</v>
      </c>
      <c r="B629" s="410"/>
      <c r="C629" s="410"/>
      <c r="D629" s="410"/>
      <c r="E629" s="410"/>
      <c r="F629" s="410"/>
      <c r="G629" s="654"/>
      <c r="H629" s="654"/>
      <c r="I629" s="239" t="str">
        <f>IF(ISBLANK(regional!I244),"",regional!I244)</f>
        <v/>
      </c>
      <c r="K629" s="262" t="s">
        <v>4241</v>
      </c>
      <c r="O629" s="262" t="s">
        <v>4241</v>
      </c>
    </row>
    <row r="630" spans="1:15" ht="12.75" customHeight="1" x14ac:dyDescent="0.3">
      <c r="A630" s="566" t="s">
        <v>1415</v>
      </c>
      <c r="B630" s="566"/>
      <c r="C630" s="566"/>
      <c r="D630" s="566"/>
      <c r="E630" s="566"/>
      <c r="F630" s="566"/>
      <c r="G630" s="566" t="s">
        <v>1416</v>
      </c>
      <c r="H630" s="566" t="s">
        <v>335</v>
      </c>
      <c r="I630" s="239" t="str">
        <f>IF(ISBLANK(regional!I245),"",regional!I245)</f>
        <v/>
      </c>
      <c r="K630" s="262" t="s">
        <v>4241</v>
      </c>
      <c r="O630" s="262" t="s">
        <v>4241</v>
      </c>
    </row>
    <row r="631" spans="1:15" ht="12.75" customHeight="1" x14ac:dyDescent="0.3">
      <c r="A631" s="566"/>
      <c r="B631" s="566" t="s">
        <v>1417</v>
      </c>
      <c r="C631" s="566"/>
      <c r="D631" s="566"/>
      <c r="E631" s="566"/>
      <c r="F631" s="566"/>
      <c r="G631" s="566" t="s">
        <v>1418</v>
      </c>
      <c r="H631" s="566" t="s">
        <v>708</v>
      </c>
      <c r="I631" s="239" t="str">
        <f>IF(ISBLANK(regional!I246),"",regional!I246)</f>
        <v/>
      </c>
      <c r="K631" s="262" t="s">
        <v>4241</v>
      </c>
      <c r="O631" s="262" t="s">
        <v>4241</v>
      </c>
    </row>
    <row r="632" spans="1:15" ht="12.75" customHeight="1" x14ac:dyDescent="0.3">
      <c r="A632" s="566"/>
      <c r="B632" s="566" t="s">
        <v>1419</v>
      </c>
      <c r="C632" s="566"/>
      <c r="D632" s="566"/>
      <c r="E632" s="566"/>
      <c r="F632" s="566"/>
      <c r="G632" s="566" t="s">
        <v>1420</v>
      </c>
      <c r="H632" s="566" t="s">
        <v>335</v>
      </c>
      <c r="I632" s="239" t="str">
        <f>IF(ISBLANK(regional!I247),"",regional!I247)</f>
        <v/>
      </c>
      <c r="K632" s="262" t="s">
        <v>4241</v>
      </c>
      <c r="O632" s="262" t="s">
        <v>4241</v>
      </c>
    </row>
    <row r="633" spans="1:15" ht="12.75" customHeight="1" x14ac:dyDescent="0.3">
      <c r="A633" s="566"/>
      <c r="B633" s="566"/>
      <c r="C633" s="566" t="s">
        <v>1421</v>
      </c>
      <c r="D633" s="566"/>
      <c r="E633" s="566"/>
      <c r="F633" s="566"/>
      <c r="G633" s="567" t="s">
        <v>1422</v>
      </c>
      <c r="H633" s="567" t="s">
        <v>335</v>
      </c>
      <c r="I633" s="239" t="str">
        <f>IF(ISBLANK(regional!I248),"",regional!I248)</f>
        <v/>
      </c>
      <c r="K633" s="262" t="s">
        <v>4241</v>
      </c>
      <c r="O633" s="262" t="s">
        <v>4241</v>
      </c>
    </row>
    <row r="634" spans="1:15" ht="12.75" customHeight="1" x14ac:dyDescent="0.3">
      <c r="A634" s="566"/>
      <c r="B634" s="566"/>
      <c r="C634" s="566"/>
      <c r="D634" s="566" t="s">
        <v>1423</v>
      </c>
      <c r="E634" s="566"/>
      <c r="F634" s="566"/>
      <c r="G634" s="566" t="s">
        <v>1424</v>
      </c>
      <c r="H634" s="566" t="s">
        <v>335</v>
      </c>
      <c r="I634" s="239" t="str">
        <f>IF(ISBLANK(regional!I249),"",regional!I249)</f>
        <v/>
      </c>
      <c r="K634" s="262" t="s">
        <v>4241</v>
      </c>
      <c r="O634" s="262" t="s">
        <v>4241</v>
      </c>
    </row>
    <row r="635" spans="1:15" ht="12.75" customHeight="1" x14ac:dyDescent="0.3">
      <c r="A635" s="566" t="s">
        <v>1426</v>
      </c>
      <c r="B635" s="566"/>
      <c r="C635" s="566"/>
      <c r="D635" s="566"/>
      <c r="E635" s="566"/>
      <c r="F635" s="566"/>
      <c r="G635" s="567" t="s">
        <v>1427</v>
      </c>
      <c r="H635" s="567" t="s">
        <v>335</v>
      </c>
      <c r="I635" s="239" t="str">
        <f>IF(ISBLANK(regional!I250),"",regional!I250)</f>
        <v/>
      </c>
      <c r="K635" s="262" t="s">
        <v>4241</v>
      </c>
      <c r="O635" s="262" t="s">
        <v>4241</v>
      </c>
    </row>
    <row r="636" spans="1:15" ht="12.75" customHeight="1" x14ac:dyDescent="0.3">
      <c r="A636" s="566"/>
      <c r="B636" s="566" t="s">
        <v>1428</v>
      </c>
      <c r="C636" s="566"/>
      <c r="D636" s="566"/>
      <c r="E636" s="566"/>
      <c r="F636" s="566"/>
      <c r="G636" s="567" t="s">
        <v>1429</v>
      </c>
      <c r="H636" s="567" t="s">
        <v>708</v>
      </c>
      <c r="I636" s="239" t="str">
        <f>IF(ISBLANK(regional!I251),"",regional!I251)</f>
        <v/>
      </c>
      <c r="K636" s="262" t="s">
        <v>4241</v>
      </c>
      <c r="O636" s="262" t="s">
        <v>4241</v>
      </c>
    </row>
    <row r="637" spans="1:15" ht="12.75" customHeight="1" x14ac:dyDescent="0.3">
      <c r="A637" s="566"/>
      <c r="B637" s="566" t="s">
        <v>1431</v>
      </c>
      <c r="C637" s="566"/>
      <c r="D637" s="566"/>
      <c r="E637" s="566"/>
      <c r="F637" s="566"/>
      <c r="G637" s="567" t="s">
        <v>1432</v>
      </c>
      <c r="H637" s="567" t="s">
        <v>335</v>
      </c>
      <c r="I637" s="239" t="str">
        <f>IF(ISBLANK(regional!I252),"",regional!I252)</f>
        <v/>
      </c>
      <c r="J637" s="228"/>
      <c r="K637" s="262" t="s">
        <v>4241</v>
      </c>
      <c r="O637" s="262" t="s">
        <v>4241</v>
      </c>
    </row>
    <row r="638" spans="1:15" ht="12.75" customHeight="1" x14ac:dyDescent="0.3">
      <c r="A638" s="566"/>
      <c r="B638" s="566"/>
      <c r="C638" s="566" t="s">
        <v>1421</v>
      </c>
      <c r="D638" s="566"/>
      <c r="E638" s="566"/>
      <c r="F638" s="566"/>
      <c r="G638" s="567" t="s">
        <v>1433</v>
      </c>
      <c r="H638" s="567" t="s">
        <v>335</v>
      </c>
      <c r="I638" s="239" t="str">
        <f>IF(ISBLANK(regional!I253),"",regional!I253)</f>
        <v/>
      </c>
      <c r="J638" s="411"/>
      <c r="K638" s="262" t="s">
        <v>4241</v>
      </c>
      <c r="O638" s="262" t="s">
        <v>4241</v>
      </c>
    </row>
    <row r="639" spans="1:15" ht="12.75" customHeight="1" x14ac:dyDescent="0.3">
      <c r="A639" s="566"/>
      <c r="B639" s="566"/>
      <c r="C639" s="566"/>
      <c r="D639" s="566" t="s">
        <v>1434</v>
      </c>
      <c r="E639" s="566"/>
      <c r="F639" s="566"/>
      <c r="G639" s="567" t="s">
        <v>1435</v>
      </c>
      <c r="H639" s="567" t="s">
        <v>335</v>
      </c>
      <c r="I639" s="239" t="str">
        <f>IF(ISBLANK(regional!I254),"",regional!I254)</f>
        <v/>
      </c>
      <c r="J639" s="228"/>
      <c r="K639" s="262" t="s">
        <v>4241</v>
      </c>
      <c r="O639" s="262" t="s">
        <v>4241</v>
      </c>
    </row>
    <row r="640" spans="1:15" ht="12.75" customHeight="1" x14ac:dyDescent="0.3">
      <c r="A640" s="566" t="s">
        <v>1437</v>
      </c>
      <c r="B640" s="566"/>
      <c r="C640" s="566"/>
      <c r="D640" s="566"/>
      <c r="E640" s="566"/>
      <c r="F640" s="566"/>
      <c r="G640" s="567" t="s">
        <v>1438</v>
      </c>
      <c r="H640" s="567" t="s">
        <v>335</v>
      </c>
      <c r="I640" s="239" t="str">
        <f>IF(ISBLANK(regional!I255),"",regional!I255)</f>
        <v/>
      </c>
      <c r="K640" s="262" t="s">
        <v>4241</v>
      </c>
      <c r="O640" s="262" t="s">
        <v>4241</v>
      </c>
    </row>
    <row r="641" spans="1:15" ht="12.75" customHeight="1" x14ac:dyDescent="0.3">
      <c r="A641" s="566"/>
      <c r="B641" s="566" t="s">
        <v>1439</v>
      </c>
      <c r="C641" s="566"/>
      <c r="D641" s="566"/>
      <c r="E641" s="566"/>
      <c r="F641" s="566"/>
      <c r="G641" s="567" t="s">
        <v>1440</v>
      </c>
      <c r="H641" s="567" t="s">
        <v>708</v>
      </c>
      <c r="I641" s="239" t="str">
        <f>IF(ISBLANK(regional!I256),"",regional!I256)</f>
        <v/>
      </c>
      <c r="K641" s="262" t="s">
        <v>4241</v>
      </c>
      <c r="O641" s="262" t="s">
        <v>4241</v>
      </c>
    </row>
    <row r="642" spans="1:15" ht="12.75" customHeight="1" x14ac:dyDescent="0.3">
      <c r="A642" s="566"/>
      <c r="B642" s="566" t="s">
        <v>1442</v>
      </c>
      <c r="C642" s="566"/>
      <c r="D642" s="566"/>
      <c r="E642" s="566"/>
      <c r="F642" s="566"/>
      <c r="G642" s="567" t="s">
        <v>1443</v>
      </c>
      <c r="H642" s="567" t="s">
        <v>335</v>
      </c>
      <c r="I642" s="239" t="str">
        <f>IF(ISBLANK(regional!I257),"",regional!I257)</f>
        <v/>
      </c>
      <c r="K642" s="262" t="s">
        <v>4241</v>
      </c>
      <c r="O642" s="262" t="s">
        <v>4241</v>
      </c>
    </row>
    <row r="643" spans="1:15" ht="12.75" customHeight="1" x14ac:dyDescent="0.3">
      <c r="A643" s="566"/>
      <c r="B643" s="566"/>
      <c r="C643" s="566" t="s">
        <v>1421</v>
      </c>
      <c r="D643" s="566"/>
      <c r="E643" s="566"/>
      <c r="F643" s="566"/>
      <c r="G643" s="567" t="s">
        <v>1444</v>
      </c>
      <c r="H643" s="567" t="s">
        <v>335</v>
      </c>
      <c r="I643" s="239" t="str">
        <f>IF(ISBLANK(regional!I258),"",regional!I258)</f>
        <v/>
      </c>
      <c r="K643" s="262" t="s">
        <v>4241</v>
      </c>
      <c r="O643" s="262" t="s">
        <v>4241</v>
      </c>
    </row>
    <row r="644" spans="1:15" ht="12.75" customHeight="1" x14ac:dyDescent="0.3">
      <c r="A644" s="566"/>
      <c r="B644" s="566"/>
      <c r="C644" s="566"/>
      <c r="D644" s="566" t="s">
        <v>1445</v>
      </c>
      <c r="E644" s="566"/>
      <c r="F644" s="566"/>
      <c r="G644" s="567" t="s">
        <v>1446</v>
      </c>
      <c r="H644" s="567" t="s">
        <v>335</v>
      </c>
      <c r="I644" s="239" t="str">
        <f>IF(ISBLANK(regional!I259),"",regional!I259)</f>
        <v/>
      </c>
      <c r="K644" s="262" t="s">
        <v>4241</v>
      </c>
      <c r="O644" s="262" t="s">
        <v>4241</v>
      </c>
    </row>
    <row r="645" spans="1:15" ht="12.75" customHeight="1" x14ac:dyDescent="0.3">
      <c r="A645" s="566"/>
      <c r="B645" s="566"/>
      <c r="C645" s="566" t="s">
        <v>1447</v>
      </c>
      <c r="D645" s="566"/>
      <c r="E645" s="566"/>
      <c r="F645" s="566"/>
      <c r="G645" s="566" t="s">
        <v>1448</v>
      </c>
      <c r="H645" s="566" t="s">
        <v>335</v>
      </c>
      <c r="I645" s="239" t="str">
        <f>IF(ISBLANK(regional!I260),"",regional!I260)</f>
        <v/>
      </c>
      <c r="K645" s="262" t="s">
        <v>4241</v>
      </c>
      <c r="O645" s="262" t="s">
        <v>4241</v>
      </c>
    </row>
    <row r="646" spans="1:15" ht="12.75" customHeight="1" x14ac:dyDescent="0.3">
      <c r="A646" s="566"/>
      <c r="B646" s="566"/>
      <c r="C646" s="566" t="s">
        <v>1449</v>
      </c>
      <c r="D646" s="566"/>
      <c r="E646" s="566"/>
      <c r="F646" s="566"/>
      <c r="G646" s="567" t="s">
        <v>1450</v>
      </c>
      <c r="H646" s="567" t="s">
        <v>335</v>
      </c>
      <c r="I646" s="239" t="str">
        <f>IF(ISBLANK(regional!I261),"",regional!I261)</f>
        <v/>
      </c>
      <c r="K646" s="262" t="s">
        <v>4241</v>
      </c>
      <c r="O646" s="262" t="s">
        <v>4241</v>
      </c>
    </row>
    <row r="647" spans="1:15" ht="12.75" customHeight="1" x14ac:dyDescent="0.3">
      <c r="A647" s="410" t="s">
        <v>1451</v>
      </c>
      <c r="B647" s="410"/>
      <c r="C647" s="410"/>
      <c r="D647" s="410"/>
      <c r="E647" s="410"/>
      <c r="F647" s="410"/>
      <c r="G647" s="654"/>
      <c r="H647" s="654"/>
      <c r="I647" s="239" t="str">
        <f>IF(ISBLANK(regional!I262),"",regional!I262)</f>
        <v/>
      </c>
      <c r="K647" s="262" t="s">
        <v>4241</v>
      </c>
      <c r="O647" s="262" t="s">
        <v>4241</v>
      </c>
    </row>
    <row r="648" spans="1:15" ht="12.75" customHeight="1" x14ac:dyDescent="0.3">
      <c r="A648" s="566" t="s">
        <v>1452</v>
      </c>
      <c r="B648" s="566"/>
      <c r="C648" s="566"/>
      <c r="D648" s="566"/>
      <c r="E648" s="566"/>
      <c r="F648" s="566"/>
      <c r="G648" s="567" t="s">
        <v>1453</v>
      </c>
      <c r="H648" s="567" t="s">
        <v>335</v>
      </c>
      <c r="I648" s="239" t="str">
        <f>IF(ISBLANK(regional!I263),"",regional!I263)</f>
        <v/>
      </c>
      <c r="K648" s="262" t="s">
        <v>4241</v>
      </c>
      <c r="O648" s="262" t="s">
        <v>4241</v>
      </c>
    </row>
    <row r="649" spans="1:15" ht="12.75" customHeight="1" x14ac:dyDescent="0.3">
      <c r="A649" s="566"/>
      <c r="B649" s="566" t="s">
        <v>1454</v>
      </c>
      <c r="C649" s="566"/>
      <c r="D649" s="566"/>
      <c r="E649" s="566"/>
      <c r="F649" s="566"/>
      <c r="G649" s="567" t="s">
        <v>1455</v>
      </c>
      <c r="H649" s="567" t="s">
        <v>708</v>
      </c>
      <c r="I649" s="239" t="str">
        <f>IF(ISBLANK(regional!I264),"",regional!I264)</f>
        <v/>
      </c>
      <c r="K649" s="262" t="s">
        <v>4241</v>
      </c>
      <c r="O649" s="262" t="s">
        <v>4241</v>
      </c>
    </row>
    <row r="650" spans="1:15" ht="12.75" customHeight="1" x14ac:dyDescent="0.3">
      <c r="A650" s="566"/>
      <c r="B650" s="566" t="s">
        <v>1457</v>
      </c>
      <c r="C650" s="566"/>
      <c r="D650" s="566"/>
      <c r="E650" s="566"/>
      <c r="F650" s="566"/>
      <c r="G650" s="567" t="s">
        <v>1458</v>
      </c>
      <c r="H650" s="566" t="s">
        <v>335</v>
      </c>
      <c r="I650" s="239" t="str">
        <f>IF(ISBLANK(regional!I265),"",regional!I265)</f>
        <v/>
      </c>
      <c r="K650" s="262" t="s">
        <v>4241</v>
      </c>
      <c r="O650" s="262" t="s">
        <v>4241</v>
      </c>
    </row>
    <row r="651" spans="1:15" ht="12.75" customHeight="1" x14ac:dyDescent="0.3">
      <c r="A651" s="566"/>
      <c r="B651" s="566"/>
      <c r="C651" s="566" t="s">
        <v>1459</v>
      </c>
      <c r="D651" s="566"/>
      <c r="E651" s="566"/>
      <c r="F651" s="566"/>
      <c r="G651" s="567" t="s">
        <v>1460</v>
      </c>
      <c r="H651" s="567" t="s">
        <v>335</v>
      </c>
      <c r="I651" s="239" t="str">
        <f>IF(ISBLANK(regional!I266),"",regional!I266)</f>
        <v/>
      </c>
      <c r="K651" s="262" t="s">
        <v>4241</v>
      </c>
      <c r="O651" s="262" t="s">
        <v>4241</v>
      </c>
    </row>
    <row r="652" spans="1:15" ht="12.75" customHeight="1" x14ac:dyDescent="0.3">
      <c r="A652" s="566" t="s">
        <v>1461</v>
      </c>
      <c r="B652" s="566"/>
      <c r="C652" s="566"/>
      <c r="D652" s="566"/>
      <c r="E652" s="566"/>
      <c r="F652" s="566"/>
      <c r="G652" s="567" t="s">
        <v>1462</v>
      </c>
      <c r="H652" s="567" t="s">
        <v>335</v>
      </c>
      <c r="I652" s="239" t="str">
        <f>IF(ISBLANK(regional!I267),"",regional!I267)</f>
        <v/>
      </c>
      <c r="K652" s="262" t="s">
        <v>4241</v>
      </c>
      <c r="O652" s="262" t="s">
        <v>4241</v>
      </c>
    </row>
    <row r="653" spans="1:15" ht="12.75" customHeight="1" x14ac:dyDescent="0.3">
      <c r="A653" s="566"/>
      <c r="B653" s="566" t="s">
        <v>1463</v>
      </c>
      <c r="C653" s="566"/>
      <c r="D653" s="566"/>
      <c r="E653" s="566"/>
      <c r="F653" s="566"/>
      <c r="G653" s="567" t="s">
        <v>1464</v>
      </c>
      <c r="H653" s="567" t="s">
        <v>708</v>
      </c>
      <c r="I653" s="239" t="str">
        <f>IF(ISBLANK(regional!I268),"",regional!I268)</f>
        <v/>
      </c>
      <c r="K653" s="262" t="s">
        <v>4241</v>
      </c>
      <c r="O653" s="262" t="s">
        <v>4241</v>
      </c>
    </row>
    <row r="654" spans="1:15" ht="12.75" customHeight="1" x14ac:dyDescent="0.3">
      <c r="A654" s="566"/>
      <c r="B654" s="566" t="s">
        <v>1466</v>
      </c>
      <c r="C654" s="566"/>
      <c r="D654" s="566"/>
      <c r="E654" s="566"/>
      <c r="F654" s="566"/>
      <c r="G654" s="567" t="s">
        <v>1467</v>
      </c>
      <c r="H654" s="566" t="s">
        <v>335</v>
      </c>
      <c r="I654" s="239" t="str">
        <f>IF(ISBLANK(regional!I269),"",regional!I269)</f>
        <v/>
      </c>
      <c r="K654" s="262" t="s">
        <v>4241</v>
      </c>
      <c r="O654" s="262" t="s">
        <v>4241</v>
      </c>
    </row>
    <row r="655" spans="1:15" ht="12.75" customHeight="1" x14ac:dyDescent="0.3">
      <c r="A655" s="566"/>
      <c r="B655" s="566"/>
      <c r="C655" s="566" t="s">
        <v>1459</v>
      </c>
      <c r="D655" s="566"/>
      <c r="E655" s="566"/>
      <c r="F655" s="566"/>
      <c r="G655" s="567" t="s">
        <v>1468</v>
      </c>
      <c r="H655" s="567" t="s">
        <v>335</v>
      </c>
      <c r="I655" s="239" t="str">
        <f>IF(ISBLANK(regional!I270),"",regional!I270)</f>
        <v/>
      </c>
      <c r="K655" s="262" t="s">
        <v>4241</v>
      </c>
      <c r="O655" s="262" t="s">
        <v>4241</v>
      </c>
    </row>
    <row r="656" spans="1:15" ht="12.75" customHeight="1" x14ac:dyDescent="0.3">
      <c r="A656" s="566" t="s">
        <v>1469</v>
      </c>
      <c r="B656" s="566"/>
      <c r="C656" s="566"/>
      <c r="D656" s="566"/>
      <c r="E656" s="566"/>
      <c r="F656" s="566"/>
      <c r="G656" s="567" t="s">
        <v>1470</v>
      </c>
      <c r="H656" s="567" t="s">
        <v>335</v>
      </c>
      <c r="I656" s="239" t="str">
        <f>IF(ISBLANK(regional!I271),"",regional!I271)</f>
        <v/>
      </c>
      <c r="K656" s="262" t="s">
        <v>4241</v>
      </c>
      <c r="O656" s="262" t="s">
        <v>4241</v>
      </c>
    </row>
    <row r="657" spans="1:15" ht="12.75" customHeight="1" x14ac:dyDescent="0.3">
      <c r="A657" s="566"/>
      <c r="B657" s="566" t="s">
        <v>1471</v>
      </c>
      <c r="C657" s="566"/>
      <c r="D657" s="566"/>
      <c r="E657" s="566"/>
      <c r="F657" s="566"/>
      <c r="G657" s="567" t="s">
        <v>1472</v>
      </c>
      <c r="H657" s="567" t="s">
        <v>708</v>
      </c>
      <c r="I657" s="239" t="str">
        <f>IF(ISBLANK(regional!I272),"",regional!I272)</f>
        <v/>
      </c>
      <c r="K657" s="262" t="s">
        <v>4241</v>
      </c>
      <c r="O657" s="262" t="s">
        <v>4241</v>
      </c>
    </row>
    <row r="658" spans="1:15" ht="12.75" customHeight="1" x14ac:dyDescent="0.3">
      <c r="A658" s="566"/>
      <c r="B658" s="566" t="s">
        <v>1474</v>
      </c>
      <c r="C658" s="566"/>
      <c r="D658" s="566"/>
      <c r="E658" s="566"/>
      <c r="F658" s="566"/>
      <c r="G658" s="567" t="s">
        <v>1475</v>
      </c>
      <c r="H658" s="566" t="s">
        <v>335</v>
      </c>
      <c r="I658" s="239" t="str">
        <f>IF(ISBLANK(regional!I273),"",regional!I273)</f>
        <v/>
      </c>
      <c r="K658" s="262" t="s">
        <v>4241</v>
      </c>
      <c r="O658" s="262" t="s">
        <v>4241</v>
      </c>
    </row>
    <row r="659" spans="1:15" ht="12.75" customHeight="1" x14ac:dyDescent="0.3">
      <c r="A659" s="566"/>
      <c r="B659" s="566"/>
      <c r="C659" s="566" t="s">
        <v>1459</v>
      </c>
      <c r="D659" s="566"/>
      <c r="E659" s="566"/>
      <c r="F659" s="566"/>
      <c r="G659" s="567" t="s">
        <v>1476</v>
      </c>
      <c r="H659" s="567" t="s">
        <v>335</v>
      </c>
      <c r="I659" s="239" t="str">
        <f>IF(ISBLANK(regional!I274),"",regional!I274)</f>
        <v/>
      </c>
      <c r="K659" s="262" t="s">
        <v>4241</v>
      </c>
      <c r="O659" s="262" t="s">
        <v>4241</v>
      </c>
    </row>
    <row r="660" spans="1:15" ht="12.75" customHeight="1" x14ac:dyDescent="0.3">
      <c r="A660" s="566"/>
      <c r="B660" s="566"/>
      <c r="C660" s="566" t="s">
        <v>1477</v>
      </c>
      <c r="D660" s="566"/>
      <c r="E660" s="566"/>
      <c r="F660" s="566"/>
      <c r="G660" s="567" t="s">
        <v>1478</v>
      </c>
      <c r="H660" s="567" t="s">
        <v>335</v>
      </c>
      <c r="I660" s="239" t="str">
        <f>IF(ISBLANK(regional!I275),"",regional!I275)</f>
        <v/>
      </c>
      <c r="K660" s="262" t="s">
        <v>4241</v>
      </c>
      <c r="O660" s="262" t="s">
        <v>4241</v>
      </c>
    </row>
    <row r="661" spans="1:15" ht="12.75" customHeight="1" x14ac:dyDescent="0.3">
      <c r="A661" s="566"/>
      <c r="B661" s="566"/>
      <c r="C661" s="566" t="s">
        <v>1479</v>
      </c>
      <c r="D661" s="566"/>
      <c r="E661" s="566"/>
      <c r="F661" s="566"/>
      <c r="G661" s="567" t="s">
        <v>1480</v>
      </c>
      <c r="H661" s="567" t="s">
        <v>335</v>
      </c>
      <c r="I661" s="239" t="str">
        <f>IF(ISBLANK(regional!I276),"",regional!I276)</f>
        <v/>
      </c>
      <c r="K661" s="262" t="s">
        <v>4241</v>
      </c>
      <c r="O661" s="262" t="s">
        <v>4241</v>
      </c>
    </row>
    <row r="662" spans="1:15" ht="12.75" customHeight="1" x14ac:dyDescent="0.3">
      <c r="A662" s="410" t="s">
        <v>1481</v>
      </c>
      <c r="I662" s="239" t="str">
        <f>IF(ISBLANK(regional!I277),"",regional!I277)</f>
        <v/>
      </c>
      <c r="K662" s="262" t="s">
        <v>4241</v>
      </c>
      <c r="O662" s="262" t="s">
        <v>4241</v>
      </c>
    </row>
    <row r="663" spans="1:15" ht="12.75" customHeight="1" x14ac:dyDescent="0.3">
      <c r="A663" s="566" t="s">
        <v>1482</v>
      </c>
      <c r="B663" s="566"/>
      <c r="C663" s="566"/>
      <c r="D663" s="566"/>
      <c r="E663" s="566"/>
      <c r="F663" s="566"/>
      <c r="G663" s="567" t="s">
        <v>1483</v>
      </c>
      <c r="H663" s="567" t="s">
        <v>335</v>
      </c>
      <c r="I663" s="239" t="str">
        <f>IF(ISBLANK(regional!I278),"",regional!I278)</f>
        <v/>
      </c>
      <c r="K663" s="262" t="s">
        <v>4241</v>
      </c>
      <c r="O663" s="262" t="s">
        <v>4241</v>
      </c>
    </row>
    <row r="664" spans="1:15" ht="12.75" customHeight="1" x14ac:dyDescent="0.3">
      <c r="A664" s="566"/>
      <c r="B664" s="566" t="s">
        <v>1484</v>
      </c>
      <c r="C664" s="566"/>
      <c r="D664" s="566"/>
      <c r="E664" s="566"/>
      <c r="F664" s="566"/>
      <c r="G664" s="566" t="s">
        <v>1485</v>
      </c>
      <c r="H664" s="566" t="s">
        <v>708</v>
      </c>
      <c r="I664" s="239" t="str">
        <f>IF(ISBLANK(regional!I279),"",regional!I279)</f>
        <v/>
      </c>
      <c r="K664" s="262" t="s">
        <v>4241</v>
      </c>
      <c r="O664" s="262" t="s">
        <v>4241</v>
      </c>
    </row>
    <row r="665" spans="1:15" ht="12.75" customHeight="1" x14ac:dyDescent="0.3">
      <c r="A665" s="566" t="s">
        <v>1487</v>
      </c>
      <c r="B665" s="566"/>
      <c r="C665" s="566"/>
      <c r="D665" s="566"/>
      <c r="E665" s="566"/>
      <c r="F665" s="566"/>
      <c r="G665" s="567" t="s">
        <v>1488</v>
      </c>
      <c r="H665" s="567" t="s">
        <v>335</v>
      </c>
      <c r="I665" s="239" t="str">
        <f>IF(ISBLANK(regional!I280),"",regional!I280)</f>
        <v/>
      </c>
      <c r="K665" s="262" t="s">
        <v>4241</v>
      </c>
      <c r="O665" s="262" t="s">
        <v>4241</v>
      </c>
    </row>
    <row r="666" spans="1:15" ht="12.75" customHeight="1" x14ac:dyDescent="0.3">
      <c r="A666" s="566"/>
      <c r="B666" s="566" t="s">
        <v>1489</v>
      </c>
      <c r="C666" s="566"/>
      <c r="D666" s="566"/>
      <c r="E666" s="566"/>
      <c r="F666" s="566"/>
      <c r="G666" s="567" t="s">
        <v>1490</v>
      </c>
      <c r="H666" s="567" t="s">
        <v>708</v>
      </c>
      <c r="I666" s="239" t="str">
        <f>IF(ISBLANK(regional!I281),"",regional!I281)</f>
        <v/>
      </c>
      <c r="K666" s="262" t="s">
        <v>4241</v>
      </c>
      <c r="O666" s="262" t="s">
        <v>4241</v>
      </c>
    </row>
    <row r="667" spans="1:15" ht="12.75" customHeight="1" x14ac:dyDescent="0.3">
      <c r="A667" s="566" t="s">
        <v>1491</v>
      </c>
      <c r="B667" s="566"/>
      <c r="C667" s="566"/>
      <c r="D667" s="566"/>
      <c r="E667" s="566"/>
      <c r="F667" s="566"/>
      <c r="G667" s="567" t="s">
        <v>1492</v>
      </c>
      <c r="H667" s="567" t="s">
        <v>335</v>
      </c>
      <c r="I667" s="239" t="str">
        <f>IF(ISBLANK(regional!I282),"",regional!I282)</f>
        <v/>
      </c>
      <c r="K667" s="262" t="s">
        <v>4241</v>
      </c>
      <c r="O667" s="262" t="s">
        <v>4241</v>
      </c>
    </row>
    <row r="668" spans="1:15" ht="12.75" customHeight="1" x14ac:dyDescent="0.3">
      <c r="A668" s="566"/>
      <c r="B668" s="566" t="s">
        <v>1493</v>
      </c>
      <c r="C668" s="566"/>
      <c r="D668" s="566"/>
      <c r="E668" s="566"/>
      <c r="F668" s="566"/>
      <c r="G668" s="567" t="s">
        <v>1494</v>
      </c>
      <c r="H668" s="567" t="s">
        <v>708</v>
      </c>
      <c r="I668" s="239" t="str">
        <f>IF(ISBLANK(regional!I283),"",regional!I283)</f>
        <v/>
      </c>
      <c r="K668" s="262" t="s">
        <v>4241</v>
      </c>
      <c r="O668" s="262" t="s">
        <v>4241</v>
      </c>
    </row>
    <row r="669" spans="1:15" ht="12.75" customHeight="1" x14ac:dyDescent="0.3">
      <c r="A669" s="566"/>
      <c r="B669" s="566"/>
      <c r="C669" s="566" t="s">
        <v>1447</v>
      </c>
      <c r="D669" s="566"/>
      <c r="E669" s="566"/>
      <c r="F669" s="566"/>
      <c r="G669" s="566" t="s">
        <v>1495</v>
      </c>
      <c r="H669" s="566" t="s">
        <v>335</v>
      </c>
      <c r="I669" s="239" t="str">
        <f>IF(ISBLANK(regional!I284),"",regional!I284)</f>
        <v/>
      </c>
      <c r="K669" s="262" t="s">
        <v>4241</v>
      </c>
      <c r="O669" s="262" t="s">
        <v>4241</v>
      </c>
    </row>
    <row r="670" spans="1:15" ht="12.75" customHeight="1" x14ac:dyDescent="0.3">
      <c r="A670" s="566"/>
      <c r="B670" s="566"/>
      <c r="C670" s="566" t="s">
        <v>1449</v>
      </c>
      <c r="D670" s="566"/>
      <c r="E670" s="566"/>
      <c r="F670" s="566"/>
      <c r="G670" s="567" t="s">
        <v>1496</v>
      </c>
      <c r="H670" s="567" t="s">
        <v>335</v>
      </c>
      <c r="I670" s="239" t="str">
        <f>IF(ISBLANK(regional!I285),"",regional!I285)</f>
        <v/>
      </c>
      <c r="K670" s="262" t="s">
        <v>4241</v>
      </c>
      <c r="O670" s="262" t="s">
        <v>4241</v>
      </c>
    </row>
    <row r="671" spans="1:15" ht="12.75" customHeight="1" x14ac:dyDescent="0.3">
      <c r="A671" s="410" t="s">
        <v>1497</v>
      </c>
      <c r="I671" s="239" t="str">
        <f>IF(ISBLANK(regional!I286),"",regional!I286)</f>
        <v/>
      </c>
      <c r="K671" s="262" t="s">
        <v>4241</v>
      </c>
      <c r="O671" s="262" t="s">
        <v>4241</v>
      </c>
    </row>
    <row r="672" spans="1:15" ht="12.75" customHeight="1" x14ac:dyDescent="0.3">
      <c r="A672" s="566" t="s">
        <v>1498</v>
      </c>
      <c r="B672" s="566"/>
      <c r="C672" s="566"/>
      <c r="D672" s="566"/>
      <c r="E672" s="566"/>
      <c r="F672" s="566"/>
      <c r="G672" s="567" t="s">
        <v>1499</v>
      </c>
      <c r="H672" s="567" t="s">
        <v>335</v>
      </c>
      <c r="I672" s="239" t="str">
        <f>IF(ISBLANK(regional!I287),"",regional!I287)</f>
        <v/>
      </c>
      <c r="K672" s="262" t="s">
        <v>4241</v>
      </c>
      <c r="O672" s="262" t="s">
        <v>4241</v>
      </c>
    </row>
    <row r="673" spans="1:15" ht="12.75" customHeight="1" x14ac:dyDescent="0.3">
      <c r="A673" s="566" t="s">
        <v>1500</v>
      </c>
      <c r="B673" s="566"/>
      <c r="C673" s="566"/>
      <c r="D673" s="566"/>
      <c r="E673" s="566"/>
      <c r="F673" s="566"/>
      <c r="G673" s="567" t="s">
        <v>1501</v>
      </c>
      <c r="H673" s="567" t="s">
        <v>335</v>
      </c>
      <c r="I673" s="239" t="str">
        <f>IF(ISBLANK(regional!I288),"",regional!I288)</f>
        <v/>
      </c>
      <c r="K673" s="262" t="s">
        <v>4241</v>
      </c>
      <c r="O673" s="262" t="s">
        <v>4241</v>
      </c>
    </row>
    <row r="674" spans="1:15" ht="12.75" customHeight="1" x14ac:dyDescent="0.3">
      <c r="A674" s="566" t="s">
        <v>1502</v>
      </c>
      <c r="B674" s="566"/>
      <c r="C674" s="566"/>
      <c r="D674" s="566"/>
      <c r="E674" s="566"/>
      <c r="F674" s="566"/>
      <c r="G674" s="567" t="s">
        <v>1503</v>
      </c>
      <c r="H674" s="567" t="s">
        <v>335</v>
      </c>
      <c r="I674" s="239" t="str">
        <f>IF(ISBLANK(regional!I289),"",regional!I289)</f>
        <v/>
      </c>
      <c r="K674" s="262" t="s">
        <v>4241</v>
      </c>
      <c r="O674" s="262" t="s">
        <v>4241</v>
      </c>
    </row>
    <row r="675" spans="1:15" ht="12.75" customHeight="1" x14ac:dyDescent="0.3">
      <c r="A675" s="566"/>
      <c r="B675" s="566" t="s">
        <v>1504</v>
      </c>
      <c r="C675" s="566"/>
      <c r="D675" s="566"/>
      <c r="E675" s="566"/>
      <c r="F675" s="566"/>
      <c r="G675" s="567" t="s">
        <v>1505</v>
      </c>
      <c r="H675" s="567" t="s">
        <v>1506</v>
      </c>
      <c r="I675" s="239" t="str">
        <f>IF(ISBLANK(regional!I290),"",regional!I290)</f>
        <v/>
      </c>
      <c r="K675" s="262" t="s">
        <v>4241</v>
      </c>
      <c r="O675" s="262" t="s">
        <v>4241</v>
      </c>
    </row>
    <row r="676" spans="1:15" ht="12.75" customHeight="1" x14ac:dyDescent="0.3">
      <c r="A676" s="566"/>
      <c r="B676" s="566" t="s">
        <v>1507</v>
      </c>
      <c r="C676" s="566"/>
      <c r="D676" s="566"/>
      <c r="E676" s="566"/>
      <c r="F676" s="566"/>
      <c r="G676" s="566" t="s">
        <v>1508</v>
      </c>
      <c r="H676" s="567" t="s">
        <v>866</v>
      </c>
      <c r="I676" s="239" t="str">
        <f>IF(ISBLANK(regional!I291),"",regional!I291)</f>
        <v/>
      </c>
      <c r="K676" s="262" t="s">
        <v>4241</v>
      </c>
      <c r="O676" s="262" t="s">
        <v>4241</v>
      </c>
    </row>
    <row r="677" spans="1:15" ht="12.75" customHeight="1" x14ac:dyDescent="0.3">
      <c r="A677" s="566"/>
      <c r="B677" s="566" t="s">
        <v>1510</v>
      </c>
      <c r="C677" s="566"/>
      <c r="D677" s="566"/>
      <c r="E677" s="566"/>
      <c r="F677" s="566"/>
      <c r="G677" s="567" t="s">
        <v>1511</v>
      </c>
      <c r="H677" s="567" t="s">
        <v>291</v>
      </c>
      <c r="I677" s="239" t="str">
        <f>IF(ISBLANK(regional!I292),"",regional!I292)</f>
        <v/>
      </c>
      <c r="K677" s="262" t="s">
        <v>4241</v>
      </c>
      <c r="O677" s="262" t="s">
        <v>4241</v>
      </c>
    </row>
    <row r="678" spans="1:15" ht="12.75" customHeight="1" x14ac:dyDescent="0.3">
      <c r="A678" s="566"/>
      <c r="B678" s="566"/>
      <c r="C678" s="566" t="s">
        <v>1512</v>
      </c>
      <c r="D678" s="566"/>
      <c r="E678" s="566"/>
      <c r="F678" s="566"/>
      <c r="G678" s="567" t="s">
        <v>1513</v>
      </c>
      <c r="H678" s="567" t="s">
        <v>291</v>
      </c>
      <c r="I678" s="239" t="str">
        <f>IF(ISBLANK(regional!I293),"",regional!I293)</f>
        <v/>
      </c>
      <c r="K678" s="262" t="s">
        <v>4241</v>
      </c>
      <c r="O678" s="262" t="s">
        <v>4241</v>
      </c>
    </row>
    <row r="679" spans="1:15" ht="12.75" customHeight="1" x14ac:dyDescent="0.3">
      <c r="A679" s="566"/>
      <c r="B679" s="566"/>
      <c r="C679" s="566"/>
      <c r="D679" s="566" t="s">
        <v>1514</v>
      </c>
      <c r="E679" s="566"/>
      <c r="F679" s="566"/>
      <c r="G679" s="566" t="s">
        <v>1515</v>
      </c>
      <c r="H679" s="567" t="s">
        <v>291</v>
      </c>
      <c r="I679" s="239" t="str">
        <f>IF(ISBLANK(regional!I294),"",regional!I294)</f>
        <v/>
      </c>
      <c r="K679" s="262" t="s">
        <v>4241</v>
      </c>
      <c r="O679" s="262" t="s">
        <v>4241</v>
      </c>
    </row>
    <row r="680" spans="1:15" ht="12.75" customHeight="1" x14ac:dyDescent="0.3">
      <c r="A680" s="566"/>
      <c r="B680" s="566"/>
      <c r="C680" s="566"/>
      <c r="D680" s="566"/>
      <c r="E680" s="566" t="s">
        <v>1516</v>
      </c>
      <c r="F680" s="566"/>
      <c r="G680" s="566" t="s">
        <v>1517</v>
      </c>
      <c r="H680" s="567" t="s">
        <v>291</v>
      </c>
      <c r="I680" s="239" t="str">
        <f>IF(ISBLANK(regional!I295),"",regional!I295)</f>
        <v/>
      </c>
      <c r="K680" s="262" t="s">
        <v>4241</v>
      </c>
      <c r="O680" s="262" t="s">
        <v>4241</v>
      </c>
    </row>
    <row r="681" spans="1:15" ht="12.75" customHeight="1" x14ac:dyDescent="0.3">
      <c r="A681" s="566"/>
      <c r="B681" s="566"/>
      <c r="C681" s="566"/>
      <c r="D681" s="566"/>
      <c r="E681" s="566"/>
      <c r="F681" s="566" t="s">
        <v>1518</v>
      </c>
      <c r="G681" s="566" t="s">
        <v>1519</v>
      </c>
      <c r="H681" s="567" t="s">
        <v>1520</v>
      </c>
      <c r="I681" s="239" t="str">
        <f>IF(ISBLANK(regional!I296),"",regional!I296)</f>
        <v/>
      </c>
      <c r="K681" s="262" t="s">
        <v>4241</v>
      </c>
      <c r="O681" s="262" t="s">
        <v>4241</v>
      </c>
    </row>
    <row r="682" spans="1:15" ht="12.75" customHeight="1" x14ac:dyDescent="0.3">
      <c r="A682" s="566"/>
      <c r="B682" s="566"/>
      <c r="C682" s="566" t="s">
        <v>1522</v>
      </c>
      <c r="D682" s="566"/>
      <c r="E682" s="566"/>
      <c r="F682" s="566"/>
      <c r="G682" s="567" t="s">
        <v>1523</v>
      </c>
      <c r="H682" s="567" t="s">
        <v>291</v>
      </c>
      <c r="I682" s="239" t="str">
        <f>IF(ISBLANK(regional!I297),"",regional!I297)</f>
        <v/>
      </c>
      <c r="K682" s="262" t="s">
        <v>4241</v>
      </c>
      <c r="O682" s="262" t="s">
        <v>4241</v>
      </c>
    </row>
    <row r="683" spans="1:15" ht="12.75" customHeight="1" x14ac:dyDescent="0.3">
      <c r="A683" s="566"/>
      <c r="B683" s="566"/>
      <c r="C683" s="566" t="s">
        <v>1524</v>
      </c>
      <c r="D683" s="566"/>
      <c r="E683" s="566"/>
      <c r="F683" s="566"/>
      <c r="G683" s="567" t="s">
        <v>1525</v>
      </c>
      <c r="H683" s="567" t="s">
        <v>291</v>
      </c>
      <c r="I683" s="239" t="str">
        <f>IF(ISBLANK(regional!I298),"",regional!I298)</f>
        <v/>
      </c>
      <c r="K683" s="262" t="s">
        <v>4241</v>
      </c>
      <c r="O683" s="262" t="s">
        <v>4241</v>
      </c>
    </row>
    <row r="684" spans="1:15" ht="12.75" customHeight="1" x14ac:dyDescent="0.3">
      <c r="A684" s="566"/>
      <c r="B684" s="566"/>
      <c r="C684" s="566"/>
      <c r="D684" s="566" t="s">
        <v>1526</v>
      </c>
      <c r="E684" s="566"/>
      <c r="F684" s="566"/>
      <c r="G684" s="566" t="s">
        <v>1527</v>
      </c>
      <c r="H684" s="567" t="s">
        <v>291</v>
      </c>
      <c r="I684" s="239" t="str">
        <f>IF(ISBLANK(regional!I299),"",regional!I299)</f>
        <v/>
      </c>
      <c r="K684" s="262" t="s">
        <v>4241</v>
      </c>
      <c r="O684" s="262" t="s">
        <v>4241</v>
      </c>
    </row>
    <row r="685" spans="1:15" ht="12.75" customHeight="1" x14ac:dyDescent="0.3">
      <c r="A685" s="566"/>
      <c r="B685" s="566"/>
      <c r="C685" s="566"/>
      <c r="D685" s="566" t="s">
        <v>1528</v>
      </c>
      <c r="E685" s="566"/>
      <c r="F685" s="566"/>
      <c r="G685" s="566" t="s">
        <v>1529</v>
      </c>
      <c r="H685" s="567" t="s">
        <v>1530</v>
      </c>
      <c r="I685" s="239" t="str">
        <f>IF(ISBLANK(regional!I300),"",regional!I300)</f>
        <v/>
      </c>
      <c r="K685" s="262" t="s">
        <v>4241</v>
      </c>
      <c r="O685" s="262" t="s">
        <v>4241</v>
      </c>
    </row>
    <row r="686" spans="1:15" ht="12.75" customHeight="1" x14ac:dyDescent="0.3">
      <c r="A686" s="566"/>
      <c r="B686" s="566"/>
      <c r="C686" s="566"/>
      <c r="D686" s="566" t="s">
        <v>1531</v>
      </c>
      <c r="E686" s="566"/>
      <c r="F686" s="566"/>
      <c r="G686" s="566" t="s">
        <v>1532</v>
      </c>
      <c r="H686" s="567" t="s">
        <v>291</v>
      </c>
      <c r="I686" s="239" t="str">
        <f>IF(ISBLANK(regional!I301),"",regional!I301)</f>
        <v/>
      </c>
      <c r="K686" s="262" t="s">
        <v>4241</v>
      </c>
      <c r="O686" s="262" t="s">
        <v>4241</v>
      </c>
    </row>
    <row r="687" spans="1:15" ht="12.75" customHeight="1" x14ac:dyDescent="0.3">
      <c r="A687" s="566"/>
      <c r="B687" s="566"/>
      <c r="C687" s="566"/>
      <c r="D687" s="566" t="s">
        <v>1533</v>
      </c>
      <c r="E687" s="566"/>
      <c r="F687" s="566"/>
      <c r="G687" s="567" t="s">
        <v>1534</v>
      </c>
      <c r="H687" s="567" t="s">
        <v>291</v>
      </c>
      <c r="I687" s="239" t="str">
        <f>IF(ISBLANK(regional!I302),"",regional!I302)</f>
        <v/>
      </c>
      <c r="K687" s="262" t="s">
        <v>4241</v>
      </c>
      <c r="O687" s="262" t="s">
        <v>4241</v>
      </c>
    </row>
    <row r="688" spans="1:15" ht="12.75" customHeight="1" x14ac:dyDescent="0.3">
      <c r="A688" s="410" t="s">
        <v>1535</v>
      </c>
      <c r="I688" s="239" t="str">
        <f>IF(ISBLANK(regional!I303),"",regional!I303)</f>
        <v/>
      </c>
      <c r="J688" s="822"/>
      <c r="K688" s="262" t="s">
        <v>4241</v>
      </c>
      <c r="O688" s="262" t="s">
        <v>4241</v>
      </c>
    </row>
    <row r="689" spans="1:15" ht="12.75" customHeight="1" x14ac:dyDescent="0.3">
      <c r="A689" s="566" t="s">
        <v>1536</v>
      </c>
      <c r="B689" s="566"/>
      <c r="C689" s="566"/>
      <c r="D689" s="566"/>
      <c r="E689" s="566"/>
      <c r="F689" s="566"/>
      <c r="G689" s="567" t="s">
        <v>1537</v>
      </c>
      <c r="H689" s="567" t="s">
        <v>335</v>
      </c>
      <c r="I689" s="239" t="str">
        <f>IF(ISBLANK(regional!I304),"",regional!I304)</f>
        <v/>
      </c>
      <c r="K689" s="262" t="s">
        <v>4241</v>
      </c>
      <c r="O689" s="262" t="s">
        <v>4241</v>
      </c>
    </row>
    <row r="690" spans="1:15" ht="12.75" customHeight="1" x14ac:dyDescent="0.3">
      <c r="A690" s="566" t="s">
        <v>1538</v>
      </c>
      <c r="B690" s="566"/>
      <c r="C690" s="566"/>
      <c r="D690" s="566"/>
      <c r="E690" s="566"/>
      <c r="F690" s="566"/>
      <c r="G690" s="567" t="s">
        <v>1539</v>
      </c>
      <c r="H690" s="567" t="s">
        <v>335</v>
      </c>
      <c r="I690" s="239" t="str">
        <f>IF(ISBLANK(regional!I305),"",regional!I305)</f>
        <v/>
      </c>
      <c r="K690" s="262" t="s">
        <v>4241</v>
      </c>
      <c r="O690" s="262" t="s">
        <v>4241</v>
      </c>
    </row>
    <row r="691" spans="1:15" ht="12.75" customHeight="1" x14ac:dyDescent="0.3">
      <c r="A691" s="566" t="s">
        <v>1540</v>
      </c>
      <c r="B691" s="566"/>
      <c r="C691" s="566"/>
      <c r="D691" s="566"/>
      <c r="E691" s="566"/>
      <c r="F691" s="566"/>
      <c r="G691" s="567" t="s">
        <v>1541</v>
      </c>
      <c r="H691" s="567" t="s">
        <v>335</v>
      </c>
      <c r="I691" s="239" t="str">
        <f>IF(ISBLANK(regional!I306),"",regional!I306)</f>
        <v/>
      </c>
      <c r="K691" s="262" t="s">
        <v>4241</v>
      </c>
      <c r="O691" s="262" t="s">
        <v>4241</v>
      </c>
    </row>
    <row r="692" spans="1:15" ht="12.75" customHeight="1" x14ac:dyDescent="0.3">
      <c r="A692" s="566"/>
      <c r="B692" s="566" t="s">
        <v>1542</v>
      </c>
      <c r="C692" s="566"/>
      <c r="D692" s="566"/>
      <c r="E692" s="566"/>
      <c r="F692" s="566"/>
      <c r="G692" s="567" t="s">
        <v>1543</v>
      </c>
      <c r="H692" s="567" t="s">
        <v>708</v>
      </c>
      <c r="I692" s="239" t="str">
        <f>IF(ISBLANK(regional!I307),"",regional!I307)</f>
        <v/>
      </c>
      <c r="K692" s="262" t="s">
        <v>4241</v>
      </c>
      <c r="O692" s="262" t="s">
        <v>4241</v>
      </c>
    </row>
    <row r="693" spans="1:15" ht="12.75" customHeight="1" x14ac:dyDescent="0.3">
      <c r="A693" s="566"/>
      <c r="B693" s="566" t="s">
        <v>727</v>
      </c>
      <c r="C693" s="566"/>
      <c r="D693" s="566"/>
      <c r="E693" s="566"/>
      <c r="F693" s="566"/>
      <c r="G693" s="567" t="s">
        <v>728</v>
      </c>
      <c r="H693" s="567" t="s">
        <v>729</v>
      </c>
      <c r="I693" s="239" t="str">
        <f>IF(ISBLANK(input!I284),"",input!I284)</f>
        <v/>
      </c>
      <c r="K693" s="262" t="s">
        <v>4241</v>
      </c>
      <c r="O693" s="262" t="s">
        <v>4241</v>
      </c>
    </row>
    <row r="694" spans="1:15" ht="12.75" customHeight="1" x14ac:dyDescent="0.3">
      <c r="A694" s="566"/>
      <c r="B694" s="566" t="s">
        <v>1447</v>
      </c>
      <c r="C694" s="566"/>
      <c r="D694" s="566"/>
      <c r="E694" s="566"/>
      <c r="F694" s="566"/>
      <c r="G694" s="567" t="s">
        <v>1544</v>
      </c>
      <c r="H694" s="567" t="s">
        <v>335</v>
      </c>
      <c r="I694" s="239" t="str">
        <f>IF(ISBLANK(regional!I308),"",regional!I308)</f>
        <v/>
      </c>
      <c r="K694" s="262" t="s">
        <v>4241</v>
      </c>
      <c r="O694" s="262" t="s">
        <v>4241</v>
      </c>
    </row>
    <row r="695" spans="1:15" ht="12.75" customHeight="1" x14ac:dyDescent="0.3">
      <c r="A695" s="566"/>
      <c r="B695" s="566" t="s">
        <v>1449</v>
      </c>
      <c r="C695" s="566"/>
      <c r="D695" s="566"/>
      <c r="E695" s="566"/>
      <c r="F695" s="566"/>
      <c r="G695" s="567" t="s">
        <v>1545</v>
      </c>
      <c r="H695" s="567" t="s">
        <v>335</v>
      </c>
      <c r="I695" s="239" t="str">
        <f>IF(ISBLANK(regional!I309),"",regional!I309)</f>
        <v/>
      </c>
      <c r="K695" s="262" t="s">
        <v>4241</v>
      </c>
      <c r="O695" s="262" t="s">
        <v>4241</v>
      </c>
    </row>
    <row r="696" spans="1:15" ht="12.75" customHeight="1" x14ac:dyDescent="0.3">
      <c r="A696" s="410" t="s">
        <v>1546</v>
      </c>
      <c r="I696" s="239" t="str">
        <f>IF(ISBLANK(regional!I310),"",regional!I310)</f>
        <v/>
      </c>
      <c r="K696" s="262" t="s">
        <v>4241</v>
      </c>
      <c r="O696" s="262" t="s">
        <v>4241</v>
      </c>
    </row>
    <row r="697" spans="1:15" ht="12.75" customHeight="1" x14ac:dyDescent="0.3">
      <c r="A697" s="566" t="s">
        <v>1547</v>
      </c>
      <c r="B697" s="566"/>
      <c r="C697" s="566"/>
      <c r="D697" s="566"/>
      <c r="E697" s="566"/>
      <c r="F697" s="566"/>
      <c r="G697" s="567" t="s">
        <v>1548</v>
      </c>
      <c r="H697" s="567" t="s">
        <v>335</v>
      </c>
      <c r="I697" s="239" t="str">
        <f>IF(ISBLANK(regional!I311),"",regional!I311)</f>
        <v/>
      </c>
      <c r="K697" s="262" t="s">
        <v>4241</v>
      </c>
      <c r="O697" s="262" t="s">
        <v>4241</v>
      </c>
    </row>
    <row r="698" spans="1:15" ht="12.75" customHeight="1" x14ac:dyDescent="0.3">
      <c r="A698" s="566"/>
      <c r="B698" s="566" t="s">
        <v>1549</v>
      </c>
      <c r="C698" s="566"/>
      <c r="D698" s="566"/>
      <c r="E698" s="566"/>
      <c r="F698" s="566"/>
      <c r="G698" s="567" t="s">
        <v>1550</v>
      </c>
      <c r="H698" s="567" t="s">
        <v>1506</v>
      </c>
      <c r="I698" s="239" t="str">
        <f>IF(ISBLANK(regional!I312),"",regional!I312)</f>
        <v/>
      </c>
      <c r="K698" s="262" t="s">
        <v>4241</v>
      </c>
      <c r="O698" s="262" t="s">
        <v>4241</v>
      </c>
    </row>
    <row r="699" spans="1:15" ht="12.75" customHeight="1" x14ac:dyDescent="0.3">
      <c r="A699" s="566"/>
      <c r="B699" s="566" t="s">
        <v>1551</v>
      </c>
      <c r="C699" s="566"/>
      <c r="D699" s="566"/>
      <c r="E699" s="566"/>
      <c r="F699" s="566"/>
      <c r="G699" s="566" t="s">
        <v>1552</v>
      </c>
      <c r="H699" s="567" t="s">
        <v>866</v>
      </c>
      <c r="I699" s="239" t="str">
        <f>IF(ISBLANK(regional!I313),"",regional!I313)</f>
        <v/>
      </c>
      <c r="K699" s="262" t="s">
        <v>4241</v>
      </c>
      <c r="O699" s="262" t="s">
        <v>4241</v>
      </c>
    </row>
    <row r="700" spans="1:15" ht="12.75" customHeight="1" x14ac:dyDescent="0.3">
      <c r="A700" s="566"/>
      <c r="B700" s="566" t="s">
        <v>1510</v>
      </c>
      <c r="C700" s="566"/>
      <c r="D700" s="566"/>
      <c r="E700" s="566"/>
      <c r="F700" s="566"/>
      <c r="G700" s="567" t="s">
        <v>1553</v>
      </c>
      <c r="H700" s="567" t="s">
        <v>291</v>
      </c>
      <c r="I700" s="239" t="str">
        <f>IF(ISBLANK(regional!I314),"",regional!I314)</f>
        <v/>
      </c>
      <c r="K700" s="262" t="s">
        <v>4241</v>
      </c>
      <c r="O700" s="262" t="s">
        <v>4241</v>
      </c>
    </row>
    <row r="701" spans="1:15" ht="12.75" customHeight="1" x14ac:dyDescent="0.3">
      <c r="A701" s="566"/>
      <c r="B701" s="566"/>
      <c r="C701" s="566" t="s">
        <v>1512</v>
      </c>
      <c r="D701" s="566"/>
      <c r="E701" s="566"/>
      <c r="F701" s="566"/>
      <c r="G701" s="567" t="s">
        <v>1554</v>
      </c>
      <c r="H701" s="567" t="s">
        <v>291</v>
      </c>
      <c r="I701" s="239" t="str">
        <f>IF(ISBLANK(regional!I315),"",regional!I315)</f>
        <v/>
      </c>
      <c r="K701" s="262" t="s">
        <v>4241</v>
      </c>
      <c r="O701" s="262" t="s">
        <v>4241</v>
      </c>
    </row>
    <row r="702" spans="1:15" ht="12.75" customHeight="1" x14ac:dyDescent="0.3">
      <c r="A702" s="566"/>
      <c r="B702" s="566"/>
      <c r="C702" s="566"/>
      <c r="D702" s="566" t="s">
        <v>1514</v>
      </c>
      <c r="E702" s="566"/>
      <c r="F702" s="566"/>
      <c r="G702" s="566" t="s">
        <v>1555</v>
      </c>
      <c r="H702" s="567" t="s">
        <v>291</v>
      </c>
      <c r="I702" s="239" t="str">
        <f>IF(ISBLANK(regional!I316),"",regional!I316)</f>
        <v/>
      </c>
      <c r="K702" s="262" t="s">
        <v>4241</v>
      </c>
      <c r="O702" s="262" t="s">
        <v>4241</v>
      </c>
    </row>
    <row r="703" spans="1:15" ht="12.75" customHeight="1" x14ac:dyDescent="0.3">
      <c r="A703" s="566"/>
      <c r="B703" s="566"/>
      <c r="C703" s="566"/>
      <c r="D703" s="566"/>
      <c r="E703" s="566" t="s">
        <v>1556</v>
      </c>
      <c r="F703" s="566"/>
      <c r="G703" s="566" t="s">
        <v>1557</v>
      </c>
      <c r="H703" s="567" t="s">
        <v>291</v>
      </c>
      <c r="I703" s="239" t="str">
        <f>IF(ISBLANK(regional!I317),"",regional!I317)</f>
        <v/>
      </c>
      <c r="K703" s="262" t="s">
        <v>4241</v>
      </c>
      <c r="O703" s="262" t="s">
        <v>4241</v>
      </c>
    </row>
    <row r="704" spans="1:15" ht="12.75" customHeight="1" x14ac:dyDescent="0.3">
      <c r="A704" s="566"/>
      <c r="B704" s="566"/>
      <c r="C704" s="566"/>
      <c r="D704" s="566"/>
      <c r="E704" s="566"/>
      <c r="F704" s="566" t="s">
        <v>1558</v>
      </c>
      <c r="G704" s="566" t="s">
        <v>1559</v>
      </c>
      <c r="H704" s="567" t="s">
        <v>1520</v>
      </c>
      <c r="I704" s="239" t="str">
        <f>IF(ISBLANK(regional!I318),"",regional!I318)</f>
        <v/>
      </c>
      <c r="K704" s="262" t="s">
        <v>4241</v>
      </c>
      <c r="O704" s="262" t="s">
        <v>4241</v>
      </c>
    </row>
    <row r="705" spans="1:15" ht="12.75" customHeight="1" x14ac:dyDescent="0.3">
      <c r="A705" s="566"/>
      <c r="B705" s="566"/>
      <c r="C705" s="566" t="s">
        <v>1522</v>
      </c>
      <c r="D705" s="566"/>
      <c r="E705" s="566"/>
      <c r="F705" s="566"/>
      <c r="G705" s="567" t="s">
        <v>1561</v>
      </c>
      <c r="H705" s="567" t="s">
        <v>291</v>
      </c>
      <c r="I705" s="239" t="str">
        <f>IF(ISBLANK(regional!I319),"",regional!I319)</f>
        <v/>
      </c>
      <c r="K705" s="262" t="s">
        <v>4241</v>
      </c>
      <c r="O705" s="262" t="s">
        <v>4241</v>
      </c>
    </row>
    <row r="706" spans="1:15" ht="12.75" customHeight="1" x14ac:dyDescent="0.3">
      <c r="A706" s="566"/>
      <c r="B706" s="566"/>
      <c r="C706" s="566" t="s">
        <v>1524</v>
      </c>
      <c r="D706" s="566"/>
      <c r="E706" s="566"/>
      <c r="F706" s="566"/>
      <c r="G706" s="567" t="s">
        <v>1562</v>
      </c>
      <c r="H706" s="567" t="s">
        <v>291</v>
      </c>
      <c r="I706" s="239" t="str">
        <f>IF(ISBLANK(regional!I320),"",regional!I320)</f>
        <v/>
      </c>
      <c r="K706" s="262" t="s">
        <v>4241</v>
      </c>
      <c r="O706" s="262" t="s">
        <v>4241</v>
      </c>
    </row>
    <row r="707" spans="1:15" ht="12.75" customHeight="1" x14ac:dyDescent="0.3">
      <c r="A707" s="566"/>
      <c r="B707" s="566"/>
      <c r="C707" s="566"/>
      <c r="D707" s="566" t="s">
        <v>1526</v>
      </c>
      <c r="E707" s="566"/>
      <c r="F707" s="566"/>
      <c r="G707" s="566" t="s">
        <v>1563</v>
      </c>
      <c r="H707" s="567" t="s">
        <v>291</v>
      </c>
      <c r="I707" s="239" t="str">
        <f>IF(ISBLANK(regional!I321),"",regional!I321)</f>
        <v/>
      </c>
      <c r="K707" s="262" t="s">
        <v>4241</v>
      </c>
      <c r="O707" s="262" t="s">
        <v>4241</v>
      </c>
    </row>
    <row r="708" spans="1:15" ht="12.75" customHeight="1" x14ac:dyDescent="0.3">
      <c r="A708" s="566"/>
      <c r="B708" s="566"/>
      <c r="C708" s="566"/>
      <c r="D708" s="566" t="s">
        <v>1528</v>
      </c>
      <c r="E708" s="566"/>
      <c r="F708" s="566"/>
      <c r="G708" s="566" t="s">
        <v>1564</v>
      </c>
      <c r="H708" s="567" t="s">
        <v>1530</v>
      </c>
      <c r="I708" s="239" t="str">
        <f>IF(ISBLANK(regional!I322),"",regional!I322)</f>
        <v/>
      </c>
      <c r="K708" s="262" t="s">
        <v>4241</v>
      </c>
      <c r="O708" s="262" t="s">
        <v>4241</v>
      </c>
    </row>
    <row r="709" spans="1:15" ht="12.75" customHeight="1" x14ac:dyDescent="0.3">
      <c r="A709" s="566"/>
      <c r="B709" s="566"/>
      <c r="C709" s="566"/>
      <c r="D709" s="566" t="s">
        <v>1531</v>
      </c>
      <c r="E709" s="566"/>
      <c r="F709" s="566"/>
      <c r="G709" s="566" t="s">
        <v>1565</v>
      </c>
      <c r="H709" s="567" t="s">
        <v>291</v>
      </c>
      <c r="I709" s="239" t="str">
        <f>IF(ISBLANK(regional!I323),"",regional!I323)</f>
        <v/>
      </c>
      <c r="K709" s="262" t="s">
        <v>4241</v>
      </c>
      <c r="O709" s="262" t="s">
        <v>4241</v>
      </c>
    </row>
    <row r="710" spans="1:15" ht="12.75" customHeight="1" x14ac:dyDescent="0.3">
      <c r="A710" s="566"/>
      <c r="B710" s="566"/>
      <c r="C710" s="566"/>
      <c r="D710" s="566" t="s">
        <v>1533</v>
      </c>
      <c r="E710" s="566"/>
      <c r="F710" s="566"/>
      <c r="G710" s="567" t="s">
        <v>1566</v>
      </c>
      <c r="H710" s="567" t="s">
        <v>291</v>
      </c>
      <c r="I710" s="239" t="str">
        <f>IF(ISBLANK(regional!I324),"",regional!I324)</f>
        <v/>
      </c>
      <c r="K710" s="262" t="s">
        <v>4241</v>
      </c>
      <c r="O710" s="262" t="s">
        <v>4241</v>
      </c>
    </row>
    <row r="711" spans="1:15" ht="12.75" customHeight="1" x14ac:dyDescent="0.3">
      <c r="A711" s="566" t="s">
        <v>1567</v>
      </c>
      <c r="B711" s="566"/>
      <c r="C711" s="566"/>
      <c r="D711" s="566"/>
      <c r="E711" s="566"/>
      <c r="F711" s="566"/>
      <c r="G711" s="567" t="s">
        <v>1568</v>
      </c>
      <c r="H711" s="567" t="s">
        <v>335</v>
      </c>
      <c r="I711" s="239" t="str">
        <f>IF(ISBLANK(regional!I325),"",regional!I325)</f>
        <v/>
      </c>
      <c r="K711" s="262" t="s">
        <v>4241</v>
      </c>
      <c r="O711" s="262" t="s">
        <v>4241</v>
      </c>
    </row>
    <row r="712" spans="1:15" ht="12.75" customHeight="1" x14ac:dyDescent="0.3">
      <c r="A712" s="566"/>
      <c r="B712" s="566" t="s">
        <v>1549</v>
      </c>
      <c r="C712" s="566"/>
      <c r="D712" s="566"/>
      <c r="E712" s="566"/>
      <c r="F712" s="566"/>
      <c r="G712" s="567" t="s">
        <v>1569</v>
      </c>
      <c r="H712" s="567" t="s">
        <v>1506</v>
      </c>
      <c r="I712" s="239" t="str">
        <f>IF(ISBLANK(regional!I326),"",regional!I326)</f>
        <v/>
      </c>
      <c r="J712" s="822"/>
      <c r="K712" s="262" t="s">
        <v>4241</v>
      </c>
      <c r="O712" s="262" t="s">
        <v>4241</v>
      </c>
    </row>
    <row r="713" spans="1:15" ht="12.75" customHeight="1" x14ac:dyDescent="0.3">
      <c r="A713" s="566"/>
      <c r="B713" s="566" t="s">
        <v>1551</v>
      </c>
      <c r="C713" s="566"/>
      <c r="D713" s="566"/>
      <c r="E713" s="566"/>
      <c r="F713" s="566"/>
      <c r="G713" s="566" t="s">
        <v>1570</v>
      </c>
      <c r="H713" s="567" t="s">
        <v>866</v>
      </c>
      <c r="I713" s="239" t="str">
        <f>IF(ISBLANK(regional!I327),"",regional!I327)</f>
        <v/>
      </c>
      <c r="K713" s="262" t="s">
        <v>4241</v>
      </c>
      <c r="O713" s="262" t="s">
        <v>4241</v>
      </c>
    </row>
    <row r="714" spans="1:15" ht="12.75" customHeight="1" x14ac:dyDescent="0.3">
      <c r="A714" s="566"/>
      <c r="B714" s="566" t="s">
        <v>1510</v>
      </c>
      <c r="C714" s="566"/>
      <c r="D714" s="566"/>
      <c r="E714" s="566"/>
      <c r="F714" s="566"/>
      <c r="G714" s="567" t="s">
        <v>1571</v>
      </c>
      <c r="H714" s="567" t="s">
        <v>291</v>
      </c>
      <c r="I714" s="239" t="str">
        <f>IF(ISBLANK(regional!I328),"",regional!I328)</f>
        <v/>
      </c>
      <c r="K714" s="262" t="s">
        <v>4241</v>
      </c>
      <c r="O714" s="262" t="s">
        <v>4241</v>
      </c>
    </row>
    <row r="715" spans="1:15" ht="12.75" customHeight="1" x14ac:dyDescent="0.3">
      <c r="A715" s="566"/>
      <c r="B715" s="566"/>
      <c r="C715" s="566" t="s">
        <v>1512</v>
      </c>
      <c r="D715" s="566"/>
      <c r="E715" s="566"/>
      <c r="F715" s="566"/>
      <c r="G715" s="567" t="s">
        <v>1572</v>
      </c>
      <c r="H715" s="567" t="s">
        <v>291</v>
      </c>
      <c r="I715" s="239" t="str">
        <f>IF(ISBLANK(regional!I329),"",regional!I329)</f>
        <v/>
      </c>
      <c r="K715" s="262" t="s">
        <v>4241</v>
      </c>
      <c r="O715" s="262" t="s">
        <v>4241</v>
      </c>
    </row>
    <row r="716" spans="1:15" ht="12.75" customHeight="1" x14ac:dyDescent="0.3">
      <c r="A716" s="566"/>
      <c r="B716" s="566"/>
      <c r="C716" s="566"/>
      <c r="D716" s="566" t="s">
        <v>1514</v>
      </c>
      <c r="E716" s="566"/>
      <c r="F716" s="566"/>
      <c r="G716" s="566" t="s">
        <v>1573</v>
      </c>
      <c r="H716" s="567" t="s">
        <v>291</v>
      </c>
      <c r="I716" s="239" t="str">
        <f>IF(ISBLANK(regional!I330),"",regional!I330)</f>
        <v/>
      </c>
      <c r="K716" s="262" t="s">
        <v>4241</v>
      </c>
      <c r="O716" s="262" t="s">
        <v>4241</v>
      </c>
    </row>
    <row r="717" spans="1:15" ht="12.75" customHeight="1" x14ac:dyDescent="0.3">
      <c r="A717" s="566"/>
      <c r="B717" s="566"/>
      <c r="C717" s="566"/>
      <c r="D717" s="566"/>
      <c r="E717" s="566" t="s">
        <v>1556</v>
      </c>
      <c r="F717" s="566"/>
      <c r="G717" s="566" t="s">
        <v>1574</v>
      </c>
      <c r="H717" s="567" t="s">
        <v>291</v>
      </c>
      <c r="I717" s="239" t="str">
        <f>IF(ISBLANK(regional!I331),"",regional!I331)</f>
        <v/>
      </c>
      <c r="K717" s="262" t="s">
        <v>4241</v>
      </c>
      <c r="O717" s="262" t="s">
        <v>4241</v>
      </c>
    </row>
    <row r="718" spans="1:15" ht="12.75" customHeight="1" x14ac:dyDescent="0.3">
      <c r="A718" s="566"/>
      <c r="B718" s="566"/>
      <c r="C718" s="566"/>
      <c r="D718" s="566"/>
      <c r="E718" s="566"/>
      <c r="F718" s="566" t="s">
        <v>1558</v>
      </c>
      <c r="G718" s="566" t="s">
        <v>1575</v>
      </c>
      <c r="H718" s="567" t="s">
        <v>1520</v>
      </c>
      <c r="I718" s="239" t="str">
        <f>IF(ISBLANK(regional!I332),"",regional!I332)</f>
        <v/>
      </c>
      <c r="K718" s="262" t="s">
        <v>4241</v>
      </c>
      <c r="O718" s="262" t="s">
        <v>4241</v>
      </c>
    </row>
    <row r="719" spans="1:15" ht="12.75" customHeight="1" x14ac:dyDescent="0.3">
      <c r="A719" s="566"/>
      <c r="B719" s="566"/>
      <c r="C719" s="566" t="s">
        <v>1522</v>
      </c>
      <c r="D719" s="566"/>
      <c r="E719" s="566"/>
      <c r="F719" s="566"/>
      <c r="G719" s="567" t="s">
        <v>1577</v>
      </c>
      <c r="H719" s="567" t="s">
        <v>291</v>
      </c>
      <c r="I719" s="239" t="str">
        <f>IF(ISBLANK(regional!I333),"",regional!I333)</f>
        <v/>
      </c>
      <c r="K719" s="262" t="s">
        <v>4241</v>
      </c>
      <c r="O719" s="262" t="s">
        <v>4241</v>
      </c>
    </row>
    <row r="720" spans="1:15" ht="12.75" customHeight="1" x14ac:dyDescent="0.3">
      <c r="A720" s="566"/>
      <c r="B720" s="566"/>
      <c r="C720" s="566" t="s">
        <v>1524</v>
      </c>
      <c r="D720" s="566"/>
      <c r="E720" s="566"/>
      <c r="F720" s="566"/>
      <c r="G720" s="567" t="s">
        <v>1578</v>
      </c>
      <c r="H720" s="567" t="s">
        <v>291</v>
      </c>
      <c r="I720" s="239" t="str">
        <f>IF(ISBLANK(regional!I334),"",regional!I334)</f>
        <v/>
      </c>
      <c r="K720" s="262" t="s">
        <v>4241</v>
      </c>
      <c r="O720" s="262" t="s">
        <v>4241</v>
      </c>
    </row>
    <row r="721" spans="1:15" ht="12.75" customHeight="1" x14ac:dyDescent="0.3">
      <c r="A721" s="566"/>
      <c r="B721" s="566"/>
      <c r="C721" s="566"/>
      <c r="D721" s="566" t="s">
        <v>1528</v>
      </c>
      <c r="E721" s="566"/>
      <c r="F721" s="566"/>
      <c r="G721" s="566" t="s">
        <v>1579</v>
      </c>
      <c r="H721" s="567" t="s">
        <v>1530</v>
      </c>
      <c r="I721" s="239" t="str">
        <f>IF(ISBLANK(regional!I335),"",regional!I335)</f>
        <v/>
      </c>
      <c r="K721" s="262" t="s">
        <v>4241</v>
      </c>
      <c r="O721" s="262" t="s">
        <v>4241</v>
      </c>
    </row>
    <row r="722" spans="1:15" ht="12.75" customHeight="1" x14ac:dyDescent="0.3">
      <c r="A722" s="566"/>
      <c r="B722" s="566"/>
      <c r="C722" s="566"/>
      <c r="D722" s="566" t="s">
        <v>1531</v>
      </c>
      <c r="E722" s="566"/>
      <c r="F722" s="566"/>
      <c r="G722" s="566" t="s">
        <v>1580</v>
      </c>
      <c r="H722" s="567" t="s">
        <v>291</v>
      </c>
      <c r="I722" s="239" t="str">
        <f>IF(ISBLANK(regional!I336),"",regional!I336)</f>
        <v/>
      </c>
      <c r="K722" s="262" t="s">
        <v>4241</v>
      </c>
      <c r="O722" s="262" t="s">
        <v>4241</v>
      </c>
    </row>
    <row r="723" spans="1:15" ht="12.75" customHeight="1" x14ac:dyDescent="0.3">
      <c r="A723" s="566"/>
      <c r="B723" s="566"/>
      <c r="C723" s="566"/>
      <c r="D723" s="566" t="s">
        <v>1526</v>
      </c>
      <c r="E723" s="566"/>
      <c r="F723" s="566"/>
      <c r="G723" s="566" t="s">
        <v>1581</v>
      </c>
      <c r="H723" s="567" t="s">
        <v>291</v>
      </c>
      <c r="I723" s="239" t="str">
        <f>IF(ISBLANK(regional!I337),"",regional!I337)</f>
        <v/>
      </c>
      <c r="K723" s="262" t="s">
        <v>4241</v>
      </c>
      <c r="O723" s="262" t="s">
        <v>4241</v>
      </c>
    </row>
    <row r="724" spans="1:15" ht="12.75" customHeight="1" x14ac:dyDescent="0.3">
      <c r="A724" s="566"/>
      <c r="B724" s="566"/>
      <c r="C724" s="566"/>
      <c r="D724" s="566" t="s">
        <v>1533</v>
      </c>
      <c r="E724" s="566"/>
      <c r="F724" s="566"/>
      <c r="G724" s="567" t="s">
        <v>1582</v>
      </c>
      <c r="H724" s="567" t="s">
        <v>291</v>
      </c>
      <c r="I724" s="239" t="str">
        <f>IF(ISBLANK(regional!I338),"",regional!I338)</f>
        <v/>
      </c>
      <c r="K724" s="262" t="s">
        <v>4241</v>
      </c>
      <c r="O724" s="262" t="s">
        <v>4241</v>
      </c>
    </row>
    <row r="725" spans="1:15" ht="12.75" customHeight="1" x14ac:dyDescent="0.3">
      <c r="A725" s="566" t="s">
        <v>1583</v>
      </c>
      <c r="B725" s="566"/>
      <c r="C725" s="566"/>
      <c r="D725" s="566"/>
      <c r="E725" s="566"/>
      <c r="F725" s="566"/>
      <c r="G725" s="567" t="s">
        <v>1584</v>
      </c>
      <c r="H725" s="567" t="s">
        <v>335</v>
      </c>
      <c r="I725" s="239" t="str">
        <f>IF(ISBLANK(regional!I339),"",regional!I339)</f>
        <v/>
      </c>
      <c r="K725" s="262" t="s">
        <v>4241</v>
      </c>
      <c r="O725" s="262" t="s">
        <v>4241</v>
      </c>
    </row>
    <row r="726" spans="1:15" ht="12.75" customHeight="1" x14ac:dyDescent="0.3">
      <c r="A726" s="566"/>
      <c r="B726" s="566" t="s">
        <v>1549</v>
      </c>
      <c r="C726" s="566"/>
      <c r="D726" s="566"/>
      <c r="E726" s="566"/>
      <c r="F726" s="566"/>
      <c r="G726" s="567" t="s">
        <v>1585</v>
      </c>
      <c r="H726" s="567" t="s">
        <v>1506</v>
      </c>
      <c r="I726" s="239" t="str">
        <f>IF(ISBLANK(regional!I340),"",regional!I340)</f>
        <v/>
      </c>
      <c r="K726" s="262" t="s">
        <v>4241</v>
      </c>
      <c r="O726" s="262" t="s">
        <v>4241</v>
      </c>
    </row>
    <row r="727" spans="1:15" ht="12.75" customHeight="1" x14ac:dyDescent="0.3">
      <c r="A727" s="566"/>
      <c r="B727" s="566" t="s">
        <v>1551</v>
      </c>
      <c r="C727" s="566"/>
      <c r="D727" s="566"/>
      <c r="E727" s="566"/>
      <c r="F727" s="566"/>
      <c r="G727" s="566" t="s">
        <v>1586</v>
      </c>
      <c r="H727" s="567" t="s">
        <v>866</v>
      </c>
      <c r="I727" s="239" t="str">
        <f>IF(ISBLANK(regional!I341),"",regional!I341)</f>
        <v/>
      </c>
      <c r="K727" s="262" t="s">
        <v>4241</v>
      </c>
      <c r="O727" s="262" t="s">
        <v>4241</v>
      </c>
    </row>
    <row r="728" spans="1:15" ht="12.75" customHeight="1" x14ac:dyDescent="0.3">
      <c r="A728" s="566"/>
      <c r="B728" s="566" t="s">
        <v>1510</v>
      </c>
      <c r="C728" s="566"/>
      <c r="D728" s="566"/>
      <c r="E728" s="566"/>
      <c r="F728" s="566"/>
      <c r="G728" s="567" t="s">
        <v>1587</v>
      </c>
      <c r="H728" s="567" t="s">
        <v>291</v>
      </c>
      <c r="I728" s="239" t="str">
        <f>IF(ISBLANK(regional!I342),"",regional!I342)</f>
        <v/>
      </c>
      <c r="K728" s="262" t="s">
        <v>4241</v>
      </c>
      <c r="O728" s="262" t="s">
        <v>4241</v>
      </c>
    </row>
    <row r="729" spans="1:15" ht="12.75" customHeight="1" x14ac:dyDescent="0.3">
      <c r="A729" s="566"/>
      <c r="B729" s="566"/>
      <c r="C729" s="566" t="s">
        <v>1512</v>
      </c>
      <c r="D729" s="566"/>
      <c r="E729" s="566"/>
      <c r="F729" s="566"/>
      <c r="G729" s="567" t="s">
        <v>1588</v>
      </c>
      <c r="H729" s="567" t="s">
        <v>291</v>
      </c>
      <c r="I729" s="239" t="str">
        <f>IF(ISBLANK(regional!I343),"",regional!I343)</f>
        <v/>
      </c>
      <c r="K729" s="262" t="s">
        <v>4241</v>
      </c>
      <c r="O729" s="262" t="s">
        <v>4241</v>
      </c>
    </row>
    <row r="730" spans="1:15" ht="12.75" customHeight="1" x14ac:dyDescent="0.3">
      <c r="A730" s="566"/>
      <c r="B730" s="566"/>
      <c r="C730" s="566"/>
      <c r="D730" s="566" t="s">
        <v>1514</v>
      </c>
      <c r="E730" s="566"/>
      <c r="F730" s="566"/>
      <c r="G730" s="566" t="s">
        <v>1589</v>
      </c>
      <c r="H730" s="567" t="s">
        <v>291</v>
      </c>
      <c r="I730" s="239" t="str">
        <f>IF(ISBLANK(regional!I344),"",regional!I344)</f>
        <v/>
      </c>
      <c r="K730" s="262" t="s">
        <v>4241</v>
      </c>
      <c r="O730" s="262" t="s">
        <v>4241</v>
      </c>
    </row>
    <row r="731" spans="1:15" ht="12.75" customHeight="1" x14ac:dyDescent="0.3">
      <c r="A731" s="566"/>
      <c r="B731" s="566"/>
      <c r="C731" s="566"/>
      <c r="D731" s="566"/>
      <c r="E731" s="566" t="s">
        <v>1556</v>
      </c>
      <c r="F731" s="566"/>
      <c r="G731" s="566" t="s">
        <v>1590</v>
      </c>
      <c r="H731" s="567" t="s">
        <v>291</v>
      </c>
      <c r="I731" s="239" t="str">
        <f>IF(ISBLANK(regional!I345),"",regional!I345)</f>
        <v/>
      </c>
      <c r="K731" s="262" t="s">
        <v>4241</v>
      </c>
      <c r="O731" s="262" t="s">
        <v>4241</v>
      </c>
    </row>
    <row r="732" spans="1:15" ht="12.75" customHeight="1" x14ac:dyDescent="0.3">
      <c r="A732" s="566"/>
      <c r="B732" s="566"/>
      <c r="C732" s="566"/>
      <c r="D732" s="566"/>
      <c r="E732" s="566"/>
      <c r="F732" s="566" t="s">
        <v>1558</v>
      </c>
      <c r="G732" s="566" t="s">
        <v>1591</v>
      </c>
      <c r="H732" s="567" t="s">
        <v>1520</v>
      </c>
      <c r="I732" s="239" t="str">
        <f>IF(ISBLANK(regional!I346),"",regional!I346)</f>
        <v/>
      </c>
      <c r="K732" s="262" t="s">
        <v>4241</v>
      </c>
      <c r="O732" s="262" t="s">
        <v>4241</v>
      </c>
    </row>
    <row r="733" spans="1:15" ht="12.75" customHeight="1" x14ac:dyDescent="0.3">
      <c r="A733" s="566"/>
      <c r="B733" s="566"/>
      <c r="C733" s="566" t="s">
        <v>1522</v>
      </c>
      <c r="D733" s="566"/>
      <c r="E733" s="566"/>
      <c r="F733" s="566"/>
      <c r="G733" s="567" t="s">
        <v>1592</v>
      </c>
      <c r="H733" s="567" t="s">
        <v>291</v>
      </c>
      <c r="I733" s="239" t="str">
        <f>IF(ISBLANK(regional!I347),"",regional!I347)</f>
        <v/>
      </c>
      <c r="K733" s="262" t="s">
        <v>4241</v>
      </c>
      <c r="O733" s="262" t="s">
        <v>4241</v>
      </c>
    </row>
    <row r="734" spans="1:15" ht="12.75" customHeight="1" x14ac:dyDescent="0.3">
      <c r="A734" s="566"/>
      <c r="B734" s="566"/>
      <c r="C734" s="566" t="s">
        <v>1524</v>
      </c>
      <c r="D734" s="566"/>
      <c r="E734" s="566"/>
      <c r="F734" s="566"/>
      <c r="G734" s="567" t="s">
        <v>1593</v>
      </c>
      <c r="H734" s="567" t="s">
        <v>291</v>
      </c>
      <c r="I734" s="239" t="str">
        <f>IF(ISBLANK(regional!I348),"",regional!I348)</f>
        <v/>
      </c>
      <c r="K734" s="262" t="s">
        <v>4241</v>
      </c>
      <c r="O734" s="262" t="s">
        <v>4241</v>
      </c>
    </row>
    <row r="735" spans="1:15" ht="12.75" customHeight="1" x14ac:dyDescent="0.3">
      <c r="A735" s="566"/>
      <c r="B735" s="566"/>
      <c r="C735" s="566"/>
      <c r="D735" s="566" t="s">
        <v>1528</v>
      </c>
      <c r="E735" s="566"/>
      <c r="F735" s="566"/>
      <c r="G735" s="566" t="s">
        <v>1594</v>
      </c>
      <c r="H735" s="567" t="s">
        <v>1530</v>
      </c>
      <c r="I735" s="239" t="str">
        <f>IF(ISBLANK(regional!I349),"",regional!I349)</f>
        <v/>
      </c>
      <c r="K735" s="262" t="s">
        <v>4241</v>
      </c>
      <c r="O735" s="262" t="s">
        <v>4241</v>
      </c>
    </row>
    <row r="736" spans="1:15" ht="12.75" customHeight="1" x14ac:dyDescent="0.3">
      <c r="A736" s="566"/>
      <c r="B736" s="566"/>
      <c r="C736" s="566"/>
      <c r="D736" s="566" t="s">
        <v>1531</v>
      </c>
      <c r="E736" s="566"/>
      <c r="F736" s="566"/>
      <c r="G736" s="566" t="s">
        <v>1595</v>
      </c>
      <c r="H736" s="567" t="s">
        <v>291</v>
      </c>
      <c r="I736" s="239" t="str">
        <f>IF(ISBLANK(regional!I350),"",regional!I350)</f>
        <v/>
      </c>
      <c r="K736" s="262" t="s">
        <v>4241</v>
      </c>
      <c r="O736" s="262" t="s">
        <v>4241</v>
      </c>
    </row>
    <row r="737" spans="1:15" ht="12.75" customHeight="1" x14ac:dyDescent="0.3">
      <c r="A737" s="566"/>
      <c r="B737" s="566"/>
      <c r="C737" s="566"/>
      <c r="D737" s="566" t="s">
        <v>1526</v>
      </c>
      <c r="E737" s="566"/>
      <c r="F737" s="566"/>
      <c r="G737" s="566" t="s">
        <v>1596</v>
      </c>
      <c r="H737" s="567" t="s">
        <v>291</v>
      </c>
      <c r="I737" s="239" t="str">
        <f>IF(ISBLANK(regional!I351),"",regional!I351)</f>
        <v/>
      </c>
      <c r="K737" s="262" t="s">
        <v>4241</v>
      </c>
      <c r="O737" s="262" t="s">
        <v>4241</v>
      </c>
    </row>
    <row r="738" spans="1:15" ht="12.75" customHeight="1" x14ac:dyDescent="0.3">
      <c r="A738" s="566"/>
      <c r="B738" s="566"/>
      <c r="C738" s="566"/>
      <c r="D738" s="566" t="s">
        <v>1533</v>
      </c>
      <c r="E738" s="566"/>
      <c r="F738" s="566"/>
      <c r="G738" s="567" t="s">
        <v>1597</v>
      </c>
      <c r="H738" s="567" t="s">
        <v>291</v>
      </c>
      <c r="I738" s="239" t="str">
        <f>IF(ISBLANK(regional!I352),"",regional!I352)</f>
        <v/>
      </c>
      <c r="K738" s="262" t="s">
        <v>4241</v>
      </c>
      <c r="O738" s="262" t="s">
        <v>4241</v>
      </c>
    </row>
    <row r="739" spans="1:15" ht="12.75" customHeight="1" x14ac:dyDescent="0.3">
      <c r="I739" s="239" t="str">
        <f>IF(ISBLANK(regional!I353),"",regional!I353)</f>
        <v/>
      </c>
      <c r="K739" s="262" t="s">
        <v>4241</v>
      </c>
      <c r="O739" s="262" t="s">
        <v>4241</v>
      </c>
    </row>
    <row r="740" spans="1:15" ht="12.75" customHeight="1" x14ac:dyDescent="0.3">
      <c r="A740" s="632" t="s">
        <v>1598</v>
      </c>
      <c r="B740" s="633"/>
      <c r="C740" s="633"/>
      <c r="D740" s="633"/>
      <c r="E740" s="633"/>
      <c r="F740" s="633"/>
      <c r="G740" s="632" t="s">
        <v>258</v>
      </c>
      <c r="H740" s="632" t="s">
        <v>274</v>
      </c>
      <c r="I740" s="239" t="str">
        <f>IF(ISBLANK(regional!I354),"",regional!I354)</f>
        <v>User input</v>
      </c>
      <c r="K740" s="262" t="s">
        <v>259</v>
      </c>
      <c r="O740" s="262" t="s">
        <v>259</v>
      </c>
    </row>
    <row r="741" spans="1:15" ht="12.75" customHeight="1" x14ac:dyDescent="0.3">
      <c r="A741" t="s">
        <v>1599</v>
      </c>
      <c r="I741" s="239" t="str">
        <f>IF(ISBLANK(regional!I355),"",regional!I355)</f>
        <v/>
      </c>
      <c r="K741" s="262" t="s">
        <v>4241</v>
      </c>
      <c r="O741" s="262" t="s">
        <v>4241</v>
      </c>
    </row>
    <row r="742" spans="1:15" ht="12.75" customHeight="1" x14ac:dyDescent="0.3">
      <c r="A742" s="566"/>
      <c r="B742" s="566" t="s">
        <v>1600</v>
      </c>
      <c r="C742" s="566"/>
      <c r="D742" s="566"/>
      <c r="E742" s="566"/>
      <c r="F742" s="566"/>
      <c r="G742" s="567" t="s">
        <v>1601</v>
      </c>
      <c r="H742" s="567" t="s">
        <v>813</v>
      </c>
      <c r="I742" s="239" t="str">
        <f>IF(ISBLANK(regional!I356),"",regional!I356)</f>
        <v/>
      </c>
      <c r="K742" s="262" t="s">
        <v>4241</v>
      </c>
      <c r="O742" s="262" t="s">
        <v>4241</v>
      </c>
    </row>
    <row r="743" spans="1:15" ht="12.75" customHeight="1" x14ac:dyDescent="0.3">
      <c r="A743" s="566"/>
      <c r="B743" s="566" t="s">
        <v>1603</v>
      </c>
      <c r="C743" s="566"/>
      <c r="D743" s="566"/>
      <c r="E743" s="566"/>
      <c r="F743" s="566"/>
      <c r="G743" s="567" t="s">
        <v>1604</v>
      </c>
      <c r="H743" s="567" t="s">
        <v>291</v>
      </c>
      <c r="I743" s="239" t="str">
        <f>IF(ISBLANK(regional!I357),"",regional!I357)</f>
        <v/>
      </c>
      <c r="J743" s="228"/>
      <c r="K743" s="262" t="s">
        <v>4241</v>
      </c>
      <c r="O743" s="262" t="s">
        <v>4241</v>
      </c>
    </row>
    <row r="744" spans="1:15" ht="12.75" customHeight="1" x14ac:dyDescent="0.3">
      <c r="A744" s="566"/>
      <c r="B744" s="566" t="s">
        <v>1606</v>
      </c>
      <c r="C744" s="566"/>
      <c r="D744" s="566"/>
      <c r="E744" s="566"/>
      <c r="F744" s="566"/>
      <c r="G744" s="567" t="s">
        <v>1607</v>
      </c>
      <c r="H744" s="567" t="s">
        <v>866</v>
      </c>
      <c r="I744" s="239" t="str">
        <f>IF(ISBLANK(regional!I358),"",regional!I358)</f>
        <v/>
      </c>
      <c r="J744" s="411"/>
      <c r="K744" s="262" t="s">
        <v>4241</v>
      </c>
      <c r="O744" s="262" t="s">
        <v>4241</v>
      </c>
    </row>
    <row r="745" spans="1:15" ht="12.75" customHeight="1" x14ac:dyDescent="0.3">
      <c r="A745" s="566"/>
      <c r="B745" s="566" t="s">
        <v>794</v>
      </c>
      <c r="C745" s="566"/>
      <c r="D745" s="566"/>
      <c r="E745" s="566"/>
      <c r="F745" s="566"/>
      <c r="G745" s="567" t="s">
        <v>795</v>
      </c>
      <c r="H745" s="567" t="s">
        <v>282</v>
      </c>
      <c r="I745" s="239" t="str">
        <f>IF(ISBLANK(input!I331),"",input!I331)</f>
        <v/>
      </c>
      <c r="J745" s="228"/>
      <c r="K745" s="262" t="s">
        <v>4241</v>
      </c>
      <c r="O745" s="262" t="s">
        <v>4241</v>
      </c>
    </row>
    <row r="746" spans="1:15" ht="12.75" customHeight="1" x14ac:dyDescent="0.3">
      <c r="A746" s="566"/>
      <c r="B746" s="566" t="s">
        <v>1610</v>
      </c>
      <c r="C746" s="566"/>
      <c r="D746" s="566"/>
      <c r="E746" s="566"/>
      <c r="F746" s="566"/>
      <c r="G746" s="567" t="s">
        <v>1611</v>
      </c>
      <c r="H746" s="567" t="s">
        <v>866</v>
      </c>
      <c r="I746" s="239" t="str">
        <f>IF(ISBLANK(regional!I359),"",regional!I359)</f>
        <v/>
      </c>
      <c r="K746" s="262" t="s">
        <v>4241</v>
      </c>
      <c r="O746" s="262" t="s">
        <v>4241</v>
      </c>
    </row>
    <row r="747" spans="1:15" ht="12.75" customHeight="1" x14ac:dyDescent="0.3">
      <c r="A747" s="566"/>
      <c r="B747" s="566" t="s">
        <v>1612</v>
      </c>
      <c r="C747" s="566"/>
      <c r="D747" s="566"/>
      <c r="E747" s="566"/>
      <c r="F747" s="566"/>
      <c r="G747" s="567" t="s">
        <v>1613</v>
      </c>
      <c r="H747" s="567" t="s">
        <v>291</v>
      </c>
      <c r="I747" s="239" t="str">
        <f>IF(ISBLANK(regional!I360),"",regional!I360)</f>
        <v/>
      </c>
      <c r="K747" s="262" t="s">
        <v>4241</v>
      </c>
      <c r="O747" s="262" t="s">
        <v>4241</v>
      </c>
    </row>
    <row r="748" spans="1:15" ht="12.75" customHeight="1" x14ac:dyDescent="0.3">
      <c r="A748" s="566"/>
      <c r="B748" s="566" t="s">
        <v>1614</v>
      </c>
      <c r="C748" s="566"/>
      <c r="D748" s="566"/>
      <c r="E748" s="566"/>
      <c r="F748" s="566"/>
      <c r="G748" s="567" t="s">
        <v>1615</v>
      </c>
      <c r="H748" s="567" t="s">
        <v>291</v>
      </c>
      <c r="I748" s="239" t="str">
        <f>IF(ISBLANK(regional!I361),"",regional!I361)</f>
        <v/>
      </c>
      <c r="K748" s="262" t="s">
        <v>4241</v>
      </c>
      <c r="O748" s="262" t="s">
        <v>4241</v>
      </c>
    </row>
    <row r="749" spans="1:15" ht="12.75" customHeight="1" x14ac:dyDescent="0.3">
      <c r="A749" s="566"/>
      <c r="B749" s="566" t="s">
        <v>1616</v>
      </c>
      <c r="C749" s="566"/>
      <c r="D749" s="566"/>
      <c r="E749" s="566"/>
      <c r="F749" s="566"/>
      <c r="G749" s="567" t="s">
        <v>1617</v>
      </c>
      <c r="H749" s="567" t="s">
        <v>291</v>
      </c>
      <c r="I749" s="239" t="str">
        <f>IF(ISBLANK(regional!I362),"",regional!I362)</f>
        <v/>
      </c>
      <c r="K749" s="262" t="s">
        <v>4241</v>
      </c>
      <c r="O749" s="262" t="s">
        <v>4241</v>
      </c>
    </row>
    <row r="750" spans="1:15" ht="12.75" customHeight="1" x14ac:dyDescent="0.3">
      <c r="A750" s="633" t="s">
        <v>1618</v>
      </c>
      <c r="B750" s="633"/>
      <c r="C750" s="633"/>
      <c r="D750" s="633"/>
      <c r="E750" s="633"/>
      <c r="F750" s="633"/>
      <c r="G750" s="633"/>
      <c r="H750" s="633"/>
      <c r="I750" s="239" t="str">
        <f>IF(ISBLANK(regional!I363),"",regional!I363)</f>
        <v/>
      </c>
      <c r="K750" s="262" t="s">
        <v>4241</v>
      </c>
      <c r="O750" s="262" t="s">
        <v>4241</v>
      </c>
    </row>
    <row r="751" spans="1:15" ht="12.75" customHeight="1" x14ac:dyDescent="0.3">
      <c r="A751" s="566"/>
      <c r="B751" s="566" t="s">
        <v>1619</v>
      </c>
      <c r="C751" s="566"/>
      <c r="D751" s="566"/>
      <c r="E751" s="566"/>
      <c r="F751" s="566"/>
      <c r="G751" s="566" t="s">
        <v>1620</v>
      </c>
      <c r="H751" s="566" t="s">
        <v>813</v>
      </c>
      <c r="I751" s="239" t="str">
        <f>IF(ISBLANK(regional!I364),"",regional!I364)</f>
        <v/>
      </c>
      <c r="K751" s="262" t="s">
        <v>4241</v>
      </c>
      <c r="O751" s="262" t="s">
        <v>4241</v>
      </c>
    </row>
    <row r="752" spans="1:15" ht="12.75" customHeight="1" x14ac:dyDescent="0.3">
      <c r="A752" s="566"/>
      <c r="B752" s="566" t="s">
        <v>1621</v>
      </c>
      <c r="C752" s="566"/>
      <c r="D752" s="566"/>
      <c r="E752" s="566"/>
      <c r="F752" s="566"/>
      <c r="G752" s="566" t="s">
        <v>1622</v>
      </c>
      <c r="H752" s="566" t="s">
        <v>282</v>
      </c>
      <c r="I752" s="239" t="str">
        <f>IF(ISBLANK(regional!I365),"",regional!I365)</f>
        <v/>
      </c>
      <c r="K752" s="262" t="s">
        <v>4241</v>
      </c>
      <c r="O752" s="262" t="s">
        <v>4241</v>
      </c>
    </row>
    <row r="753" spans="1:15" ht="12.75" customHeight="1" x14ac:dyDescent="0.3">
      <c r="A753" s="566"/>
      <c r="B753" s="566"/>
      <c r="C753" s="566" t="s">
        <v>1623</v>
      </c>
      <c r="D753" s="566"/>
      <c r="E753" s="566"/>
      <c r="F753" s="566"/>
      <c r="G753" s="566" t="s">
        <v>1624</v>
      </c>
      <c r="H753" s="566" t="s">
        <v>857</v>
      </c>
      <c r="I753" s="239" t="str">
        <f>IF(ISBLANK(regional!I366),"",regional!I366)</f>
        <v/>
      </c>
      <c r="K753" s="262" t="s">
        <v>4241</v>
      </c>
      <c r="O753" s="262" t="s">
        <v>4241</v>
      </c>
    </row>
    <row r="754" spans="1:15" ht="12.75" customHeight="1" x14ac:dyDescent="0.3">
      <c r="A754" s="566"/>
      <c r="B754" s="566"/>
      <c r="C754" s="566" t="s">
        <v>1625</v>
      </c>
      <c r="D754" s="566"/>
      <c r="E754" s="566"/>
      <c r="F754" s="566"/>
      <c r="G754" s="566" t="s">
        <v>1626</v>
      </c>
      <c r="H754" s="566" t="s">
        <v>888</v>
      </c>
      <c r="I754" s="239" t="str">
        <f>IF(ISBLANK(regional!I367),"",regional!I367)</f>
        <v/>
      </c>
      <c r="K754" s="262" t="s">
        <v>4241</v>
      </c>
      <c r="O754" s="262" t="s">
        <v>4241</v>
      </c>
    </row>
    <row r="755" spans="1:15" ht="12.75" customHeight="1" x14ac:dyDescent="0.3">
      <c r="A755" s="582" t="s">
        <v>1628</v>
      </c>
      <c r="B755" s="582"/>
      <c r="C755" s="582"/>
      <c r="D755" s="582"/>
      <c r="E755" s="582"/>
      <c r="F755" s="582"/>
      <c r="G755" s="581" t="s">
        <v>1629</v>
      </c>
      <c r="H755" s="581" t="s">
        <v>335</v>
      </c>
      <c r="I755" s="239" t="str">
        <f>IF(ISBLANK(regional!I368),"",regional!I368)</f>
        <v/>
      </c>
      <c r="K755" s="262" t="s">
        <v>4241</v>
      </c>
      <c r="O755" s="262" t="s">
        <v>4241</v>
      </c>
    </row>
    <row r="756" spans="1:15" ht="12.75" customHeight="1" x14ac:dyDescent="0.3">
      <c r="A756" s="566"/>
      <c r="B756" s="566" t="s">
        <v>1631</v>
      </c>
      <c r="C756" s="566"/>
      <c r="D756" s="566"/>
      <c r="E756" s="566"/>
      <c r="F756" s="566"/>
      <c r="G756" s="567" t="s">
        <v>1632</v>
      </c>
      <c r="H756" s="567" t="s">
        <v>1633</v>
      </c>
      <c r="I756" s="239" t="str">
        <f>IF(ISBLANK(regional!I369),"",regional!I369)</f>
        <v/>
      </c>
      <c r="K756" s="262" t="s">
        <v>4241</v>
      </c>
      <c r="O756" s="262" t="s">
        <v>4241</v>
      </c>
    </row>
    <row r="757" spans="1:15" ht="12.75" customHeight="1" x14ac:dyDescent="0.3">
      <c r="A757" s="566"/>
      <c r="B757" s="566" t="s">
        <v>1634</v>
      </c>
      <c r="C757" s="566"/>
      <c r="D757" s="566"/>
      <c r="E757" s="566"/>
      <c r="F757" s="566"/>
      <c r="G757" s="567" t="s">
        <v>1635</v>
      </c>
      <c r="H757" s="567" t="s">
        <v>291</v>
      </c>
      <c r="I757" s="239" t="str">
        <f>IF(ISBLANK(regional!I370),"",regional!I370)</f>
        <v/>
      </c>
      <c r="K757" s="262" t="s">
        <v>4241</v>
      </c>
      <c r="O757" s="262" t="s">
        <v>4241</v>
      </c>
    </row>
    <row r="758" spans="1:15" ht="12.75" customHeight="1" x14ac:dyDescent="0.3">
      <c r="A758" s="566"/>
      <c r="B758" s="566" t="s">
        <v>1637</v>
      </c>
      <c r="C758" s="566"/>
      <c r="D758" s="566"/>
      <c r="E758" s="566"/>
      <c r="F758" s="566"/>
      <c r="G758" s="567" t="s">
        <v>1638</v>
      </c>
      <c r="H758" s="567" t="s">
        <v>866</v>
      </c>
      <c r="I758" s="239" t="str">
        <f>IF(ISBLANK(regional!I371),"",regional!I371)</f>
        <v/>
      </c>
      <c r="K758" s="262" t="s">
        <v>4241</v>
      </c>
      <c r="O758" s="262" t="s">
        <v>4241</v>
      </c>
    </row>
    <row r="759" spans="1:15" ht="12.75" customHeight="1" x14ac:dyDescent="0.3">
      <c r="A759" s="566"/>
      <c r="B759" s="566" t="s">
        <v>1639</v>
      </c>
      <c r="C759" s="566"/>
      <c r="D759" s="566"/>
      <c r="E759" s="566"/>
      <c r="F759" s="566"/>
      <c r="G759" s="567" t="s">
        <v>1640</v>
      </c>
      <c r="H759" s="567" t="s">
        <v>291</v>
      </c>
      <c r="I759" s="239" t="str">
        <f>IF(ISBLANK(regional!I372),"",regional!I372)</f>
        <v/>
      </c>
      <c r="K759" s="262" t="s">
        <v>4241</v>
      </c>
      <c r="O759" s="262" t="s">
        <v>4241</v>
      </c>
    </row>
    <row r="760" spans="1:15" ht="12.75" customHeight="1" x14ac:dyDescent="0.3">
      <c r="A760" s="566"/>
      <c r="B760" s="566"/>
      <c r="C760" s="566" t="s">
        <v>1641</v>
      </c>
      <c r="D760" s="566"/>
      <c r="E760" s="566"/>
      <c r="F760" s="566"/>
      <c r="G760" s="567" t="s">
        <v>1642</v>
      </c>
      <c r="H760" s="567" t="s">
        <v>291</v>
      </c>
      <c r="I760" s="239" t="str">
        <f>IF(ISBLANK(regional!I373),"",regional!I373)</f>
        <v/>
      </c>
      <c r="K760" s="262" t="s">
        <v>4241</v>
      </c>
      <c r="O760" s="262" t="s">
        <v>4241</v>
      </c>
    </row>
    <row r="761" spans="1:15" ht="12.75" customHeight="1" x14ac:dyDescent="0.3">
      <c r="A761" s="566"/>
      <c r="B761" s="566"/>
      <c r="C761" s="566" t="s">
        <v>1643</v>
      </c>
      <c r="D761" s="566"/>
      <c r="E761" s="566"/>
      <c r="F761" s="566"/>
      <c r="G761" s="567" t="s">
        <v>1644</v>
      </c>
      <c r="H761" s="567" t="s">
        <v>291</v>
      </c>
      <c r="I761" s="239" t="str">
        <f>IF(ISBLANK(regional!I374),"",regional!I374)</f>
        <v/>
      </c>
      <c r="K761" s="262" t="s">
        <v>4241</v>
      </c>
      <c r="O761" s="262" t="s">
        <v>4241</v>
      </c>
    </row>
    <row r="762" spans="1:15" ht="12.75" customHeight="1" x14ac:dyDescent="0.3">
      <c r="A762" s="566"/>
      <c r="B762" s="566"/>
      <c r="C762" s="566" t="s">
        <v>1645</v>
      </c>
      <c r="D762" s="566"/>
      <c r="E762" s="566"/>
      <c r="F762" s="566"/>
      <c r="G762" s="567" t="s">
        <v>1646</v>
      </c>
      <c r="H762" s="567" t="s">
        <v>291</v>
      </c>
      <c r="I762" s="239" t="str">
        <f>IF(ISBLANK(regional!I375),"",regional!I375)</f>
        <v/>
      </c>
      <c r="K762" s="262" t="s">
        <v>4241</v>
      </c>
      <c r="O762" s="262" t="s">
        <v>4241</v>
      </c>
    </row>
    <row r="763" spans="1:15" ht="12.75" customHeight="1" x14ac:dyDescent="0.3">
      <c r="A763" s="566"/>
      <c r="B763" s="566"/>
      <c r="C763" s="566" t="s">
        <v>1647</v>
      </c>
      <c r="D763" s="566"/>
      <c r="E763" s="566"/>
      <c r="F763" s="566"/>
      <c r="G763" s="567" t="s">
        <v>1648</v>
      </c>
      <c r="H763" s="567" t="s">
        <v>291</v>
      </c>
      <c r="I763" s="239" t="str">
        <f>IF(ISBLANK(regional!I376),"",regional!I376)</f>
        <v/>
      </c>
      <c r="K763" s="262" t="s">
        <v>4241</v>
      </c>
      <c r="O763" s="262" t="s">
        <v>4241</v>
      </c>
    </row>
    <row r="764" spans="1:15" ht="12.75" customHeight="1" x14ac:dyDescent="0.3">
      <c r="A764" s="566" t="s">
        <v>1649</v>
      </c>
      <c r="B764" s="566"/>
      <c r="C764" s="566"/>
      <c r="D764" s="566"/>
      <c r="E764" s="566"/>
      <c r="F764" s="566"/>
      <c r="G764" s="567" t="s">
        <v>1650</v>
      </c>
      <c r="H764" s="567" t="s">
        <v>335</v>
      </c>
      <c r="I764" s="239" t="str">
        <f>IF(ISBLANK(regional!I377),"",regional!I377)</f>
        <v/>
      </c>
      <c r="K764" s="262" t="s">
        <v>4241</v>
      </c>
      <c r="O764" s="262" t="s">
        <v>4241</v>
      </c>
    </row>
    <row r="765" spans="1:15" ht="12.75" customHeight="1" x14ac:dyDescent="0.3">
      <c r="A765" s="566"/>
      <c r="B765" s="566" t="s">
        <v>1651</v>
      </c>
      <c r="C765" s="566"/>
      <c r="D765" s="566"/>
      <c r="E765" s="566"/>
      <c r="F765" s="566"/>
      <c r="G765" s="567" t="s">
        <v>1652</v>
      </c>
      <c r="H765" s="567" t="s">
        <v>291</v>
      </c>
      <c r="I765" s="239" t="str">
        <f>IF(ISBLANK(regional!I378),"",regional!I378)</f>
        <v/>
      </c>
      <c r="K765" s="262" t="s">
        <v>4241</v>
      </c>
      <c r="O765" s="262" t="s">
        <v>4241</v>
      </c>
    </row>
    <row r="766" spans="1:15" ht="12.75" customHeight="1" x14ac:dyDescent="0.3">
      <c r="A766" s="566"/>
      <c r="B766" s="566" t="s">
        <v>1653</v>
      </c>
      <c r="C766" s="566"/>
      <c r="D766" s="566"/>
      <c r="E766" s="566"/>
      <c r="F766" s="566"/>
      <c r="G766" s="567" t="s">
        <v>1654</v>
      </c>
      <c r="H766" s="567"/>
      <c r="I766" s="239" t="str">
        <f>IF(ISBLANK(regional!I379),"",regional!I379)</f>
        <v/>
      </c>
      <c r="K766" s="262" t="s">
        <v>4241</v>
      </c>
      <c r="O766" s="262" t="s">
        <v>4241</v>
      </c>
    </row>
    <row r="767" spans="1:15" ht="12.75" customHeight="1" x14ac:dyDescent="0.3">
      <c r="A767" s="566"/>
      <c r="B767" s="566" t="s">
        <v>1631</v>
      </c>
      <c r="C767" s="566"/>
      <c r="D767" s="566"/>
      <c r="E767" s="566"/>
      <c r="F767" s="566"/>
      <c r="G767" s="567" t="s">
        <v>1655</v>
      </c>
      <c r="H767" s="567" t="s">
        <v>1633</v>
      </c>
      <c r="I767" s="239" t="str">
        <f>IF(ISBLANK(regional!I380),"",regional!I380)</f>
        <v/>
      </c>
      <c r="K767" s="262" t="s">
        <v>4241</v>
      </c>
      <c r="O767" s="262" t="s">
        <v>4241</v>
      </c>
    </row>
    <row r="768" spans="1:15" ht="12.75" customHeight="1" x14ac:dyDescent="0.3">
      <c r="A768" s="566"/>
      <c r="B768" s="566" t="s">
        <v>1656</v>
      </c>
      <c r="C768" s="566"/>
      <c r="D768" s="566"/>
      <c r="E768" s="566"/>
      <c r="F768" s="566"/>
      <c r="G768" s="567" t="s">
        <v>1657</v>
      </c>
      <c r="H768" s="567" t="s">
        <v>291</v>
      </c>
      <c r="I768" s="239" t="str">
        <f>IF(ISBLANK(regional!I381),"",regional!I381)</f>
        <v/>
      </c>
      <c r="K768" s="262" t="s">
        <v>4241</v>
      </c>
      <c r="O768" s="262" t="s">
        <v>4241</v>
      </c>
    </row>
    <row r="769" spans="1:15" ht="12.75" customHeight="1" x14ac:dyDescent="0.3">
      <c r="A769" s="566"/>
      <c r="B769" s="566" t="s">
        <v>1637</v>
      </c>
      <c r="C769" s="566"/>
      <c r="D769" s="566"/>
      <c r="E769" s="566"/>
      <c r="F769" s="566"/>
      <c r="G769" s="567" t="s">
        <v>1658</v>
      </c>
      <c r="H769" s="567" t="s">
        <v>866</v>
      </c>
      <c r="I769" s="239" t="str">
        <f>IF(ISBLANK(regional!I382),"",regional!I382)</f>
        <v/>
      </c>
      <c r="K769" s="262" t="s">
        <v>4241</v>
      </c>
      <c r="O769" s="262" t="s">
        <v>4241</v>
      </c>
    </row>
    <row r="770" spans="1:15" ht="12.75" customHeight="1" x14ac:dyDescent="0.3">
      <c r="A770" s="566"/>
      <c r="B770" s="566" t="s">
        <v>1639</v>
      </c>
      <c r="C770" s="566"/>
      <c r="D770" s="566"/>
      <c r="E770" s="566"/>
      <c r="F770" s="566"/>
      <c r="G770" s="567" t="s">
        <v>1659</v>
      </c>
      <c r="H770" s="567" t="s">
        <v>291</v>
      </c>
      <c r="I770" s="239" t="str">
        <f>IF(ISBLANK(regional!I383),"",regional!I383)</f>
        <v/>
      </c>
      <c r="K770" s="262" t="s">
        <v>4241</v>
      </c>
      <c r="O770" s="262" t="s">
        <v>4241</v>
      </c>
    </row>
    <row r="771" spans="1:15" ht="12.75" customHeight="1" x14ac:dyDescent="0.3">
      <c r="A771" s="566"/>
      <c r="B771" s="566"/>
      <c r="C771" s="566" t="s">
        <v>1641</v>
      </c>
      <c r="D771" s="566"/>
      <c r="E771" s="566"/>
      <c r="F771" s="566"/>
      <c r="G771" s="567" t="s">
        <v>1660</v>
      </c>
      <c r="H771" s="567" t="s">
        <v>291</v>
      </c>
      <c r="I771" s="239" t="str">
        <f>IF(ISBLANK(regional!I384),"",regional!I384)</f>
        <v/>
      </c>
      <c r="K771" s="262" t="s">
        <v>4241</v>
      </c>
      <c r="O771" s="262" t="s">
        <v>4241</v>
      </c>
    </row>
    <row r="772" spans="1:15" ht="12.75" customHeight="1" x14ac:dyDescent="0.3">
      <c r="A772" s="566"/>
      <c r="B772" s="566"/>
      <c r="C772" s="566" t="s">
        <v>1643</v>
      </c>
      <c r="D772" s="566"/>
      <c r="E772" s="566"/>
      <c r="F772" s="566"/>
      <c r="G772" s="567" t="s">
        <v>1661</v>
      </c>
      <c r="H772" s="567" t="s">
        <v>291</v>
      </c>
      <c r="I772" s="239" t="str">
        <f>IF(ISBLANK(regional!I385),"",regional!I385)</f>
        <v/>
      </c>
      <c r="K772" s="262" t="s">
        <v>4241</v>
      </c>
      <c r="O772" s="262" t="s">
        <v>4241</v>
      </c>
    </row>
    <row r="773" spans="1:15" ht="12.75" customHeight="1" x14ac:dyDescent="0.3">
      <c r="A773" s="566"/>
      <c r="B773" s="566"/>
      <c r="C773" s="566" t="s">
        <v>1645</v>
      </c>
      <c r="D773" s="566"/>
      <c r="E773" s="566"/>
      <c r="F773" s="566"/>
      <c r="G773" s="567" t="s">
        <v>1662</v>
      </c>
      <c r="H773" s="567" t="s">
        <v>291</v>
      </c>
      <c r="I773" s="239" t="str">
        <f>IF(ISBLANK(regional!I386),"",regional!I386)</f>
        <v/>
      </c>
      <c r="K773" s="262" t="s">
        <v>4241</v>
      </c>
      <c r="O773" s="262" t="s">
        <v>4241</v>
      </c>
    </row>
    <row r="774" spans="1:15" ht="12.75" customHeight="1" x14ac:dyDescent="0.3">
      <c r="A774" s="566"/>
      <c r="B774" s="566"/>
      <c r="C774" s="566" t="s">
        <v>1647</v>
      </c>
      <c r="D774" s="566"/>
      <c r="E774" s="566"/>
      <c r="F774" s="566"/>
      <c r="G774" s="567" t="s">
        <v>1663</v>
      </c>
      <c r="H774" s="567" t="s">
        <v>291</v>
      </c>
      <c r="I774" s="239" t="str">
        <f>IF(ISBLANK(regional!I387),"",regional!I387)</f>
        <v/>
      </c>
      <c r="K774" s="262" t="s">
        <v>4241</v>
      </c>
      <c r="O774" s="262" t="s">
        <v>4241</v>
      </c>
    </row>
    <row r="775" spans="1:15" ht="12.75" customHeight="1" x14ac:dyDescent="0.3">
      <c r="A775" s="566" t="s">
        <v>1664</v>
      </c>
      <c r="B775" s="566"/>
      <c r="C775" s="566"/>
      <c r="D775" s="566"/>
      <c r="E775" s="566"/>
      <c r="F775" s="566"/>
      <c r="G775" s="567" t="s">
        <v>1665</v>
      </c>
      <c r="H775" s="567" t="s">
        <v>335</v>
      </c>
      <c r="I775" s="239" t="str">
        <f>IF(ISBLANK(regional!I388),"",regional!I388)</f>
        <v/>
      </c>
      <c r="K775" s="262" t="s">
        <v>4241</v>
      </c>
      <c r="O775" s="262" t="s">
        <v>4241</v>
      </c>
    </row>
    <row r="776" spans="1:15" ht="12.75" customHeight="1" x14ac:dyDescent="0.3">
      <c r="A776" s="582" t="s">
        <v>1667</v>
      </c>
      <c r="B776" s="582"/>
      <c r="C776" s="582"/>
      <c r="D776" s="582"/>
      <c r="E776" s="582"/>
      <c r="F776" s="582"/>
      <c r="G776" s="581" t="s">
        <v>1668</v>
      </c>
      <c r="H776" s="581" t="s">
        <v>335</v>
      </c>
      <c r="I776" s="239" t="str">
        <f>IF(ISBLANK(regional!I389),"",regional!I389)</f>
        <v/>
      </c>
      <c r="K776" s="262" t="s">
        <v>4241</v>
      </c>
      <c r="L776" s="262">
        <v>0</v>
      </c>
      <c r="O776" s="262" t="s">
        <v>4241</v>
      </c>
    </row>
    <row r="777" spans="1:15" ht="12.75" customHeight="1" x14ac:dyDescent="0.3">
      <c r="A777" s="566"/>
      <c r="B777" s="566" t="s">
        <v>1669</v>
      </c>
      <c r="C777" s="566"/>
      <c r="D777" s="566"/>
      <c r="E777" s="566"/>
      <c r="F777" s="566"/>
      <c r="G777" s="567" t="s">
        <v>1670</v>
      </c>
      <c r="H777" s="567" t="s">
        <v>866</v>
      </c>
      <c r="I777" s="239" t="str">
        <f>IF(ISBLANK(regional!I390),"",regional!I390)</f>
        <v/>
      </c>
      <c r="K777" s="262" t="s">
        <v>4241</v>
      </c>
      <c r="O777" s="262" t="s">
        <v>4241</v>
      </c>
    </row>
    <row r="778" spans="1:15" ht="12.75" customHeight="1" x14ac:dyDescent="0.3">
      <c r="A778" s="566"/>
      <c r="B778" s="566" t="s">
        <v>1671</v>
      </c>
      <c r="C778" s="566"/>
      <c r="D778" s="566"/>
      <c r="E778" s="566"/>
      <c r="F778" s="566"/>
      <c r="G778" s="567" t="s">
        <v>1672</v>
      </c>
      <c r="H778" s="567" t="s">
        <v>1673</v>
      </c>
      <c r="I778" s="239" t="str">
        <f>IF(ISBLANK(regional!I391),"",regional!I391)</f>
        <v/>
      </c>
      <c r="K778" s="262" t="s">
        <v>4241</v>
      </c>
      <c r="O778" s="262" t="s">
        <v>4241</v>
      </c>
    </row>
    <row r="779" spans="1:15" ht="12.75" customHeight="1" x14ac:dyDescent="0.3">
      <c r="A779" s="566"/>
      <c r="B779" s="566" t="s">
        <v>1676</v>
      </c>
      <c r="C779" s="566"/>
      <c r="D779" s="566"/>
      <c r="E779" s="566"/>
      <c r="F779" s="566"/>
      <c r="G779" s="567" t="s">
        <v>1677</v>
      </c>
      <c r="H779" s="567" t="s">
        <v>1673</v>
      </c>
      <c r="I779" s="239" t="str">
        <f>IF(ISBLANK(regional!I392),"",regional!I392)</f>
        <v/>
      </c>
      <c r="K779" s="262" t="s">
        <v>4241</v>
      </c>
      <c r="O779" s="262" t="s">
        <v>4241</v>
      </c>
    </row>
    <row r="780" spans="1:15" ht="12.75" customHeight="1" x14ac:dyDescent="0.3">
      <c r="A780" s="566"/>
      <c r="B780" s="566"/>
      <c r="C780" s="566" t="s">
        <v>1679</v>
      </c>
      <c r="D780" s="566"/>
      <c r="E780" s="566"/>
      <c r="F780" s="566"/>
      <c r="G780" s="567" t="s">
        <v>1680</v>
      </c>
      <c r="H780" s="567" t="s">
        <v>866</v>
      </c>
      <c r="I780" s="239" t="str">
        <f>IF(ISBLANK(regional!I393),"",regional!I393)</f>
        <v/>
      </c>
      <c r="K780" s="262" t="s">
        <v>4241</v>
      </c>
      <c r="O780" s="262" t="s">
        <v>4241</v>
      </c>
    </row>
    <row r="781" spans="1:15" ht="12.75" customHeight="1" x14ac:dyDescent="0.3">
      <c r="A781" s="566"/>
      <c r="B781" s="566"/>
      <c r="C781" s="566" t="s">
        <v>1641</v>
      </c>
      <c r="D781" s="566"/>
      <c r="E781" s="566"/>
      <c r="F781" s="566"/>
      <c r="G781" s="567" t="s">
        <v>1683</v>
      </c>
      <c r="H781" s="567" t="s">
        <v>291</v>
      </c>
      <c r="I781" s="239" t="str">
        <f>IF(ISBLANK(regional!I394),"",regional!I394)</f>
        <v/>
      </c>
      <c r="K781" s="262" t="s">
        <v>4241</v>
      </c>
      <c r="O781" s="262" t="s">
        <v>4241</v>
      </c>
    </row>
    <row r="782" spans="1:15" ht="12.75" customHeight="1" x14ac:dyDescent="0.3">
      <c r="A782" s="566"/>
      <c r="B782" s="566"/>
      <c r="C782" s="566" t="s">
        <v>1643</v>
      </c>
      <c r="D782" s="566"/>
      <c r="E782" s="566"/>
      <c r="F782" s="566"/>
      <c r="G782" s="567" t="s">
        <v>1685</v>
      </c>
      <c r="H782" s="567" t="s">
        <v>291</v>
      </c>
      <c r="I782" s="239" t="str">
        <f>IF(ISBLANK(regional!I395),"",regional!I395)</f>
        <v/>
      </c>
      <c r="J782" s="545"/>
      <c r="K782" s="262" t="s">
        <v>4241</v>
      </c>
      <c r="O782" s="262" t="s">
        <v>4241</v>
      </c>
    </row>
    <row r="783" spans="1:15" ht="12.75" customHeight="1" x14ac:dyDescent="0.3">
      <c r="A783" s="566"/>
      <c r="B783" s="566"/>
      <c r="C783" s="566"/>
      <c r="D783" s="566" t="s">
        <v>1686</v>
      </c>
      <c r="E783" s="566"/>
      <c r="F783" s="566"/>
      <c r="G783" s="567" t="s">
        <v>1687</v>
      </c>
      <c r="H783" s="567" t="s">
        <v>813</v>
      </c>
      <c r="I783" s="239" t="str">
        <f>IF(ISBLANK(regional!I396),"",regional!I396)</f>
        <v/>
      </c>
      <c r="J783" s="228"/>
      <c r="K783" s="262" t="s">
        <v>4241</v>
      </c>
      <c r="O783" s="262" t="s">
        <v>4241</v>
      </c>
    </row>
    <row r="784" spans="1:15" ht="12.75" customHeight="1" x14ac:dyDescent="0.3">
      <c r="A784" s="566"/>
      <c r="B784" s="566"/>
      <c r="C784" s="566"/>
      <c r="D784" s="566" t="s">
        <v>1688</v>
      </c>
      <c r="E784" s="566"/>
      <c r="F784" s="566"/>
      <c r="G784" s="567" t="s">
        <v>1689</v>
      </c>
      <c r="H784" s="567" t="s">
        <v>813</v>
      </c>
      <c r="I784" s="239" t="str">
        <f>IF(ISBLANK(regional!I397),"",regional!I397)</f>
        <v/>
      </c>
      <c r="J784" s="228"/>
      <c r="K784" s="262" t="s">
        <v>4241</v>
      </c>
      <c r="O784" s="262" t="s">
        <v>4241</v>
      </c>
    </row>
    <row r="785" spans="1:15" ht="12.75" customHeight="1" x14ac:dyDescent="0.3">
      <c r="A785" s="566"/>
      <c r="B785" s="566"/>
      <c r="C785" s="566"/>
      <c r="D785" s="566" t="s">
        <v>1690</v>
      </c>
      <c r="E785" s="566"/>
      <c r="F785" s="566"/>
      <c r="G785" s="567" t="s">
        <v>1691</v>
      </c>
      <c r="H785" s="567" t="s">
        <v>291</v>
      </c>
      <c r="I785" s="239" t="str">
        <f>IF(ISBLANK(regional!I398),"",regional!I398)</f>
        <v/>
      </c>
      <c r="J785" s="228"/>
      <c r="K785" s="262" t="s">
        <v>4241</v>
      </c>
      <c r="O785" s="262" t="s">
        <v>4241</v>
      </c>
    </row>
    <row r="786" spans="1:15" ht="12.75" customHeight="1" x14ac:dyDescent="0.3">
      <c r="A786" s="566"/>
      <c r="B786" s="566"/>
      <c r="C786" s="566" t="s">
        <v>1645</v>
      </c>
      <c r="D786" s="566"/>
      <c r="E786" s="566"/>
      <c r="F786" s="566"/>
      <c r="G786" s="567" t="s">
        <v>1693</v>
      </c>
      <c r="H786" s="567" t="s">
        <v>291</v>
      </c>
      <c r="I786" s="239" t="str">
        <f>IF(ISBLANK(regional!I399),"",regional!I399)</f>
        <v/>
      </c>
      <c r="J786" s="411"/>
      <c r="K786" s="262" t="s">
        <v>4241</v>
      </c>
      <c r="O786" s="262" t="s">
        <v>4241</v>
      </c>
    </row>
    <row r="787" spans="1:15" ht="12.75" customHeight="1" x14ac:dyDescent="0.3">
      <c r="A787" s="566" t="s">
        <v>1694</v>
      </c>
      <c r="B787" s="566"/>
      <c r="C787" s="566"/>
      <c r="D787" s="566"/>
      <c r="E787" s="566"/>
      <c r="F787" s="566"/>
      <c r="G787" s="567" t="s">
        <v>1695</v>
      </c>
      <c r="H787" s="567" t="s">
        <v>335</v>
      </c>
      <c r="I787" s="239" t="str">
        <f>IF(ISBLANK(regional!I400),"",regional!I400)</f>
        <v/>
      </c>
      <c r="J787" s="228"/>
      <c r="K787" s="262">
        <v>0</v>
      </c>
      <c r="L787" s="262">
        <v>0</v>
      </c>
      <c r="O787" s="262" t="s">
        <v>4241</v>
      </c>
    </row>
    <row r="788" spans="1:15" ht="12.75" customHeight="1" x14ac:dyDescent="0.3">
      <c r="A788" s="566"/>
      <c r="B788" s="566" t="s">
        <v>1669</v>
      </c>
      <c r="C788" s="566"/>
      <c r="D788" s="566"/>
      <c r="E788" s="566"/>
      <c r="F788" s="566"/>
      <c r="G788" s="567" t="s">
        <v>1696</v>
      </c>
      <c r="H788" s="567" t="s">
        <v>866</v>
      </c>
      <c r="I788" s="239" t="str">
        <f>IF(ISBLANK(regional!I401),"",regional!I401)</f>
        <v/>
      </c>
      <c r="K788" s="262" t="s">
        <v>4241</v>
      </c>
      <c r="O788" s="262" t="s">
        <v>4241</v>
      </c>
    </row>
    <row r="789" spans="1:15" ht="12.75" customHeight="1" x14ac:dyDescent="0.3">
      <c r="A789" s="566"/>
      <c r="B789" s="566" t="s">
        <v>1671</v>
      </c>
      <c r="C789" s="566"/>
      <c r="D789" s="566"/>
      <c r="E789" s="566"/>
      <c r="F789" s="566"/>
      <c r="G789" s="567" t="s">
        <v>1697</v>
      </c>
      <c r="H789" s="567" t="s">
        <v>1673</v>
      </c>
      <c r="I789" s="239" t="str">
        <f>IF(ISBLANK(regional!I402),"",regional!I402)</f>
        <v/>
      </c>
      <c r="K789" s="262" t="s">
        <v>4241</v>
      </c>
      <c r="O789" s="262" t="s">
        <v>4241</v>
      </c>
    </row>
    <row r="790" spans="1:15" ht="12.75" customHeight="1" x14ac:dyDescent="0.3">
      <c r="A790" s="566"/>
      <c r="B790" s="566" t="s">
        <v>1676</v>
      </c>
      <c r="C790" s="566"/>
      <c r="D790" s="566"/>
      <c r="E790" s="566"/>
      <c r="F790" s="566"/>
      <c r="G790" s="567" t="s">
        <v>1698</v>
      </c>
      <c r="H790" s="567" t="s">
        <v>1673</v>
      </c>
      <c r="I790" s="239" t="str">
        <f>IF(ISBLANK(regional!I403),"",regional!I403)</f>
        <v/>
      </c>
      <c r="K790" s="262" t="s">
        <v>4241</v>
      </c>
      <c r="O790" s="262" t="s">
        <v>4241</v>
      </c>
    </row>
    <row r="791" spans="1:15" ht="12.75" customHeight="1" x14ac:dyDescent="0.3">
      <c r="A791" s="566"/>
      <c r="B791" s="566"/>
      <c r="C791" s="566" t="s">
        <v>1679</v>
      </c>
      <c r="D791" s="566"/>
      <c r="E791" s="566"/>
      <c r="F791" s="566"/>
      <c r="G791" s="567" t="s">
        <v>1699</v>
      </c>
      <c r="H791" s="567" t="s">
        <v>866</v>
      </c>
      <c r="I791" s="239" t="str">
        <f>IF(ISBLANK(regional!I404),"",regional!I404)</f>
        <v/>
      </c>
      <c r="K791" s="262" t="s">
        <v>4241</v>
      </c>
      <c r="O791" s="262" t="s">
        <v>4241</v>
      </c>
    </row>
    <row r="792" spans="1:15" ht="12.75" customHeight="1" x14ac:dyDescent="0.3">
      <c r="A792" s="566"/>
      <c r="B792" s="566"/>
      <c r="C792" s="566" t="s">
        <v>1641</v>
      </c>
      <c r="D792" s="566"/>
      <c r="E792" s="566"/>
      <c r="F792" s="566"/>
      <c r="G792" s="567" t="s">
        <v>1700</v>
      </c>
      <c r="H792" s="567" t="s">
        <v>291</v>
      </c>
      <c r="I792" s="239" t="str">
        <f>IF(ISBLANK(regional!I405),"",regional!I405)</f>
        <v/>
      </c>
      <c r="K792" s="262" t="s">
        <v>4241</v>
      </c>
      <c r="O792" s="262" t="s">
        <v>4241</v>
      </c>
    </row>
    <row r="793" spans="1:15" ht="12.75" customHeight="1" x14ac:dyDescent="0.3">
      <c r="A793" s="566"/>
      <c r="B793" s="566"/>
      <c r="C793" s="566" t="s">
        <v>1643</v>
      </c>
      <c r="D793" s="566"/>
      <c r="E793" s="566"/>
      <c r="F793" s="566"/>
      <c r="G793" s="567" t="s">
        <v>1701</v>
      </c>
      <c r="H793" s="567" t="s">
        <v>291</v>
      </c>
      <c r="I793" s="239" t="str">
        <f>IF(ISBLANK(regional!I406),"",regional!I406)</f>
        <v/>
      </c>
      <c r="K793" s="262" t="s">
        <v>4241</v>
      </c>
      <c r="O793" s="262" t="s">
        <v>4241</v>
      </c>
    </row>
    <row r="794" spans="1:15" ht="12.75" customHeight="1" x14ac:dyDescent="0.3">
      <c r="A794" s="566"/>
      <c r="B794" s="566"/>
      <c r="C794" s="566"/>
      <c r="D794" s="566" t="s">
        <v>1686</v>
      </c>
      <c r="E794" s="566"/>
      <c r="F794" s="566"/>
      <c r="G794" s="567" t="s">
        <v>1702</v>
      </c>
      <c r="H794" s="567" t="s">
        <v>813</v>
      </c>
      <c r="I794" s="239" t="str">
        <f>IF(ISBLANK(regional!I407),"",regional!I407)</f>
        <v/>
      </c>
      <c r="K794" s="262" t="s">
        <v>4241</v>
      </c>
      <c r="O794" s="262" t="s">
        <v>4241</v>
      </c>
    </row>
    <row r="795" spans="1:15" ht="12.75" customHeight="1" x14ac:dyDescent="0.3">
      <c r="A795" s="566"/>
      <c r="B795" s="566"/>
      <c r="C795" s="566"/>
      <c r="D795" s="566" t="s">
        <v>1688</v>
      </c>
      <c r="E795" s="566"/>
      <c r="F795" s="566"/>
      <c r="G795" s="567" t="s">
        <v>1703</v>
      </c>
      <c r="H795" s="567" t="s">
        <v>813</v>
      </c>
      <c r="I795" s="239" t="str">
        <f>IF(ISBLANK(regional!I408),"",regional!I408)</f>
        <v/>
      </c>
      <c r="K795" s="262" t="s">
        <v>4241</v>
      </c>
      <c r="O795" s="262" t="s">
        <v>4241</v>
      </c>
    </row>
    <row r="796" spans="1:15" ht="12.75" customHeight="1" x14ac:dyDescent="0.3">
      <c r="A796" s="566"/>
      <c r="B796" s="566"/>
      <c r="C796" s="566"/>
      <c r="D796" s="566" t="s">
        <v>1690</v>
      </c>
      <c r="E796" s="566"/>
      <c r="F796" s="566"/>
      <c r="G796" s="567" t="s">
        <v>1704</v>
      </c>
      <c r="H796" s="567" t="s">
        <v>291</v>
      </c>
      <c r="I796" s="239" t="str">
        <f>IF(ISBLANK(regional!I409),"",regional!I409)</f>
        <v/>
      </c>
      <c r="K796" s="262" t="s">
        <v>4241</v>
      </c>
      <c r="O796" s="262" t="s">
        <v>4241</v>
      </c>
    </row>
    <row r="797" spans="1:15" ht="12.75" customHeight="1" x14ac:dyDescent="0.3">
      <c r="A797" s="566"/>
      <c r="B797" s="566"/>
      <c r="C797" s="566" t="s">
        <v>1645</v>
      </c>
      <c r="D797" s="566"/>
      <c r="E797" s="566"/>
      <c r="F797" s="566"/>
      <c r="G797" s="567" t="s">
        <v>1705</v>
      </c>
      <c r="H797" s="567" t="s">
        <v>291</v>
      </c>
      <c r="I797" s="239" t="str">
        <f>IF(ISBLANK(regional!I410),"",regional!I410)</f>
        <v/>
      </c>
      <c r="K797" s="262" t="s">
        <v>4241</v>
      </c>
      <c r="O797" s="262" t="s">
        <v>4241</v>
      </c>
    </row>
    <row r="798" spans="1:15" ht="12.75" customHeight="1" x14ac:dyDescent="0.3">
      <c r="A798" s="566" t="s">
        <v>1706</v>
      </c>
      <c r="B798" s="566"/>
      <c r="C798" s="566"/>
      <c r="D798" s="566"/>
      <c r="E798" s="566"/>
      <c r="F798" s="566"/>
      <c r="G798" s="567" t="s">
        <v>1707</v>
      </c>
      <c r="H798" s="567" t="s">
        <v>335</v>
      </c>
      <c r="I798" s="239" t="str">
        <f>IF(ISBLANK(regional!I411),"",regional!I411)</f>
        <v/>
      </c>
      <c r="K798" s="262">
        <v>0</v>
      </c>
      <c r="L798" s="262">
        <v>0</v>
      </c>
      <c r="O798" s="262" t="s">
        <v>4241</v>
      </c>
    </row>
    <row r="799" spans="1:15" ht="12.75" customHeight="1" x14ac:dyDescent="0.3">
      <c r="A799" s="566"/>
      <c r="B799" s="566" t="s">
        <v>1669</v>
      </c>
      <c r="C799" s="566"/>
      <c r="D799" s="566"/>
      <c r="E799" s="566"/>
      <c r="F799" s="566"/>
      <c r="G799" s="567" t="s">
        <v>1708</v>
      </c>
      <c r="H799" s="567" t="s">
        <v>866</v>
      </c>
      <c r="I799" s="239" t="str">
        <f>IF(ISBLANK(regional!I412),"",regional!I412)</f>
        <v/>
      </c>
      <c r="K799" s="262" t="s">
        <v>4241</v>
      </c>
      <c r="O799" s="262" t="s">
        <v>4241</v>
      </c>
    </row>
    <row r="800" spans="1:15" ht="12.75" customHeight="1" x14ac:dyDescent="0.3">
      <c r="A800" s="566"/>
      <c r="B800" s="566" t="s">
        <v>1671</v>
      </c>
      <c r="C800" s="566"/>
      <c r="D800" s="566"/>
      <c r="E800" s="566"/>
      <c r="F800" s="566"/>
      <c r="G800" s="567" t="s">
        <v>1709</v>
      </c>
      <c r="H800" s="567" t="s">
        <v>1673</v>
      </c>
      <c r="I800" s="239" t="str">
        <f>IF(ISBLANK(regional!I413),"",regional!I413)</f>
        <v/>
      </c>
      <c r="K800" s="262" t="s">
        <v>4241</v>
      </c>
      <c r="O800" s="262" t="s">
        <v>4241</v>
      </c>
    </row>
    <row r="801" spans="1:15" ht="12.75" customHeight="1" x14ac:dyDescent="0.3">
      <c r="A801" s="566"/>
      <c r="B801" s="566" t="s">
        <v>1676</v>
      </c>
      <c r="C801" s="566"/>
      <c r="D801" s="566"/>
      <c r="E801" s="566"/>
      <c r="F801" s="566"/>
      <c r="G801" s="567" t="s">
        <v>1710</v>
      </c>
      <c r="H801" s="567" t="s">
        <v>1673</v>
      </c>
      <c r="I801" s="239" t="str">
        <f>IF(ISBLANK(regional!I414),"",regional!I414)</f>
        <v/>
      </c>
      <c r="K801" s="262" t="s">
        <v>4241</v>
      </c>
      <c r="O801" s="262" t="s">
        <v>4241</v>
      </c>
    </row>
    <row r="802" spans="1:15" ht="12.75" customHeight="1" x14ac:dyDescent="0.3">
      <c r="A802" s="566"/>
      <c r="B802" s="566"/>
      <c r="C802" s="566" t="s">
        <v>1679</v>
      </c>
      <c r="D802" s="566"/>
      <c r="E802" s="566"/>
      <c r="F802" s="566"/>
      <c r="G802" s="567" t="s">
        <v>1711</v>
      </c>
      <c r="H802" s="567" t="s">
        <v>866</v>
      </c>
      <c r="I802" s="239" t="str">
        <f>IF(ISBLANK(regional!I415),"",regional!I415)</f>
        <v/>
      </c>
      <c r="K802" s="262" t="s">
        <v>4241</v>
      </c>
      <c r="O802" s="262" t="s">
        <v>4241</v>
      </c>
    </row>
    <row r="803" spans="1:15" ht="12.75" customHeight="1" x14ac:dyDescent="0.3">
      <c r="A803" s="566"/>
      <c r="B803" s="566"/>
      <c r="C803" s="566" t="s">
        <v>1641</v>
      </c>
      <c r="D803" s="566"/>
      <c r="E803" s="566"/>
      <c r="F803" s="566"/>
      <c r="G803" s="567" t="s">
        <v>1712</v>
      </c>
      <c r="H803" s="567" t="s">
        <v>291</v>
      </c>
      <c r="I803" s="239" t="str">
        <f>IF(ISBLANK(regional!I416),"",regional!I416)</f>
        <v/>
      </c>
      <c r="K803" s="262" t="s">
        <v>4241</v>
      </c>
      <c r="O803" s="262" t="s">
        <v>4241</v>
      </c>
    </row>
    <row r="804" spans="1:15" ht="12.75" customHeight="1" x14ac:dyDescent="0.3">
      <c r="A804" s="566"/>
      <c r="B804" s="566"/>
      <c r="C804" s="566" t="s">
        <v>1643</v>
      </c>
      <c r="D804" s="566"/>
      <c r="E804" s="566"/>
      <c r="F804" s="566"/>
      <c r="G804" s="567" t="s">
        <v>1713</v>
      </c>
      <c r="H804" s="567" t="s">
        <v>291</v>
      </c>
      <c r="I804" s="239" t="str">
        <f>IF(ISBLANK(regional!I417),"",regional!I417)</f>
        <v/>
      </c>
      <c r="K804" s="262" t="s">
        <v>4241</v>
      </c>
      <c r="O804" s="262" t="s">
        <v>4241</v>
      </c>
    </row>
    <row r="805" spans="1:15" ht="12.75" customHeight="1" x14ac:dyDescent="0.3">
      <c r="A805" s="566"/>
      <c r="B805" s="566"/>
      <c r="C805" s="566"/>
      <c r="D805" s="566" t="s">
        <v>1686</v>
      </c>
      <c r="E805" s="566"/>
      <c r="F805" s="566"/>
      <c r="G805" s="567" t="s">
        <v>1714</v>
      </c>
      <c r="H805" s="567" t="s">
        <v>813</v>
      </c>
      <c r="I805" s="239" t="str">
        <f>IF(ISBLANK(regional!I418),"",regional!I418)</f>
        <v/>
      </c>
      <c r="K805" s="262" t="s">
        <v>4241</v>
      </c>
      <c r="O805" s="262" t="s">
        <v>4241</v>
      </c>
    </row>
    <row r="806" spans="1:15" ht="12.75" customHeight="1" x14ac:dyDescent="0.3">
      <c r="A806" s="566"/>
      <c r="B806" s="566"/>
      <c r="C806" s="566"/>
      <c r="D806" s="566" t="s">
        <v>1688</v>
      </c>
      <c r="E806" s="566"/>
      <c r="F806" s="566"/>
      <c r="G806" s="567" t="s">
        <v>1715</v>
      </c>
      <c r="H806" s="567" t="s">
        <v>813</v>
      </c>
      <c r="I806" s="239" t="str">
        <f>IF(ISBLANK(regional!I419),"",regional!I419)</f>
        <v/>
      </c>
      <c r="K806" s="262" t="s">
        <v>4241</v>
      </c>
      <c r="O806" s="262" t="s">
        <v>4241</v>
      </c>
    </row>
    <row r="807" spans="1:15" ht="12.75" customHeight="1" x14ac:dyDescent="0.3">
      <c r="A807" s="566"/>
      <c r="B807" s="566"/>
      <c r="C807" s="566"/>
      <c r="D807" s="566" t="s">
        <v>1690</v>
      </c>
      <c r="E807" s="566"/>
      <c r="F807" s="566"/>
      <c r="G807" s="567" t="s">
        <v>1716</v>
      </c>
      <c r="H807" s="567" t="s">
        <v>291</v>
      </c>
      <c r="I807" s="239" t="str">
        <f>IF(ISBLANK(regional!I420),"",regional!I420)</f>
        <v/>
      </c>
      <c r="K807" s="262" t="s">
        <v>4241</v>
      </c>
      <c r="O807" s="262" t="s">
        <v>4241</v>
      </c>
    </row>
    <row r="808" spans="1:15" ht="12.75" customHeight="1" x14ac:dyDescent="0.3">
      <c r="A808" s="566"/>
      <c r="B808" s="566"/>
      <c r="C808" s="566" t="s">
        <v>1645</v>
      </c>
      <c r="D808" s="566"/>
      <c r="E808" s="566"/>
      <c r="F808" s="566"/>
      <c r="G808" s="567" t="s">
        <v>1717</v>
      </c>
      <c r="H808" s="567" t="s">
        <v>291</v>
      </c>
      <c r="I808" s="239" t="str">
        <f>IF(ISBLANK(regional!I421),"",regional!I421)</f>
        <v/>
      </c>
      <c r="K808" s="262" t="s">
        <v>4241</v>
      </c>
      <c r="O808" s="262" t="s">
        <v>4241</v>
      </c>
    </row>
    <row r="809" spans="1:15" ht="12.75" customHeight="1" x14ac:dyDescent="0.3">
      <c r="A809" s="566" t="s">
        <v>1718</v>
      </c>
      <c r="B809" s="566"/>
      <c r="C809" s="566"/>
      <c r="D809" s="566"/>
      <c r="E809" s="566"/>
      <c r="F809" s="566"/>
      <c r="G809" s="567" t="s">
        <v>1719</v>
      </c>
      <c r="H809" s="567" t="s">
        <v>335</v>
      </c>
      <c r="I809" s="239" t="str">
        <f>IF(ISBLANK(regional!I422),"",regional!I422)</f>
        <v/>
      </c>
      <c r="J809" s="822"/>
      <c r="K809" s="262" t="s">
        <v>4241</v>
      </c>
      <c r="L809" s="262">
        <v>0</v>
      </c>
      <c r="O809" s="262" t="s">
        <v>4241</v>
      </c>
    </row>
    <row r="810" spans="1:15" ht="12.75" customHeight="1" x14ac:dyDescent="0.3">
      <c r="A810" s="566"/>
      <c r="B810" s="566" t="s">
        <v>1669</v>
      </c>
      <c r="C810" s="566"/>
      <c r="D810" s="566"/>
      <c r="E810" s="566"/>
      <c r="F810" s="566"/>
      <c r="G810" s="567" t="s">
        <v>1720</v>
      </c>
      <c r="H810" s="567" t="s">
        <v>866</v>
      </c>
      <c r="I810" s="239" t="str">
        <f>IF(ISBLANK(regional!I423),"",regional!I423)</f>
        <v/>
      </c>
      <c r="K810" s="262" t="s">
        <v>4241</v>
      </c>
      <c r="O810" s="262" t="s">
        <v>4241</v>
      </c>
    </row>
    <row r="811" spans="1:15" ht="12.75" customHeight="1" x14ac:dyDescent="0.3">
      <c r="A811" s="566"/>
      <c r="B811" s="566" t="s">
        <v>1676</v>
      </c>
      <c r="C811" s="566"/>
      <c r="D811" s="566"/>
      <c r="E811" s="566"/>
      <c r="F811" s="566"/>
      <c r="G811" s="567" t="s">
        <v>1721</v>
      </c>
      <c r="H811" s="567" t="s">
        <v>1673</v>
      </c>
      <c r="I811" s="239" t="str">
        <f>IF(ISBLANK(regional!I424),"",regional!I424)</f>
        <v/>
      </c>
      <c r="K811" s="262" t="s">
        <v>4241</v>
      </c>
      <c r="O811" s="262" t="s">
        <v>4241</v>
      </c>
    </row>
    <row r="812" spans="1:15" ht="12.75" customHeight="1" x14ac:dyDescent="0.3">
      <c r="A812" s="566"/>
      <c r="B812" s="566"/>
      <c r="C812" s="566" t="s">
        <v>1641</v>
      </c>
      <c r="D812" s="566"/>
      <c r="E812" s="566"/>
      <c r="F812" s="566"/>
      <c r="G812" s="567" t="s">
        <v>1722</v>
      </c>
      <c r="H812" s="567" t="s">
        <v>291</v>
      </c>
      <c r="I812" s="239" t="str">
        <f>IF(ISBLANK(regional!I425),"",regional!I425)</f>
        <v/>
      </c>
      <c r="K812" s="262" t="s">
        <v>4241</v>
      </c>
      <c r="O812" s="262" t="s">
        <v>4241</v>
      </c>
    </row>
    <row r="813" spans="1:15" ht="12.75" customHeight="1" x14ac:dyDescent="0.3">
      <c r="A813" s="566"/>
      <c r="B813" s="566"/>
      <c r="C813" s="566" t="s">
        <v>1643</v>
      </c>
      <c r="D813" s="566"/>
      <c r="E813" s="566"/>
      <c r="F813" s="566"/>
      <c r="G813" s="567" t="s">
        <v>1723</v>
      </c>
      <c r="H813" s="567" t="s">
        <v>291</v>
      </c>
      <c r="I813" s="239" t="str">
        <f>IF(ISBLANK(regional!I426),"",regional!I426)</f>
        <v/>
      </c>
      <c r="K813" s="262" t="s">
        <v>4241</v>
      </c>
      <c r="O813" s="262" t="s">
        <v>4241</v>
      </c>
    </row>
    <row r="814" spans="1:15" ht="12.75" customHeight="1" x14ac:dyDescent="0.3">
      <c r="A814" s="566"/>
      <c r="B814" s="566"/>
      <c r="C814" s="566" t="s">
        <v>1645</v>
      </c>
      <c r="D814" s="566"/>
      <c r="E814" s="566"/>
      <c r="F814" s="566"/>
      <c r="G814" s="567" t="s">
        <v>1724</v>
      </c>
      <c r="H814" s="567" t="s">
        <v>291</v>
      </c>
      <c r="I814" s="239" t="str">
        <f>IF(ISBLANK(regional!I427),"",regional!I427)</f>
        <v/>
      </c>
      <c r="K814" s="262" t="s">
        <v>4241</v>
      </c>
      <c r="O814" s="262" t="s">
        <v>4241</v>
      </c>
    </row>
    <row r="815" spans="1:15" ht="12.75" customHeight="1" x14ac:dyDescent="0.3">
      <c r="A815" s="566" t="s">
        <v>1725</v>
      </c>
      <c r="B815" s="566"/>
      <c r="C815" s="566"/>
      <c r="D815" s="566"/>
      <c r="E815" s="566"/>
      <c r="F815" s="566"/>
      <c r="G815" s="567" t="s">
        <v>1726</v>
      </c>
      <c r="H815" s="567" t="s">
        <v>335</v>
      </c>
      <c r="I815" s="239" t="str">
        <f>IF(ISBLANK(regional!I428),"",regional!I428)</f>
        <v/>
      </c>
      <c r="K815" s="262">
        <v>0</v>
      </c>
      <c r="L815" s="262">
        <v>0</v>
      </c>
      <c r="O815" s="262" t="s">
        <v>4241</v>
      </c>
    </row>
    <row r="816" spans="1:15" ht="12.75" customHeight="1" x14ac:dyDescent="0.3">
      <c r="A816" s="566"/>
      <c r="B816" s="566" t="s">
        <v>1669</v>
      </c>
      <c r="C816" s="566"/>
      <c r="D816" s="566"/>
      <c r="E816" s="566"/>
      <c r="F816" s="566"/>
      <c r="G816" s="567" t="s">
        <v>1727</v>
      </c>
      <c r="H816" s="567" t="s">
        <v>866</v>
      </c>
      <c r="I816" s="239" t="str">
        <f>IF(ISBLANK(regional!I429),"",regional!I429)</f>
        <v/>
      </c>
      <c r="K816" s="262" t="s">
        <v>4241</v>
      </c>
      <c r="O816" s="262" t="s">
        <v>4241</v>
      </c>
    </row>
    <row r="817" spans="1:15" ht="12.75" customHeight="1" x14ac:dyDescent="0.3">
      <c r="A817" s="566"/>
      <c r="B817" s="566" t="s">
        <v>1676</v>
      </c>
      <c r="C817" s="566"/>
      <c r="D817" s="566"/>
      <c r="E817" s="566"/>
      <c r="F817" s="566"/>
      <c r="G817" s="567" t="s">
        <v>1728</v>
      </c>
      <c r="H817" s="567" t="s">
        <v>1673</v>
      </c>
      <c r="I817" s="239" t="str">
        <f>IF(ISBLANK(regional!I430),"",regional!I430)</f>
        <v/>
      </c>
      <c r="K817" s="262" t="s">
        <v>4241</v>
      </c>
      <c r="O817" s="262" t="s">
        <v>4241</v>
      </c>
    </row>
    <row r="818" spans="1:15" ht="12.75" customHeight="1" x14ac:dyDescent="0.3">
      <c r="A818" s="566"/>
      <c r="B818" s="566"/>
      <c r="C818" s="566" t="s">
        <v>1641</v>
      </c>
      <c r="D818" s="566"/>
      <c r="E818" s="566"/>
      <c r="F818" s="566"/>
      <c r="G818" s="567" t="s">
        <v>1729</v>
      </c>
      <c r="H818" s="567" t="s">
        <v>291</v>
      </c>
      <c r="I818" s="239" t="str">
        <f>IF(ISBLANK(regional!I431),"",regional!I431)</f>
        <v/>
      </c>
      <c r="K818" s="262" t="s">
        <v>4241</v>
      </c>
      <c r="O818" s="262" t="s">
        <v>4241</v>
      </c>
    </row>
    <row r="819" spans="1:15" ht="12.75" customHeight="1" x14ac:dyDescent="0.3">
      <c r="A819" s="566"/>
      <c r="B819" s="566"/>
      <c r="C819" s="566" t="s">
        <v>1643</v>
      </c>
      <c r="D819" s="566"/>
      <c r="E819" s="566"/>
      <c r="F819" s="566"/>
      <c r="G819" s="567" t="s">
        <v>1730</v>
      </c>
      <c r="H819" s="567" t="s">
        <v>291</v>
      </c>
      <c r="I819" s="239" t="str">
        <f>IF(ISBLANK(regional!I432),"",regional!I432)</f>
        <v/>
      </c>
      <c r="K819" s="262" t="s">
        <v>4241</v>
      </c>
      <c r="O819" s="262" t="s">
        <v>4241</v>
      </c>
    </row>
    <row r="820" spans="1:15" ht="12.75" customHeight="1" x14ac:dyDescent="0.3">
      <c r="A820" s="566"/>
      <c r="B820" s="566"/>
      <c r="C820" s="566" t="s">
        <v>1645</v>
      </c>
      <c r="D820" s="566"/>
      <c r="E820" s="566"/>
      <c r="F820" s="566"/>
      <c r="G820" s="567" t="s">
        <v>1731</v>
      </c>
      <c r="H820" s="567" t="s">
        <v>291</v>
      </c>
      <c r="I820" s="239" t="str">
        <f>IF(ISBLANK(regional!I433),"",regional!I433)</f>
        <v/>
      </c>
      <c r="K820" s="262" t="s">
        <v>4241</v>
      </c>
      <c r="O820" s="262" t="s">
        <v>4241</v>
      </c>
    </row>
    <row r="821" spans="1:15" ht="12.75" customHeight="1" x14ac:dyDescent="0.3">
      <c r="A821" s="566" t="s">
        <v>1732</v>
      </c>
      <c r="B821" s="566"/>
      <c r="C821" s="566"/>
      <c r="D821" s="566"/>
      <c r="E821" s="566"/>
      <c r="F821" s="566"/>
      <c r="G821" s="567" t="s">
        <v>1733</v>
      </c>
      <c r="H821" s="567" t="s">
        <v>335</v>
      </c>
      <c r="I821" s="239" t="str">
        <f>IF(ISBLANK(regional!I434),"",regional!I434)</f>
        <v/>
      </c>
      <c r="K821" s="262">
        <v>0</v>
      </c>
      <c r="L821" s="262">
        <v>0</v>
      </c>
      <c r="O821" s="262" t="s">
        <v>4241</v>
      </c>
    </row>
    <row r="822" spans="1:15" ht="12.75" customHeight="1" x14ac:dyDescent="0.3">
      <c r="A822" s="566"/>
      <c r="B822" s="566" t="s">
        <v>1669</v>
      </c>
      <c r="C822" s="566"/>
      <c r="D822" s="566"/>
      <c r="E822" s="566"/>
      <c r="F822" s="566"/>
      <c r="G822" s="567" t="s">
        <v>1734</v>
      </c>
      <c r="H822" s="567" t="s">
        <v>866</v>
      </c>
      <c r="I822" s="239" t="str">
        <f>IF(ISBLANK(regional!I435),"",regional!I435)</f>
        <v/>
      </c>
      <c r="K822" s="262" t="s">
        <v>4241</v>
      </c>
      <c r="O822" s="262" t="s">
        <v>4241</v>
      </c>
    </row>
    <row r="823" spans="1:15" ht="12.75" customHeight="1" x14ac:dyDescent="0.3">
      <c r="A823" s="566"/>
      <c r="B823" s="566" t="s">
        <v>1676</v>
      </c>
      <c r="C823" s="566"/>
      <c r="D823" s="566"/>
      <c r="E823" s="566"/>
      <c r="F823" s="566"/>
      <c r="G823" s="567" t="s">
        <v>1735</v>
      </c>
      <c r="H823" s="567" t="s">
        <v>1673</v>
      </c>
      <c r="I823" s="239" t="str">
        <f>IF(ISBLANK(regional!I436),"",regional!I436)</f>
        <v/>
      </c>
      <c r="K823" s="262" t="s">
        <v>4241</v>
      </c>
      <c r="O823" s="262" t="s">
        <v>4241</v>
      </c>
    </row>
    <row r="824" spans="1:15" ht="12.75" customHeight="1" x14ac:dyDescent="0.3">
      <c r="A824" s="566"/>
      <c r="B824" s="566"/>
      <c r="C824" s="566" t="s">
        <v>1641</v>
      </c>
      <c r="D824" s="566"/>
      <c r="E824" s="566"/>
      <c r="F824" s="566"/>
      <c r="G824" s="567" t="s">
        <v>1736</v>
      </c>
      <c r="H824" s="567" t="s">
        <v>291</v>
      </c>
      <c r="I824" s="239" t="str">
        <f>IF(ISBLANK(regional!I437),"",regional!I437)</f>
        <v/>
      </c>
      <c r="K824" s="262" t="s">
        <v>4241</v>
      </c>
      <c r="O824" s="262" t="s">
        <v>4241</v>
      </c>
    </row>
    <row r="825" spans="1:15" ht="12.75" customHeight="1" x14ac:dyDescent="0.3">
      <c r="A825" s="566"/>
      <c r="B825" s="566"/>
      <c r="C825" s="566" t="s">
        <v>1643</v>
      </c>
      <c r="D825" s="566"/>
      <c r="E825" s="566"/>
      <c r="F825" s="566"/>
      <c r="G825" s="567" t="s">
        <v>1737</v>
      </c>
      <c r="H825" s="567" t="s">
        <v>291</v>
      </c>
      <c r="I825" s="239" t="str">
        <f>IF(ISBLANK(regional!I438),"",regional!I438)</f>
        <v/>
      </c>
      <c r="K825" s="262" t="s">
        <v>4241</v>
      </c>
      <c r="O825" s="262" t="s">
        <v>4241</v>
      </c>
    </row>
    <row r="826" spans="1:15" ht="12.75" customHeight="1" x14ac:dyDescent="0.3">
      <c r="A826" s="566"/>
      <c r="B826" s="566"/>
      <c r="C826" s="566" t="s">
        <v>1645</v>
      </c>
      <c r="D826" s="566"/>
      <c r="E826" s="566"/>
      <c r="F826" s="566"/>
      <c r="G826" s="567" t="s">
        <v>1738</v>
      </c>
      <c r="H826" s="567" t="s">
        <v>291</v>
      </c>
      <c r="I826" s="239" t="str">
        <f>IF(ISBLANK(regional!I439),"",regional!I439)</f>
        <v/>
      </c>
      <c r="K826" s="262" t="s">
        <v>4241</v>
      </c>
      <c r="O826" s="262" t="s">
        <v>4241</v>
      </c>
    </row>
    <row r="827" spans="1:15" ht="12.75" customHeight="1" x14ac:dyDescent="0.3">
      <c r="A827" s="566" t="s">
        <v>1739</v>
      </c>
      <c r="B827" s="566"/>
      <c r="C827" s="566"/>
      <c r="D827" s="566"/>
      <c r="E827" s="566"/>
      <c r="F827" s="566"/>
      <c r="G827" s="567" t="s">
        <v>1740</v>
      </c>
      <c r="H827" s="567" t="s">
        <v>335</v>
      </c>
      <c r="I827" s="239" t="str">
        <f>IF(ISBLANK(regional!I440),"",regional!I440)</f>
        <v/>
      </c>
      <c r="K827" s="262" t="s">
        <v>4241</v>
      </c>
      <c r="L827" s="262">
        <v>0</v>
      </c>
      <c r="O827" s="262" t="s">
        <v>4241</v>
      </c>
    </row>
    <row r="828" spans="1:15" ht="12.75" customHeight="1" x14ac:dyDescent="0.3">
      <c r="A828" s="566" t="s">
        <v>1742</v>
      </c>
      <c r="B828" s="566"/>
      <c r="C828" s="566"/>
      <c r="D828" s="566"/>
      <c r="E828" s="566"/>
      <c r="F828" s="566"/>
      <c r="G828" s="567" t="s">
        <v>1743</v>
      </c>
      <c r="H828" s="567" t="s">
        <v>335</v>
      </c>
      <c r="I828" s="239" t="str">
        <f>IF(ISBLANK(regional!I441),"",regional!I441)</f>
        <v/>
      </c>
      <c r="K828" s="262">
        <v>0</v>
      </c>
      <c r="L828" s="262">
        <v>0</v>
      </c>
      <c r="O828" s="262" t="s">
        <v>4241</v>
      </c>
    </row>
    <row r="829" spans="1:15" ht="12.75" customHeight="1" x14ac:dyDescent="0.3">
      <c r="A829" s="566" t="s">
        <v>1744</v>
      </c>
      <c r="B829" s="566"/>
      <c r="C829" s="566"/>
      <c r="D829" s="566"/>
      <c r="E829" s="566"/>
      <c r="F829" s="566"/>
      <c r="G829" s="567" t="s">
        <v>1745</v>
      </c>
      <c r="H829" s="567" t="s">
        <v>335</v>
      </c>
      <c r="I829" s="239" t="str">
        <f>IF(ISBLANK(regional!I442),"",regional!I442)</f>
        <v/>
      </c>
      <c r="K829" s="262">
        <v>0</v>
      </c>
      <c r="L829" s="262">
        <v>0</v>
      </c>
      <c r="M829" s="262" t="s">
        <v>4241</v>
      </c>
      <c r="N829" s="262" t="s">
        <v>4241</v>
      </c>
      <c r="O829" s="262" t="s">
        <v>4241</v>
      </c>
    </row>
    <row r="830" spans="1:15" ht="12.75" customHeight="1" x14ac:dyDescent="0.3">
      <c r="A830" s="566" t="s">
        <v>1746</v>
      </c>
      <c r="B830" s="566"/>
      <c r="C830" s="566"/>
      <c r="D830" s="566"/>
      <c r="E830" s="566"/>
      <c r="F830" s="566"/>
      <c r="G830" s="567" t="s">
        <v>1747</v>
      </c>
      <c r="H830" s="567" t="s">
        <v>335</v>
      </c>
      <c r="I830" s="239" t="str">
        <f>IF(ISBLANK(regional!I443),"",regional!I443)</f>
        <v/>
      </c>
      <c r="J830" s="228"/>
      <c r="K830" s="262">
        <v>0</v>
      </c>
      <c r="L830" s="262">
        <v>0</v>
      </c>
      <c r="M830" s="262">
        <v>0</v>
      </c>
      <c r="N830" s="262">
        <v>0</v>
      </c>
      <c r="O830" s="262" t="s">
        <v>4241</v>
      </c>
    </row>
    <row r="831" spans="1:15" ht="12.75" customHeight="1" x14ac:dyDescent="0.3">
      <c r="A831" s="566"/>
      <c r="B831" s="566" t="s">
        <v>1669</v>
      </c>
      <c r="C831" s="566"/>
      <c r="D831" s="566"/>
      <c r="E831" s="566"/>
      <c r="F831" s="566"/>
      <c r="G831" s="567" t="s">
        <v>1748</v>
      </c>
      <c r="H831" s="567" t="s">
        <v>866</v>
      </c>
      <c r="I831" s="239" t="str">
        <f>IF(ISBLANK(regional!I444),"",regional!I444)</f>
        <v/>
      </c>
      <c r="J831" s="411"/>
      <c r="K831" s="262" t="s">
        <v>4241</v>
      </c>
      <c r="M831" s="262" t="s">
        <v>4241</v>
      </c>
      <c r="N831" s="262" t="s">
        <v>4241</v>
      </c>
      <c r="O831" s="262" t="s">
        <v>4241</v>
      </c>
    </row>
    <row r="832" spans="1:15" ht="12.75" customHeight="1" x14ac:dyDescent="0.3">
      <c r="A832" s="566"/>
      <c r="B832" s="566"/>
      <c r="C832" s="566" t="s">
        <v>1749</v>
      </c>
      <c r="D832" s="566"/>
      <c r="E832" s="566"/>
      <c r="F832" s="566"/>
      <c r="G832" s="566" t="s">
        <v>1750</v>
      </c>
      <c r="H832" s="567" t="s">
        <v>1673</v>
      </c>
      <c r="I832" s="239" t="str">
        <f>IF(ISBLANK(regional!I445),"",regional!I445)</f>
        <v/>
      </c>
      <c r="J832" s="228"/>
      <c r="K832" s="262" t="s">
        <v>4241</v>
      </c>
      <c r="M832" s="262" t="s">
        <v>4241</v>
      </c>
      <c r="N832" s="262" t="s">
        <v>4241</v>
      </c>
      <c r="O832" s="262" t="s">
        <v>4241</v>
      </c>
    </row>
    <row r="833" spans="1:15" ht="12.75" customHeight="1" x14ac:dyDescent="0.3">
      <c r="A833" s="566"/>
      <c r="B833" s="566"/>
      <c r="C833" s="566" t="s">
        <v>1751</v>
      </c>
      <c r="D833" s="566"/>
      <c r="E833" s="566"/>
      <c r="F833" s="566"/>
      <c r="G833" s="567" t="s">
        <v>1752</v>
      </c>
      <c r="H833" s="567" t="s">
        <v>1673</v>
      </c>
      <c r="I833" s="239" t="str">
        <f>IF(ISBLANK(regional!I446),"",regional!I446)</f>
        <v/>
      </c>
      <c r="K833" s="262" t="s">
        <v>4241</v>
      </c>
      <c r="M833" s="262" t="s">
        <v>4241</v>
      </c>
      <c r="N833" s="262" t="s">
        <v>4241</v>
      </c>
      <c r="O833" s="262" t="s">
        <v>4241</v>
      </c>
    </row>
    <row r="834" spans="1:15" ht="12.75" customHeight="1" x14ac:dyDescent="0.3">
      <c r="A834" s="566"/>
      <c r="B834" s="566"/>
      <c r="C834" s="566" t="s">
        <v>1753</v>
      </c>
      <c r="D834" s="566"/>
      <c r="E834" s="566"/>
      <c r="F834" s="566"/>
      <c r="G834" s="567" t="s">
        <v>1754</v>
      </c>
      <c r="H834" s="567" t="s">
        <v>866</v>
      </c>
      <c r="I834" s="239" t="str">
        <f>IF(ISBLANK(regional!I447),"",regional!I447)</f>
        <v/>
      </c>
      <c r="K834" s="262" t="s">
        <v>4241</v>
      </c>
      <c r="M834" s="262" t="s">
        <v>4241</v>
      </c>
      <c r="N834" s="262" t="s">
        <v>4241</v>
      </c>
      <c r="O834" s="262" t="s">
        <v>4241</v>
      </c>
    </row>
    <row r="835" spans="1:15" ht="12.75" customHeight="1" x14ac:dyDescent="0.3">
      <c r="A835" s="566"/>
      <c r="B835" s="566"/>
      <c r="C835" s="566"/>
      <c r="D835" s="566" t="s">
        <v>1641</v>
      </c>
      <c r="E835" s="566"/>
      <c r="F835" s="566"/>
      <c r="G835" s="567" t="s">
        <v>1755</v>
      </c>
      <c r="H835" s="567" t="s">
        <v>291</v>
      </c>
      <c r="I835" s="239" t="str">
        <f>IF(ISBLANK(regional!I448),"",regional!I448)</f>
        <v/>
      </c>
      <c r="K835" s="262" t="s">
        <v>4241</v>
      </c>
      <c r="M835" s="262" t="s">
        <v>4241</v>
      </c>
      <c r="N835" s="262" t="s">
        <v>4241</v>
      </c>
      <c r="O835" s="262" t="s">
        <v>4241</v>
      </c>
    </row>
    <row r="836" spans="1:15" ht="12.75" customHeight="1" x14ac:dyDescent="0.3">
      <c r="A836" s="566"/>
      <c r="B836" s="566"/>
      <c r="C836" s="566"/>
      <c r="D836" s="566" t="s">
        <v>1645</v>
      </c>
      <c r="E836" s="566"/>
      <c r="F836" s="566"/>
      <c r="G836" s="567" t="s">
        <v>1756</v>
      </c>
      <c r="H836" s="567" t="s">
        <v>291</v>
      </c>
      <c r="I836" s="239" t="str">
        <f>IF(ISBLANK(regional!I449),"",regional!I449)</f>
        <v/>
      </c>
      <c r="K836" s="262" t="s">
        <v>4241</v>
      </c>
      <c r="M836" s="262" t="s">
        <v>4241</v>
      </c>
      <c r="N836" s="262" t="s">
        <v>4241</v>
      </c>
      <c r="O836" s="262" t="s">
        <v>4241</v>
      </c>
    </row>
    <row r="837" spans="1:15" ht="12.75" customHeight="1" x14ac:dyDescent="0.3">
      <c r="A837" s="566" t="s">
        <v>1757</v>
      </c>
      <c r="B837" s="566"/>
      <c r="C837" s="566"/>
      <c r="D837" s="566"/>
      <c r="E837" s="566"/>
      <c r="F837" s="566"/>
      <c r="G837" s="567" t="s">
        <v>1758</v>
      </c>
      <c r="H837" s="567" t="s">
        <v>335</v>
      </c>
      <c r="I837" s="239" t="str">
        <f>IF(ISBLANK(regional!I450),"",regional!I450)</f>
        <v/>
      </c>
      <c r="K837" s="262" t="s">
        <v>4241</v>
      </c>
      <c r="L837" s="262">
        <v>0</v>
      </c>
      <c r="M837" s="262" t="s">
        <v>4241</v>
      </c>
      <c r="N837" s="262" t="s">
        <v>4241</v>
      </c>
      <c r="O837" s="262" t="s">
        <v>4241</v>
      </c>
    </row>
    <row r="838" spans="1:15" ht="12.75" customHeight="1" x14ac:dyDescent="0.3">
      <c r="A838" s="566"/>
      <c r="B838" s="566" t="s">
        <v>1669</v>
      </c>
      <c r="C838" s="566"/>
      <c r="D838" s="566"/>
      <c r="E838" s="566"/>
      <c r="F838" s="566"/>
      <c r="G838" s="567" t="s">
        <v>1759</v>
      </c>
      <c r="H838" s="567" t="s">
        <v>866</v>
      </c>
      <c r="I838" s="239" t="str">
        <f>IF(ISBLANK(regional!I451),"",regional!I451)</f>
        <v/>
      </c>
      <c r="K838" s="262" t="s">
        <v>4241</v>
      </c>
      <c r="M838" s="262" t="s">
        <v>4241</v>
      </c>
      <c r="N838" s="262" t="s">
        <v>4241</v>
      </c>
      <c r="O838" s="262" t="s">
        <v>4241</v>
      </c>
    </row>
    <row r="839" spans="1:15" ht="12.75" customHeight="1" x14ac:dyDescent="0.3">
      <c r="A839" s="566"/>
      <c r="B839" s="566"/>
      <c r="C839" s="566" t="s">
        <v>1760</v>
      </c>
      <c r="D839" s="566"/>
      <c r="E839" s="566"/>
      <c r="F839" s="566"/>
      <c r="G839" s="566" t="s">
        <v>1761</v>
      </c>
      <c r="H839" s="567" t="s">
        <v>1673</v>
      </c>
      <c r="I839" s="239" t="str">
        <f>IF(ISBLANK(regional!I452),"",regional!I452)</f>
        <v/>
      </c>
      <c r="K839" s="262" t="s">
        <v>4241</v>
      </c>
      <c r="M839" s="262" t="s">
        <v>4241</v>
      </c>
      <c r="N839" s="262" t="s">
        <v>4241</v>
      </c>
      <c r="O839" s="262" t="s">
        <v>4241</v>
      </c>
    </row>
    <row r="840" spans="1:15" ht="12.75" customHeight="1" x14ac:dyDescent="0.3">
      <c r="A840" s="566" t="s">
        <v>1762</v>
      </c>
      <c r="B840" s="566"/>
      <c r="C840" s="566"/>
      <c r="D840" s="566"/>
      <c r="E840" s="566"/>
      <c r="F840" s="566"/>
      <c r="G840" s="567" t="s">
        <v>1763</v>
      </c>
      <c r="H840" s="567" t="s">
        <v>335</v>
      </c>
      <c r="I840" s="239" t="str">
        <f>IF(ISBLANK(regional!I453),"",regional!I453)</f>
        <v/>
      </c>
      <c r="K840" s="262">
        <v>0</v>
      </c>
      <c r="L840" s="262">
        <v>0</v>
      </c>
      <c r="M840" s="262">
        <v>0</v>
      </c>
      <c r="N840" s="262">
        <v>0</v>
      </c>
      <c r="O840" s="262" t="s">
        <v>4241</v>
      </c>
    </row>
    <row r="841" spans="1:15" ht="12.75" customHeight="1" x14ac:dyDescent="0.3">
      <c r="A841" s="566"/>
      <c r="B841" s="566" t="s">
        <v>1669</v>
      </c>
      <c r="C841" s="566"/>
      <c r="D841" s="566"/>
      <c r="E841" s="566"/>
      <c r="F841" s="566"/>
      <c r="G841" s="567" t="s">
        <v>1764</v>
      </c>
      <c r="H841" s="567" t="s">
        <v>866</v>
      </c>
      <c r="I841" s="239" t="str">
        <f>IF(ISBLANK(regional!I454),"",regional!I454)</f>
        <v/>
      </c>
      <c r="K841" s="262" t="s">
        <v>4241</v>
      </c>
      <c r="M841" s="262" t="s">
        <v>4241</v>
      </c>
      <c r="N841" s="262" t="s">
        <v>4241</v>
      </c>
      <c r="O841" s="262" t="s">
        <v>4241</v>
      </c>
    </row>
    <row r="842" spans="1:15" ht="12.75" customHeight="1" x14ac:dyDescent="0.3">
      <c r="A842" s="566"/>
      <c r="B842" s="566"/>
      <c r="C842" s="566" t="s">
        <v>1765</v>
      </c>
      <c r="D842" s="566"/>
      <c r="E842" s="566"/>
      <c r="F842" s="566"/>
      <c r="G842" s="566" t="s">
        <v>1766</v>
      </c>
      <c r="H842" s="567" t="s">
        <v>1673</v>
      </c>
      <c r="I842" s="239" t="str">
        <f>IF(ISBLANK(regional!I455),"",regional!I455)</f>
        <v/>
      </c>
      <c r="K842" s="262" t="s">
        <v>4241</v>
      </c>
      <c r="M842" s="262" t="s">
        <v>4241</v>
      </c>
      <c r="N842" s="262" t="s">
        <v>4241</v>
      </c>
      <c r="O842" s="262" t="s">
        <v>4241</v>
      </c>
    </row>
    <row r="843" spans="1:15" ht="12.75" customHeight="1" x14ac:dyDescent="0.3">
      <c r="A843" s="566" t="s">
        <v>1767</v>
      </c>
      <c r="B843" s="566"/>
      <c r="C843" s="566"/>
      <c r="D843" s="566"/>
      <c r="E843" s="566"/>
      <c r="F843" s="566"/>
      <c r="G843" s="566" t="s">
        <v>1768</v>
      </c>
      <c r="H843" s="567" t="s">
        <v>335</v>
      </c>
      <c r="I843" s="239" t="str">
        <f>IF(ISBLANK(regional!I456),"",regional!I456)</f>
        <v/>
      </c>
      <c r="K843" s="262">
        <v>0</v>
      </c>
      <c r="L843" s="262">
        <v>0</v>
      </c>
      <c r="M843" s="262">
        <v>0</v>
      </c>
      <c r="N843" s="262">
        <v>0</v>
      </c>
      <c r="O843" s="262" t="s">
        <v>4241</v>
      </c>
    </row>
    <row r="844" spans="1:15" ht="12.75" customHeight="1" x14ac:dyDescent="0.3">
      <c r="A844" s="566"/>
      <c r="B844" s="566" t="s">
        <v>1669</v>
      </c>
      <c r="C844" s="566"/>
      <c r="D844" s="566"/>
      <c r="E844" s="566"/>
      <c r="F844" s="566"/>
      <c r="G844" s="567" t="s">
        <v>1769</v>
      </c>
      <c r="H844" s="567" t="s">
        <v>866</v>
      </c>
      <c r="I844" s="239" t="str">
        <f>IF(ISBLANK(regional!I457),"",regional!I457)</f>
        <v/>
      </c>
      <c r="K844" s="262" t="s">
        <v>4241</v>
      </c>
      <c r="O844" s="262" t="s">
        <v>4241</v>
      </c>
    </row>
    <row r="845" spans="1:15" ht="12.75" customHeight="1" x14ac:dyDescent="0.3">
      <c r="A845" s="566"/>
      <c r="B845" s="566"/>
      <c r="C845" s="566" t="s">
        <v>1770</v>
      </c>
      <c r="D845" s="566"/>
      <c r="E845" s="566"/>
      <c r="F845" s="566"/>
      <c r="G845" s="567" t="s">
        <v>1771</v>
      </c>
      <c r="H845" s="567" t="s">
        <v>1673</v>
      </c>
      <c r="I845" s="239" t="str">
        <f>IF(ISBLANK(regional!I458),"",regional!I458)</f>
        <v/>
      </c>
      <c r="K845" s="262" t="s">
        <v>4241</v>
      </c>
      <c r="O845" s="262" t="s">
        <v>4241</v>
      </c>
    </row>
    <row r="846" spans="1:15" ht="12.75" customHeight="1" x14ac:dyDescent="0.3">
      <c r="A846" s="566"/>
      <c r="B846" s="566"/>
      <c r="C846" s="566"/>
      <c r="D846" s="566" t="s">
        <v>1641</v>
      </c>
      <c r="E846" s="566"/>
      <c r="F846" s="566"/>
      <c r="G846" s="567" t="s">
        <v>1772</v>
      </c>
      <c r="H846" s="567" t="s">
        <v>291</v>
      </c>
      <c r="I846" s="239" t="str">
        <f>IF(ISBLANK(regional!I459),"",regional!I459)</f>
        <v/>
      </c>
      <c r="K846" s="262" t="s">
        <v>4241</v>
      </c>
      <c r="O846" s="262" t="s">
        <v>4241</v>
      </c>
    </row>
    <row r="847" spans="1:15" ht="12.75" customHeight="1" x14ac:dyDescent="0.3">
      <c r="A847" s="566"/>
      <c r="B847" s="566"/>
      <c r="C847" s="566"/>
      <c r="D847" s="566" t="s">
        <v>1645</v>
      </c>
      <c r="E847" s="566"/>
      <c r="F847" s="566"/>
      <c r="G847" s="567" t="s">
        <v>1773</v>
      </c>
      <c r="H847" s="567" t="s">
        <v>291</v>
      </c>
      <c r="I847" s="239" t="str">
        <f>IF(ISBLANK(regional!I460),"",regional!I460)</f>
        <v/>
      </c>
      <c r="K847" s="262" t="s">
        <v>4241</v>
      </c>
      <c r="O847" s="262" t="s">
        <v>4241</v>
      </c>
    </row>
    <row r="848" spans="1:15" ht="12.75" customHeight="1" x14ac:dyDescent="0.3">
      <c r="A848" s="566" t="s">
        <v>1774</v>
      </c>
      <c r="B848" s="566"/>
      <c r="C848" s="566"/>
      <c r="D848" s="566"/>
      <c r="E848" s="566"/>
      <c r="F848" s="566"/>
      <c r="G848" s="566" t="s">
        <v>1775</v>
      </c>
      <c r="H848" s="567" t="s">
        <v>335</v>
      </c>
      <c r="I848" s="239" t="str">
        <f>IF(ISBLANK(regional!I461),"",regional!I461)</f>
        <v/>
      </c>
      <c r="K848" s="262" t="s">
        <v>4241</v>
      </c>
      <c r="L848" s="262">
        <v>0</v>
      </c>
      <c r="O848" s="262" t="s">
        <v>4241</v>
      </c>
    </row>
    <row r="849" spans="1:15" ht="12.75" customHeight="1" x14ac:dyDescent="0.3">
      <c r="A849" s="566"/>
      <c r="B849" s="566" t="s">
        <v>1669</v>
      </c>
      <c r="C849" s="566"/>
      <c r="D849" s="566"/>
      <c r="E849" s="566"/>
      <c r="F849" s="566"/>
      <c r="G849" s="567" t="s">
        <v>1776</v>
      </c>
      <c r="H849" s="567" t="s">
        <v>866</v>
      </c>
      <c r="I849" s="239" t="str">
        <f>IF(ISBLANK(regional!I462),"",regional!I462)</f>
        <v/>
      </c>
      <c r="K849" s="262" t="s">
        <v>4241</v>
      </c>
      <c r="O849" s="262" t="s">
        <v>4241</v>
      </c>
    </row>
    <row r="850" spans="1:15" ht="12.75" customHeight="1" x14ac:dyDescent="0.3">
      <c r="A850" s="566" t="s">
        <v>1777</v>
      </c>
      <c r="B850" s="566"/>
      <c r="C850" s="566"/>
      <c r="D850" s="566"/>
      <c r="E850" s="566"/>
      <c r="F850" s="566"/>
      <c r="G850" s="566" t="s">
        <v>1778</v>
      </c>
      <c r="H850" s="567" t="s">
        <v>335</v>
      </c>
      <c r="I850" s="239" t="str">
        <f>IF(ISBLANK(regional!I463),"",regional!I463)</f>
        <v/>
      </c>
      <c r="K850" s="262">
        <v>0</v>
      </c>
      <c r="L850" s="262">
        <v>0</v>
      </c>
      <c r="M850" s="262">
        <v>0</v>
      </c>
      <c r="N850" s="262">
        <v>0</v>
      </c>
      <c r="O850" s="262" t="s">
        <v>4241</v>
      </c>
    </row>
    <row r="851" spans="1:15" ht="12.75" customHeight="1" x14ac:dyDescent="0.3">
      <c r="A851" s="566"/>
      <c r="B851" s="566" t="s">
        <v>1669</v>
      </c>
      <c r="C851" s="566"/>
      <c r="D851" s="566"/>
      <c r="E851" s="566"/>
      <c r="F851" s="566"/>
      <c r="G851" s="567" t="s">
        <v>1779</v>
      </c>
      <c r="H851" s="567" t="s">
        <v>866</v>
      </c>
      <c r="I851" s="239" t="str">
        <f>IF(ISBLANK(regional!I464),"",regional!I464)</f>
        <v/>
      </c>
      <c r="K851" s="262" t="s">
        <v>4241</v>
      </c>
      <c r="M851" s="262" t="s">
        <v>4241</v>
      </c>
      <c r="N851" s="262" t="s">
        <v>4241</v>
      </c>
      <c r="O851" s="262" t="s">
        <v>4241</v>
      </c>
    </row>
    <row r="852" spans="1:15" ht="12.75" customHeight="1" x14ac:dyDescent="0.3">
      <c r="A852" s="566" t="s">
        <v>1780</v>
      </c>
      <c r="B852" s="566"/>
      <c r="C852" s="566"/>
      <c r="D852" s="566"/>
      <c r="E852" s="566"/>
      <c r="F852" s="566"/>
      <c r="G852" s="566" t="s">
        <v>1781</v>
      </c>
      <c r="H852" s="567" t="s">
        <v>335</v>
      </c>
      <c r="I852" s="239" t="str">
        <f>IF(ISBLANK(regional!I465),"",regional!I465)</f>
        <v/>
      </c>
      <c r="K852" s="262">
        <v>0</v>
      </c>
      <c r="L852" s="262">
        <v>0</v>
      </c>
      <c r="M852" s="262">
        <v>0</v>
      </c>
      <c r="N852" s="262">
        <v>0</v>
      </c>
      <c r="O852" s="262" t="s">
        <v>4241</v>
      </c>
    </row>
    <row r="853" spans="1:15" ht="12.75" customHeight="1" x14ac:dyDescent="0.3">
      <c r="A853" s="566" t="s">
        <v>1782</v>
      </c>
      <c r="B853" s="566"/>
      <c r="C853" s="566"/>
      <c r="D853" s="566"/>
      <c r="E853" s="566"/>
      <c r="F853" s="566"/>
      <c r="G853" s="566" t="s">
        <v>1783</v>
      </c>
      <c r="H853" s="567" t="s">
        <v>335</v>
      </c>
      <c r="I853" s="239" t="str">
        <f>IF(ISBLANK(regional!I466),"",regional!I466)</f>
        <v/>
      </c>
      <c r="K853" s="262" t="s">
        <v>4241</v>
      </c>
      <c r="L853" s="262">
        <v>0</v>
      </c>
      <c r="M853" s="262" t="s">
        <v>4241</v>
      </c>
      <c r="N853" s="262" t="s">
        <v>4241</v>
      </c>
      <c r="O853" s="262" t="s">
        <v>4241</v>
      </c>
    </row>
    <row r="854" spans="1:15" ht="12.75" customHeight="1" x14ac:dyDescent="0.3">
      <c r="A854" s="566" t="s">
        <v>1784</v>
      </c>
      <c r="B854" s="566"/>
      <c r="C854" s="566"/>
      <c r="D854" s="566"/>
      <c r="E854" s="566"/>
      <c r="F854" s="566"/>
      <c r="G854" s="566" t="s">
        <v>1785</v>
      </c>
      <c r="H854" s="567" t="s">
        <v>335</v>
      </c>
      <c r="I854" s="239" t="str">
        <f>IF(ISBLANK(regional!I467),"",regional!I467)</f>
        <v/>
      </c>
      <c r="K854" s="262">
        <v>0</v>
      </c>
      <c r="L854" s="262">
        <v>0</v>
      </c>
      <c r="M854" s="262">
        <v>0</v>
      </c>
      <c r="N854" s="262">
        <v>0</v>
      </c>
      <c r="O854" s="262" t="s">
        <v>4241</v>
      </c>
    </row>
    <row r="855" spans="1:15" ht="12.75" customHeight="1" x14ac:dyDescent="0.3">
      <c r="A855" s="582" t="s">
        <v>1786</v>
      </c>
      <c r="B855" s="582"/>
      <c r="C855" s="582"/>
      <c r="D855" s="582"/>
      <c r="E855" s="582"/>
      <c r="F855" s="582"/>
      <c r="G855" s="581" t="s">
        <v>1787</v>
      </c>
      <c r="H855" s="581" t="s">
        <v>335</v>
      </c>
      <c r="I855" s="239" t="str">
        <f>IF(ISBLANK(regional!I468),"",regional!I468)</f>
        <v/>
      </c>
      <c r="K855" s="262" t="s">
        <v>4241</v>
      </c>
      <c r="L855" s="262">
        <v>9.9999999999999995E-21</v>
      </c>
      <c r="M855" s="262" t="s">
        <v>4241</v>
      </c>
      <c r="N855" s="262" t="s">
        <v>4241</v>
      </c>
      <c r="O855" s="262" t="s">
        <v>4241</v>
      </c>
    </row>
    <row r="856" spans="1:15" ht="12.75" customHeight="1" x14ac:dyDescent="0.3">
      <c r="A856" s="566" t="s">
        <v>1789</v>
      </c>
      <c r="B856" s="566"/>
      <c r="C856" s="566"/>
      <c r="D856" s="566"/>
      <c r="E856" s="566"/>
      <c r="F856" s="566"/>
      <c r="G856" s="567" t="s">
        <v>1790</v>
      </c>
      <c r="H856" s="567" t="s">
        <v>335</v>
      </c>
      <c r="I856" s="239" t="str">
        <f>IF(ISBLANK(regional!I469),"",regional!I469)</f>
        <v/>
      </c>
      <c r="K856" s="262">
        <v>0</v>
      </c>
      <c r="L856" s="262">
        <v>9.9999999999999995E-21</v>
      </c>
      <c r="M856" s="262" t="s">
        <v>4241</v>
      </c>
      <c r="N856" s="262" t="s">
        <v>4241</v>
      </c>
      <c r="O856" s="262" t="s">
        <v>4241</v>
      </c>
    </row>
    <row r="857" spans="1:15" ht="12.75" customHeight="1" x14ac:dyDescent="0.3">
      <c r="A857" s="566" t="s">
        <v>1791</v>
      </c>
      <c r="B857" s="566"/>
      <c r="C857" s="566"/>
      <c r="D857" s="566"/>
      <c r="E857" s="566"/>
      <c r="F857" s="566"/>
      <c r="G857" s="567" t="s">
        <v>1792</v>
      </c>
      <c r="H857" s="567" t="s">
        <v>335</v>
      </c>
      <c r="I857" s="239" t="str">
        <f>IF(ISBLANK(regional!I470),"",regional!I470)</f>
        <v/>
      </c>
      <c r="K857" s="262">
        <v>0</v>
      </c>
      <c r="L857" s="262">
        <v>9.9999999999999995E-21</v>
      </c>
      <c r="M857" s="262" t="s">
        <v>4241</v>
      </c>
      <c r="N857" s="262" t="s">
        <v>4241</v>
      </c>
      <c r="O857" s="262" t="s">
        <v>4241</v>
      </c>
    </row>
    <row r="858" spans="1:15" ht="12.75" customHeight="1" x14ac:dyDescent="0.3">
      <c r="A858" s="566" t="s">
        <v>1793</v>
      </c>
      <c r="B858" s="566"/>
      <c r="C858" s="566"/>
      <c r="D858" s="566"/>
      <c r="E858" s="566"/>
      <c r="F858" s="566"/>
      <c r="G858" s="567" t="s">
        <v>1794</v>
      </c>
      <c r="H858" s="567" t="s">
        <v>335</v>
      </c>
      <c r="I858" s="239" t="str">
        <f>IF(ISBLANK(regional!I471),"",regional!I471)</f>
        <v/>
      </c>
      <c r="K858" s="262" t="s">
        <v>4241</v>
      </c>
      <c r="L858" s="262">
        <v>9.9999999999999995E-21</v>
      </c>
      <c r="M858" s="262" t="s">
        <v>4241</v>
      </c>
      <c r="N858" s="262" t="s">
        <v>4241</v>
      </c>
      <c r="O858" s="262" t="s">
        <v>4241</v>
      </c>
    </row>
    <row r="859" spans="1:15" ht="12.75" customHeight="1" x14ac:dyDescent="0.3">
      <c r="A859" s="566" t="s">
        <v>1795</v>
      </c>
      <c r="B859" s="566"/>
      <c r="C859" s="566"/>
      <c r="D859" s="566"/>
      <c r="E859" s="566"/>
      <c r="F859" s="566"/>
      <c r="G859" s="567" t="s">
        <v>1796</v>
      </c>
      <c r="H859" s="567" t="s">
        <v>335</v>
      </c>
      <c r="I859" s="239" t="str">
        <f>IF(ISBLANK(regional!I472),"",regional!I472)</f>
        <v/>
      </c>
      <c r="K859" s="262">
        <v>0</v>
      </c>
      <c r="L859" s="262">
        <v>9.9999999999999995E-21</v>
      </c>
      <c r="M859" s="262" t="s">
        <v>4241</v>
      </c>
      <c r="N859" s="262" t="s">
        <v>4241</v>
      </c>
      <c r="O859" s="262" t="s">
        <v>4241</v>
      </c>
    </row>
    <row r="860" spans="1:15" ht="12.75" customHeight="1" x14ac:dyDescent="0.3">
      <c r="A860" s="566" t="s">
        <v>1797</v>
      </c>
      <c r="B860" s="566"/>
      <c r="C860" s="566"/>
      <c r="D860" s="566"/>
      <c r="E860" s="566"/>
      <c r="F860" s="566"/>
      <c r="G860" s="567" t="s">
        <v>1798</v>
      </c>
      <c r="H860" s="567" t="s">
        <v>335</v>
      </c>
      <c r="I860" s="239" t="str">
        <f>IF(ISBLANK(regional!I473),"",regional!I473)</f>
        <v/>
      </c>
      <c r="K860" s="262">
        <v>0</v>
      </c>
      <c r="L860" s="262">
        <v>9.9999999999999995E-21</v>
      </c>
      <c r="M860" s="262" t="s">
        <v>4241</v>
      </c>
      <c r="N860" s="262" t="s">
        <v>4241</v>
      </c>
      <c r="O860" s="262" t="s">
        <v>4241</v>
      </c>
    </row>
    <row r="861" spans="1:15" ht="12.75" customHeight="1" x14ac:dyDescent="0.3">
      <c r="A861" s="566" t="s">
        <v>1799</v>
      </c>
      <c r="B861" s="566"/>
      <c r="C861" s="566"/>
      <c r="D861" s="566"/>
      <c r="E861" s="566"/>
      <c r="F861" s="566"/>
      <c r="G861" s="567" t="s">
        <v>1800</v>
      </c>
      <c r="H861" s="567" t="s">
        <v>335</v>
      </c>
      <c r="I861" s="239" t="str">
        <f>IF(ISBLANK(regional!I474),"",regional!I474)</f>
        <v/>
      </c>
      <c r="K861" s="262" t="s">
        <v>4241</v>
      </c>
      <c r="L861" s="262">
        <v>9.9999999999999995E-21</v>
      </c>
      <c r="M861" s="262" t="s">
        <v>4241</v>
      </c>
      <c r="N861" s="262" t="s">
        <v>4241</v>
      </c>
      <c r="O861" s="262" t="s">
        <v>4241</v>
      </c>
    </row>
    <row r="862" spans="1:15" ht="12.75" customHeight="1" x14ac:dyDescent="0.3">
      <c r="A862" s="566" t="s">
        <v>1801</v>
      </c>
      <c r="B862" s="566"/>
      <c r="C862" s="566"/>
      <c r="D862" s="566"/>
      <c r="E862" s="566"/>
      <c r="F862" s="566"/>
      <c r="G862" s="567" t="s">
        <v>1802</v>
      </c>
      <c r="H862" s="567" t="s">
        <v>335</v>
      </c>
      <c r="I862" s="239" t="str">
        <f>IF(ISBLANK(regional!I475),"",regional!I475)</f>
        <v/>
      </c>
      <c r="K862" s="262">
        <v>0</v>
      </c>
      <c r="L862" s="262">
        <v>9.9999999999999995E-21</v>
      </c>
      <c r="M862" s="262" t="s">
        <v>4241</v>
      </c>
      <c r="N862" s="262" t="s">
        <v>4241</v>
      </c>
      <c r="O862" s="262" t="s">
        <v>4241</v>
      </c>
    </row>
    <row r="863" spans="1:15" ht="12.75" customHeight="1" x14ac:dyDescent="0.3">
      <c r="A863" s="566" t="s">
        <v>1803</v>
      </c>
      <c r="B863" s="566"/>
      <c r="C863" s="566"/>
      <c r="D863" s="566"/>
      <c r="E863" s="566"/>
      <c r="F863" s="566"/>
      <c r="G863" s="567" t="s">
        <v>1804</v>
      </c>
      <c r="H863" s="567" t="s">
        <v>335</v>
      </c>
      <c r="I863" s="239" t="str">
        <f>IF(ISBLANK(regional!I476),"",regional!I476)</f>
        <v/>
      </c>
      <c r="K863" s="262">
        <v>0</v>
      </c>
      <c r="L863" s="262">
        <v>9.9999999999999995E-21</v>
      </c>
      <c r="M863" s="262" t="s">
        <v>4241</v>
      </c>
      <c r="N863" s="262" t="s">
        <v>4241</v>
      </c>
      <c r="O863" s="262" t="s">
        <v>4241</v>
      </c>
    </row>
    <row r="864" spans="1:15" ht="12.75" customHeight="1" x14ac:dyDescent="0.3">
      <c r="A864" s="566" t="s">
        <v>1805</v>
      </c>
      <c r="B864" s="566"/>
      <c r="C864" s="566"/>
      <c r="D864" s="566"/>
      <c r="E864" s="566"/>
      <c r="F864" s="566"/>
      <c r="G864" s="567" t="s">
        <v>1806</v>
      </c>
      <c r="H864" s="567" t="s">
        <v>335</v>
      </c>
      <c r="I864" s="239" t="str">
        <f>IF(ISBLANK(regional!I477),"",regional!I477)</f>
        <v/>
      </c>
      <c r="J864" s="228"/>
      <c r="K864" s="262">
        <v>0</v>
      </c>
      <c r="L864" s="262">
        <v>9.9999999999999995E-21</v>
      </c>
      <c r="M864" s="262">
        <v>0</v>
      </c>
      <c r="N864" s="262">
        <v>0</v>
      </c>
      <c r="O864" s="262" t="s">
        <v>4241</v>
      </c>
    </row>
    <row r="865" spans="1:15" ht="12.75" customHeight="1" x14ac:dyDescent="0.3">
      <c r="A865" s="566" t="s">
        <v>1807</v>
      </c>
      <c r="B865" s="566"/>
      <c r="C865" s="566"/>
      <c r="D865" s="566"/>
      <c r="E865" s="566"/>
      <c r="F865" s="566"/>
      <c r="G865" s="567" t="s">
        <v>1808</v>
      </c>
      <c r="H865" s="567" t="s">
        <v>335</v>
      </c>
      <c r="I865" s="239" t="str">
        <f>IF(ISBLANK(regional!I478),"",regional!I478)</f>
        <v/>
      </c>
      <c r="J865" s="411"/>
      <c r="K865" s="262" t="s">
        <v>4241</v>
      </c>
      <c r="L865" s="262">
        <v>9.9999999999999995E-21</v>
      </c>
      <c r="M865" s="262" t="s">
        <v>4241</v>
      </c>
      <c r="N865" s="262" t="s">
        <v>4241</v>
      </c>
      <c r="O865" s="262" t="s">
        <v>4241</v>
      </c>
    </row>
    <row r="866" spans="1:15" ht="12.75" customHeight="1" x14ac:dyDescent="0.3">
      <c r="A866" s="566" t="s">
        <v>1809</v>
      </c>
      <c r="B866" s="566"/>
      <c r="C866" s="566"/>
      <c r="D866" s="566"/>
      <c r="E866" s="566"/>
      <c r="F866" s="566"/>
      <c r="G866" s="567" t="s">
        <v>1810</v>
      </c>
      <c r="H866" s="567" t="s">
        <v>335</v>
      </c>
      <c r="I866" s="239" t="str">
        <f>IF(ISBLANK(regional!I479),"",regional!I479)</f>
        <v/>
      </c>
      <c r="J866" s="228"/>
      <c r="K866" s="262">
        <v>0</v>
      </c>
      <c r="L866" s="262">
        <v>9.9999999999999995E-21</v>
      </c>
      <c r="M866" s="262">
        <v>0</v>
      </c>
      <c r="N866" s="262">
        <v>0</v>
      </c>
      <c r="O866" s="262" t="s">
        <v>4241</v>
      </c>
    </row>
    <row r="867" spans="1:15" ht="12.75" customHeight="1" x14ac:dyDescent="0.3">
      <c r="A867" s="566" t="s">
        <v>1811</v>
      </c>
      <c r="B867" s="566"/>
      <c r="C867" s="566"/>
      <c r="D867" s="566"/>
      <c r="E867" s="566"/>
      <c r="F867" s="566"/>
      <c r="G867" s="567" t="s">
        <v>1812</v>
      </c>
      <c r="H867" s="567" t="s">
        <v>335</v>
      </c>
      <c r="I867" s="239" t="str">
        <f>IF(ISBLANK(regional!I480),"",regional!I480)</f>
        <v/>
      </c>
      <c r="K867" s="262">
        <v>0</v>
      </c>
      <c r="L867" s="262">
        <v>9.9999999999999995E-21</v>
      </c>
      <c r="M867" s="262">
        <v>0</v>
      </c>
      <c r="N867" s="262">
        <v>0</v>
      </c>
      <c r="O867" s="262" t="s">
        <v>4241</v>
      </c>
    </row>
    <row r="868" spans="1:15" ht="12.75" customHeight="1" x14ac:dyDescent="0.3">
      <c r="A868" s="566" t="s">
        <v>1813</v>
      </c>
      <c r="B868" s="566"/>
      <c r="C868" s="566"/>
      <c r="D868" s="566"/>
      <c r="E868" s="566"/>
      <c r="F868" s="566"/>
      <c r="G868" s="567" t="s">
        <v>1814</v>
      </c>
      <c r="H868" s="567" t="s">
        <v>335</v>
      </c>
      <c r="I868" s="239" t="str">
        <f>IF(ISBLANK(regional!I481),"",regional!I481)</f>
        <v/>
      </c>
      <c r="K868" s="262" t="s">
        <v>4241</v>
      </c>
      <c r="L868" s="262">
        <v>9.9999999999999995E-21</v>
      </c>
      <c r="M868" s="262" t="s">
        <v>4241</v>
      </c>
      <c r="N868" s="262" t="s">
        <v>4241</v>
      </c>
      <c r="O868" s="262" t="s">
        <v>4241</v>
      </c>
    </row>
    <row r="869" spans="1:15" ht="12.75" customHeight="1" x14ac:dyDescent="0.3">
      <c r="A869" s="566" t="s">
        <v>1815</v>
      </c>
      <c r="B869" s="566"/>
      <c r="C869" s="566"/>
      <c r="D869" s="566"/>
      <c r="E869" s="566"/>
      <c r="F869" s="566"/>
      <c r="G869" s="567" t="s">
        <v>1816</v>
      </c>
      <c r="H869" s="567" t="s">
        <v>335</v>
      </c>
      <c r="I869" s="239" t="str">
        <f>IF(ISBLANK(regional!I482),"",regional!I482)</f>
        <v/>
      </c>
      <c r="K869" s="262">
        <v>0</v>
      </c>
      <c r="L869" s="262">
        <v>9.9999999999999995E-21</v>
      </c>
      <c r="M869" s="262">
        <v>0</v>
      </c>
      <c r="N869" s="262">
        <v>0</v>
      </c>
      <c r="O869" s="262" t="s">
        <v>4241</v>
      </c>
    </row>
    <row r="870" spans="1:15" ht="12.75" customHeight="1" x14ac:dyDescent="0.3">
      <c r="A870" s="566" t="s">
        <v>1817</v>
      </c>
      <c r="B870" s="566"/>
      <c r="C870" s="566"/>
      <c r="D870" s="566"/>
      <c r="E870" s="566"/>
      <c r="F870" s="566"/>
      <c r="G870" s="567" t="s">
        <v>1818</v>
      </c>
      <c r="H870" s="567" t="s">
        <v>335</v>
      </c>
      <c r="I870" s="239" t="str">
        <f>IF(ISBLANK(regional!I483),"",regional!I483)</f>
        <v/>
      </c>
      <c r="K870" s="262">
        <v>0</v>
      </c>
      <c r="L870" s="262">
        <v>9.9999999999999995E-21</v>
      </c>
      <c r="M870" s="262">
        <v>0</v>
      </c>
      <c r="N870" s="262">
        <v>0</v>
      </c>
      <c r="O870" s="262" t="s">
        <v>4241</v>
      </c>
    </row>
    <row r="871" spans="1:15" ht="12.75" customHeight="1" x14ac:dyDescent="0.3">
      <c r="A871" s="566" t="s">
        <v>1819</v>
      </c>
      <c r="B871" s="566"/>
      <c r="C871" s="566"/>
      <c r="D871" s="566"/>
      <c r="E871" s="566"/>
      <c r="F871" s="566"/>
      <c r="G871" s="567" t="s">
        <v>1820</v>
      </c>
      <c r="H871" s="567" t="s">
        <v>335</v>
      </c>
      <c r="I871" s="239" t="str">
        <f>IF(ISBLANK(regional!I484),"",regional!I484)</f>
        <v/>
      </c>
      <c r="K871" s="262" t="s">
        <v>4241</v>
      </c>
      <c r="L871" s="262">
        <v>9.9999999999999995E-21</v>
      </c>
      <c r="M871" s="262" t="s">
        <v>4241</v>
      </c>
      <c r="N871" s="262" t="s">
        <v>4241</v>
      </c>
      <c r="O871" s="262" t="s">
        <v>4241</v>
      </c>
    </row>
    <row r="872" spans="1:15" ht="12.75" customHeight="1" x14ac:dyDescent="0.3">
      <c r="A872" s="566" t="s">
        <v>1821</v>
      </c>
      <c r="B872" s="566"/>
      <c r="C872" s="566"/>
      <c r="D872" s="566"/>
      <c r="E872" s="566"/>
      <c r="F872" s="566"/>
      <c r="G872" s="567" t="s">
        <v>1822</v>
      </c>
      <c r="H872" s="567" t="s">
        <v>335</v>
      </c>
      <c r="I872" s="239" t="str">
        <f>IF(ISBLANK(regional!I485),"",regional!I485)</f>
        <v/>
      </c>
      <c r="K872" s="262">
        <v>0</v>
      </c>
      <c r="L872" s="262">
        <v>9.9999999999999995E-21</v>
      </c>
      <c r="M872" s="262">
        <v>0</v>
      </c>
      <c r="N872" s="262">
        <v>0</v>
      </c>
      <c r="O872" s="262" t="s">
        <v>4241</v>
      </c>
    </row>
    <row r="873" spans="1:15" ht="12.75" customHeight="1" x14ac:dyDescent="0.3">
      <c r="A873" s="582" t="s">
        <v>1823</v>
      </c>
      <c r="B873" s="582"/>
      <c r="C873" s="582"/>
      <c r="D873" s="582"/>
      <c r="E873" s="582"/>
      <c r="F873" s="582"/>
      <c r="G873" s="581" t="s">
        <v>1824</v>
      </c>
      <c r="H873" s="581" t="s">
        <v>335</v>
      </c>
      <c r="I873" s="239" t="str">
        <f>IF(ISBLANK(regional!I486),"",regional!I486)</f>
        <v/>
      </c>
      <c r="K873" s="262" t="s">
        <v>4241</v>
      </c>
      <c r="O873" s="262" t="s">
        <v>4241</v>
      </c>
    </row>
    <row r="874" spans="1:15" ht="12.75" customHeight="1" x14ac:dyDescent="0.3">
      <c r="A874" s="566" t="s">
        <v>1825</v>
      </c>
      <c r="B874" s="566"/>
      <c r="C874" s="566"/>
      <c r="D874" s="566"/>
      <c r="E874" s="566"/>
      <c r="F874" s="566"/>
      <c r="G874" s="567" t="s">
        <v>1826</v>
      </c>
      <c r="H874" s="567" t="s">
        <v>335</v>
      </c>
      <c r="I874" s="239" t="str">
        <f>IF(ISBLANK(regional!I487),"",regional!I487)</f>
        <v/>
      </c>
      <c r="K874" s="262" t="s">
        <v>4241</v>
      </c>
      <c r="O874" s="262" t="s">
        <v>4241</v>
      </c>
    </row>
    <row r="875" spans="1:15" ht="12.75" customHeight="1" x14ac:dyDescent="0.3">
      <c r="A875" s="566" t="s">
        <v>1827</v>
      </c>
      <c r="B875" s="566"/>
      <c r="C875" s="566"/>
      <c r="D875" s="566"/>
      <c r="E875" s="566"/>
      <c r="F875" s="566"/>
      <c r="G875" s="567" t="s">
        <v>1828</v>
      </c>
      <c r="H875" s="567" t="s">
        <v>335</v>
      </c>
      <c r="I875" s="239" t="str">
        <f>IF(ISBLANK(regional!I488),"",regional!I488)</f>
        <v/>
      </c>
      <c r="K875" s="262" t="s">
        <v>4241</v>
      </c>
      <c r="O875" s="262" t="s">
        <v>4241</v>
      </c>
    </row>
    <row r="876" spans="1:15" ht="12.75" customHeight="1" x14ac:dyDescent="0.3">
      <c r="A876" s="566" t="s">
        <v>1829</v>
      </c>
      <c r="B876" s="566"/>
      <c r="C876" s="566"/>
      <c r="D876" s="566"/>
      <c r="E876" s="566"/>
      <c r="F876" s="566"/>
      <c r="G876" s="567" t="s">
        <v>1830</v>
      </c>
      <c r="H876" s="567" t="s">
        <v>335</v>
      </c>
      <c r="I876" s="239" t="str">
        <f>IF(ISBLANK(regional!I489),"",regional!I489)</f>
        <v/>
      </c>
      <c r="K876" s="262" t="s">
        <v>4241</v>
      </c>
      <c r="O876" s="262" t="s">
        <v>4241</v>
      </c>
    </row>
    <row r="877" spans="1:15" ht="12.75" customHeight="1" x14ac:dyDescent="0.3">
      <c r="A877" s="566" t="s">
        <v>1831</v>
      </c>
      <c r="B877" s="566"/>
      <c r="C877" s="566"/>
      <c r="D877" s="566"/>
      <c r="E877" s="566"/>
      <c r="F877" s="566"/>
      <c r="G877" s="567" t="s">
        <v>1832</v>
      </c>
      <c r="H877" s="567" t="s">
        <v>335</v>
      </c>
      <c r="I877" s="239" t="str">
        <f>IF(ISBLANK(regional!I490),"",regional!I490)</f>
        <v/>
      </c>
      <c r="K877" s="262" t="s">
        <v>4241</v>
      </c>
      <c r="O877" s="262" t="s">
        <v>4241</v>
      </c>
    </row>
    <row r="878" spans="1:15" ht="12.75" customHeight="1" x14ac:dyDescent="0.3">
      <c r="A878" s="566" t="s">
        <v>1833</v>
      </c>
      <c r="B878" s="566"/>
      <c r="C878" s="566"/>
      <c r="D878" s="566"/>
      <c r="E878" s="566"/>
      <c r="F878" s="566"/>
      <c r="G878" s="567" t="s">
        <v>1834</v>
      </c>
      <c r="H878" s="567" t="s">
        <v>335</v>
      </c>
      <c r="I878" s="239" t="str">
        <f>IF(ISBLANK(regional!I491),"",regional!I491)</f>
        <v/>
      </c>
      <c r="K878" s="262" t="s">
        <v>4241</v>
      </c>
      <c r="O878" s="262" t="s">
        <v>4241</v>
      </c>
    </row>
    <row r="879" spans="1:15" ht="12.75" customHeight="1" x14ac:dyDescent="0.3">
      <c r="A879" s="566" t="s">
        <v>1835</v>
      </c>
      <c r="B879" s="566"/>
      <c r="C879" s="566"/>
      <c r="D879" s="566"/>
      <c r="E879" s="566"/>
      <c r="F879" s="566"/>
      <c r="G879" s="567" t="s">
        <v>1836</v>
      </c>
      <c r="H879" s="567" t="s">
        <v>335</v>
      </c>
      <c r="I879" s="239" t="str">
        <f>IF(ISBLANK(regional!I492),"",regional!I492)</f>
        <v/>
      </c>
      <c r="K879" s="262" t="s">
        <v>4241</v>
      </c>
      <c r="O879" s="262" t="s">
        <v>4241</v>
      </c>
    </row>
    <row r="880" spans="1:15" ht="12.75" customHeight="1" x14ac:dyDescent="0.3">
      <c r="A880" s="566" t="s">
        <v>1837</v>
      </c>
      <c r="B880" s="566"/>
      <c r="C880" s="566"/>
      <c r="D880" s="566"/>
      <c r="E880" s="566"/>
      <c r="F880" s="566"/>
      <c r="G880" s="567" t="s">
        <v>1838</v>
      </c>
      <c r="H880" s="567" t="s">
        <v>335</v>
      </c>
      <c r="I880" s="239" t="str">
        <f>IF(ISBLANK(regional!I493),"",regional!I493)</f>
        <v/>
      </c>
      <c r="K880" s="262" t="s">
        <v>4241</v>
      </c>
      <c r="O880" s="262" t="s">
        <v>4241</v>
      </c>
    </row>
    <row r="881" spans="1:15" ht="12.75" customHeight="1" x14ac:dyDescent="0.3">
      <c r="A881" s="566" t="s">
        <v>1839</v>
      </c>
      <c r="B881" s="566"/>
      <c r="C881" s="566"/>
      <c r="D881" s="566"/>
      <c r="E881" s="566"/>
      <c r="F881" s="566"/>
      <c r="G881" s="567" t="s">
        <v>1840</v>
      </c>
      <c r="H881" s="567" t="s">
        <v>335</v>
      </c>
      <c r="I881" s="239" t="str">
        <f>IF(ISBLANK(regional!I494),"",regional!I494)</f>
        <v/>
      </c>
      <c r="K881" s="262" t="s">
        <v>4241</v>
      </c>
      <c r="O881" s="262" t="s">
        <v>4241</v>
      </c>
    </row>
    <row r="882" spans="1:15" ht="12.75" customHeight="1" x14ac:dyDescent="0.3">
      <c r="A882" s="582" t="s">
        <v>1841</v>
      </c>
      <c r="B882" s="582"/>
      <c r="C882" s="582"/>
      <c r="D882" s="582"/>
      <c r="E882" s="582"/>
      <c r="F882" s="582"/>
      <c r="G882" s="581" t="s">
        <v>1842</v>
      </c>
      <c r="H882" s="581" t="s">
        <v>335</v>
      </c>
      <c r="I882" s="239" t="str">
        <f>IF(ISBLANK(regional!I495),"",regional!I495)</f>
        <v/>
      </c>
      <c r="K882" s="262" t="s">
        <v>4241</v>
      </c>
      <c r="O882" s="262" t="s">
        <v>4241</v>
      </c>
    </row>
    <row r="883" spans="1:15" ht="12.75" customHeight="1" x14ac:dyDescent="0.3">
      <c r="A883" s="566" t="s">
        <v>1844</v>
      </c>
      <c r="B883" s="566"/>
      <c r="C883" s="566"/>
      <c r="D883" s="566"/>
      <c r="E883" s="566"/>
      <c r="F883" s="566"/>
      <c r="G883" s="567" t="s">
        <v>1845</v>
      </c>
      <c r="H883" s="567" t="s">
        <v>335</v>
      </c>
      <c r="I883" s="239" t="str">
        <f>IF(ISBLANK(regional!I496),"",regional!I496)</f>
        <v/>
      </c>
      <c r="K883" s="262" t="s">
        <v>4241</v>
      </c>
      <c r="O883" s="262" t="s">
        <v>4241</v>
      </c>
    </row>
    <row r="884" spans="1:15" ht="12.75" customHeight="1" x14ac:dyDescent="0.3">
      <c r="A884" s="566" t="s">
        <v>1846</v>
      </c>
      <c r="B884" s="566"/>
      <c r="C884" s="566"/>
      <c r="D884" s="566"/>
      <c r="E884" s="566"/>
      <c r="F884" s="566"/>
      <c r="G884" s="567" t="s">
        <v>1847</v>
      </c>
      <c r="H884" s="567" t="s">
        <v>335</v>
      </c>
      <c r="I884" s="239" t="str">
        <f>IF(ISBLANK(regional!I497),"",regional!I497)</f>
        <v/>
      </c>
      <c r="K884" s="262" t="s">
        <v>4241</v>
      </c>
      <c r="O884" s="262" t="s">
        <v>4241</v>
      </c>
    </row>
    <row r="885" spans="1:15" ht="12.75" customHeight="1" x14ac:dyDescent="0.3">
      <c r="A885" s="566" t="s">
        <v>1848</v>
      </c>
      <c r="B885" s="566"/>
      <c r="C885" s="566"/>
      <c r="D885" s="566"/>
      <c r="E885" s="566"/>
      <c r="F885" s="566"/>
      <c r="G885" s="567" t="s">
        <v>1849</v>
      </c>
      <c r="H885" s="567" t="s">
        <v>335</v>
      </c>
      <c r="I885" s="239" t="str">
        <f>IF(ISBLANK(regional!I498),"",regional!I498)</f>
        <v/>
      </c>
      <c r="K885" s="262" t="s">
        <v>4241</v>
      </c>
      <c r="O885" s="262" t="s">
        <v>4241</v>
      </c>
    </row>
    <row r="886" spans="1:15" ht="12.75" customHeight="1" x14ac:dyDescent="0.3">
      <c r="A886" s="566" t="s">
        <v>1850</v>
      </c>
      <c r="B886" s="566"/>
      <c r="C886" s="566"/>
      <c r="D886" s="566"/>
      <c r="E886" s="566"/>
      <c r="F886" s="566"/>
      <c r="G886" s="567" t="s">
        <v>1851</v>
      </c>
      <c r="H886" s="567" t="s">
        <v>335</v>
      </c>
      <c r="I886" s="239" t="str">
        <f>IF(ISBLANK(regional!I499),"",regional!I499)</f>
        <v/>
      </c>
      <c r="K886" s="262" t="s">
        <v>4241</v>
      </c>
      <c r="O886" s="262" t="s">
        <v>4241</v>
      </c>
    </row>
    <row r="887" spans="1:15" ht="12.75" customHeight="1" x14ac:dyDescent="0.3">
      <c r="A887" s="566" t="s">
        <v>1852</v>
      </c>
      <c r="B887" s="566"/>
      <c r="C887" s="566"/>
      <c r="D887" s="566"/>
      <c r="E887" s="566"/>
      <c r="F887" s="566"/>
      <c r="G887" s="567" t="s">
        <v>1853</v>
      </c>
      <c r="H887" s="567" t="s">
        <v>335</v>
      </c>
      <c r="I887" s="239" t="str">
        <f>IF(ISBLANK(regional!I500),"",regional!I500)</f>
        <v/>
      </c>
      <c r="K887" s="262" t="s">
        <v>4241</v>
      </c>
      <c r="O887" s="262" t="s">
        <v>4241</v>
      </c>
    </row>
    <row r="888" spans="1:15" ht="12.75" customHeight="1" x14ac:dyDescent="0.3">
      <c r="A888" s="566" t="s">
        <v>1854</v>
      </c>
      <c r="B888" s="566"/>
      <c r="C888" s="566"/>
      <c r="D888" s="566"/>
      <c r="E888" s="566"/>
      <c r="F888" s="566"/>
      <c r="G888" s="567" t="s">
        <v>1855</v>
      </c>
      <c r="H888" s="567" t="s">
        <v>335</v>
      </c>
      <c r="I888" s="239" t="str">
        <f>IF(ISBLANK(regional!I501),"",regional!I501)</f>
        <v/>
      </c>
      <c r="K888" s="262" t="s">
        <v>4241</v>
      </c>
      <c r="O888" s="262" t="s">
        <v>4241</v>
      </c>
    </row>
    <row r="889" spans="1:15" ht="12.75" customHeight="1" x14ac:dyDescent="0.3">
      <c r="A889" s="566" t="s">
        <v>1856</v>
      </c>
      <c r="B889" s="566"/>
      <c r="C889" s="566"/>
      <c r="D889" s="566"/>
      <c r="E889" s="566"/>
      <c r="F889" s="566"/>
      <c r="G889" s="567" t="s">
        <v>1857</v>
      </c>
      <c r="H889" s="567" t="s">
        <v>335</v>
      </c>
      <c r="I889" s="239" t="str">
        <f>IF(ISBLANK(regional!I502),"",regional!I502)</f>
        <v/>
      </c>
      <c r="K889" s="262" t="s">
        <v>4241</v>
      </c>
      <c r="O889" s="262" t="s">
        <v>4241</v>
      </c>
    </row>
    <row r="890" spans="1:15" ht="12.75" customHeight="1" x14ac:dyDescent="0.3">
      <c r="A890" s="598" t="s">
        <v>1858</v>
      </c>
      <c r="B890" s="598"/>
      <c r="C890" s="598"/>
      <c r="D890" s="598"/>
      <c r="E890" s="598"/>
      <c r="F890" s="598"/>
      <c r="G890" s="601" t="s">
        <v>1859</v>
      </c>
      <c r="H890" s="601" t="s">
        <v>335</v>
      </c>
      <c r="I890" s="239" t="str">
        <f>IF(ISBLANK(regional!I503),"",regional!I503)</f>
        <v/>
      </c>
      <c r="K890" s="262" t="s">
        <v>4241</v>
      </c>
      <c r="O890" s="262" t="s">
        <v>4241</v>
      </c>
    </row>
    <row r="891" spans="1:15" ht="12.75" customHeight="1" x14ac:dyDescent="0.3">
      <c r="A891" s="582" t="s">
        <v>1860</v>
      </c>
      <c r="B891" s="582"/>
      <c r="C891" s="582"/>
      <c r="D891" s="582"/>
      <c r="E891" s="582"/>
      <c r="F891" s="582"/>
      <c r="G891" s="581" t="s">
        <v>4739</v>
      </c>
      <c r="H891" s="567" t="s">
        <v>335</v>
      </c>
      <c r="I891" s="239" t="str">
        <f>IF(ISBLANK(regional!I504),"",regional!I504)</f>
        <v/>
      </c>
    </row>
    <row r="892" spans="1:15" ht="12.75" customHeight="1" x14ac:dyDescent="0.3">
      <c r="A892" s="566" t="s">
        <v>1863</v>
      </c>
      <c r="B892" s="566"/>
      <c r="C892" s="566"/>
      <c r="D892" s="566"/>
      <c r="E892" s="566"/>
      <c r="F892" s="566"/>
      <c r="G892" s="567" t="s">
        <v>4740</v>
      </c>
      <c r="H892" s="567" t="s">
        <v>335</v>
      </c>
      <c r="I892" s="239" t="str">
        <f>IF(ISBLANK(regional!I505),"",regional!I505)</f>
        <v/>
      </c>
    </row>
    <row r="893" spans="1:15" ht="12.75" customHeight="1" x14ac:dyDescent="0.3">
      <c r="A893" s="566" t="s">
        <v>1865</v>
      </c>
      <c r="B893" s="566"/>
      <c r="C893" s="566"/>
      <c r="D893" s="566"/>
      <c r="E893" s="566"/>
      <c r="F893" s="566"/>
      <c r="G893" s="567" t="s">
        <v>4741</v>
      </c>
      <c r="H893" s="567" t="s">
        <v>335</v>
      </c>
      <c r="I893" s="239" t="str">
        <f>IF(ISBLANK(regional!I506),"",regional!I506)</f>
        <v/>
      </c>
    </row>
    <row r="894" spans="1:15" ht="12.75" customHeight="1" x14ac:dyDescent="0.3">
      <c r="A894" s="566" t="s">
        <v>1867</v>
      </c>
      <c r="B894" s="566"/>
      <c r="C894" s="566"/>
      <c r="D894" s="566"/>
      <c r="E894" s="566"/>
      <c r="F894" s="566"/>
      <c r="G894" s="567" t="s">
        <v>4742</v>
      </c>
      <c r="H894" s="567" t="s">
        <v>335</v>
      </c>
      <c r="I894" s="239" t="str">
        <f>IF(ISBLANK(regional!I507),"",regional!I507)</f>
        <v/>
      </c>
    </row>
    <row r="895" spans="1:15" ht="12.75" customHeight="1" x14ac:dyDescent="0.3">
      <c r="A895" s="566" t="s">
        <v>1869</v>
      </c>
      <c r="B895" s="566"/>
      <c r="C895" s="566"/>
      <c r="D895" s="566"/>
      <c r="E895" s="566"/>
      <c r="F895" s="566"/>
      <c r="G895" s="567" t="s">
        <v>4743</v>
      </c>
      <c r="H895" s="567" t="s">
        <v>335</v>
      </c>
      <c r="I895" s="239" t="str">
        <f>IF(ISBLANK(regional!I508),"",regional!I508)</f>
        <v/>
      </c>
    </row>
    <row r="896" spans="1:15" ht="12.75" customHeight="1" x14ac:dyDescent="0.3">
      <c r="A896" s="566" t="s">
        <v>1871</v>
      </c>
      <c r="B896" s="566"/>
      <c r="C896" s="566"/>
      <c r="D896" s="566"/>
      <c r="E896" s="566"/>
      <c r="F896" s="566"/>
      <c r="G896" s="567" t="s">
        <v>4744</v>
      </c>
      <c r="H896" s="567" t="s">
        <v>335</v>
      </c>
      <c r="I896" s="239" t="str">
        <f>IF(ISBLANK(regional!I509),"",regional!I509)</f>
        <v/>
      </c>
    </row>
    <row r="897" spans="1:15" ht="12.75" customHeight="1" x14ac:dyDescent="0.3">
      <c r="A897" s="566" t="s">
        <v>1873</v>
      </c>
      <c r="B897" s="566"/>
      <c r="C897" s="566"/>
      <c r="D897" s="566"/>
      <c r="E897" s="566"/>
      <c r="F897" s="566"/>
      <c r="G897" s="567" t="s">
        <v>4745</v>
      </c>
      <c r="H897" s="567" t="s">
        <v>335</v>
      </c>
      <c r="I897" s="239" t="str">
        <f>IF(ISBLANK(regional!I510),"",regional!I510)</f>
        <v/>
      </c>
    </row>
    <row r="898" spans="1:15" ht="12.75" customHeight="1" x14ac:dyDescent="0.3">
      <c r="A898" s="566" t="s">
        <v>1876</v>
      </c>
      <c r="B898" s="566"/>
      <c r="C898" s="566"/>
      <c r="D898" s="566"/>
      <c r="E898" s="566"/>
      <c r="F898" s="566"/>
      <c r="G898" s="567" t="s">
        <v>4746</v>
      </c>
      <c r="H898" s="567" t="s">
        <v>335</v>
      </c>
      <c r="I898" s="239" t="str">
        <f>IF(ISBLANK(regional!I511),"",regional!I511)</f>
        <v/>
      </c>
    </row>
    <row r="899" spans="1:15" ht="12.75" customHeight="1" x14ac:dyDescent="0.3">
      <c r="A899" s="598" t="s">
        <v>1878</v>
      </c>
      <c r="B899" s="598"/>
      <c r="C899" s="598"/>
      <c r="D899" s="598"/>
      <c r="E899" s="598"/>
      <c r="F899" s="598"/>
      <c r="G899" s="601" t="s">
        <v>4747</v>
      </c>
      <c r="H899" s="601" t="s">
        <v>335</v>
      </c>
      <c r="I899" s="239" t="str">
        <f>IF(ISBLANK(regional!I512),"",regional!I512)</f>
        <v/>
      </c>
    </row>
    <row r="900" spans="1:15" ht="12.75" customHeight="1" x14ac:dyDescent="0.3">
      <c r="A900" s="582" t="s">
        <v>1860</v>
      </c>
      <c r="B900" s="582"/>
      <c r="C900" s="582"/>
      <c r="D900" s="582"/>
      <c r="E900" s="582"/>
      <c r="F900" s="582"/>
      <c r="G900" s="581" t="s">
        <v>1861</v>
      </c>
      <c r="H900" s="567" t="s">
        <v>335</v>
      </c>
      <c r="I900" s="239" t="str">
        <f>IF(ISBLANK(regional!I513),"",regional!I513)</f>
        <v/>
      </c>
      <c r="K900" s="262" t="s">
        <v>4241</v>
      </c>
      <c r="O900" s="262" t="s">
        <v>4241</v>
      </c>
    </row>
    <row r="901" spans="1:15" ht="12.75" customHeight="1" x14ac:dyDescent="0.3">
      <c r="A901" s="566" t="s">
        <v>1863</v>
      </c>
      <c r="B901" s="566"/>
      <c r="C901" s="566"/>
      <c r="D901" s="566"/>
      <c r="E901" s="566"/>
      <c r="F901" s="566"/>
      <c r="G901" s="567" t="s">
        <v>1864</v>
      </c>
      <c r="H901" s="567" t="s">
        <v>335</v>
      </c>
      <c r="I901" s="239" t="str">
        <f>IF(ISBLANK(regional!I514),"",regional!I514)</f>
        <v/>
      </c>
      <c r="K901" s="262" t="s">
        <v>4241</v>
      </c>
      <c r="O901" s="262" t="s">
        <v>4241</v>
      </c>
    </row>
    <row r="902" spans="1:15" ht="12.75" customHeight="1" x14ac:dyDescent="0.3">
      <c r="A902" s="566" t="s">
        <v>1865</v>
      </c>
      <c r="B902" s="566"/>
      <c r="C902" s="566"/>
      <c r="D902" s="566"/>
      <c r="E902" s="566"/>
      <c r="F902" s="566"/>
      <c r="G902" s="567" t="s">
        <v>1866</v>
      </c>
      <c r="H902" s="567" t="s">
        <v>335</v>
      </c>
      <c r="I902" s="239" t="str">
        <f>IF(ISBLANK(regional!I515),"",regional!I515)</f>
        <v/>
      </c>
      <c r="K902" s="262" t="s">
        <v>4241</v>
      </c>
      <c r="O902" s="262" t="s">
        <v>4241</v>
      </c>
    </row>
    <row r="903" spans="1:15" ht="12.75" customHeight="1" x14ac:dyDescent="0.3">
      <c r="A903" s="566" t="s">
        <v>1867</v>
      </c>
      <c r="B903" s="566"/>
      <c r="C903" s="566"/>
      <c r="D903" s="566"/>
      <c r="E903" s="566"/>
      <c r="F903" s="566"/>
      <c r="G903" s="567" t="s">
        <v>1868</v>
      </c>
      <c r="H903" s="567" t="s">
        <v>335</v>
      </c>
      <c r="I903" s="239" t="str">
        <f>IF(ISBLANK(regional!I516),"",regional!I516)</f>
        <v/>
      </c>
      <c r="K903" s="262" t="s">
        <v>4241</v>
      </c>
      <c r="O903" s="262" t="s">
        <v>4241</v>
      </c>
    </row>
    <row r="904" spans="1:15" ht="12.75" customHeight="1" x14ac:dyDescent="0.3">
      <c r="A904" s="566" t="s">
        <v>1869</v>
      </c>
      <c r="B904" s="566"/>
      <c r="C904" s="566"/>
      <c r="D904" s="566"/>
      <c r="E904" s="566"/>
      <c r="F904" s="566"/>
      <c r="G904" s="567" t="s">
        <v>1870</v>
      </c>
      <c r="H904" s="567" t="s">
        <v>335</v>
      </c>
      <c r="I904" s="239" t="str">
        <f>IF(ISBLANK(regional!I517),"",regional!I517)</f>
        <v/>
      </c>
      <c r="J904" s="822"/>
      <c r="K904" s="262" t="s">
        <v>4241</v>
      </c>
      <c r="O904" s="262" t="s">
        <v>4241</v>
      </c>
    </row>
    <row r="905" spans="1:15" ht="12.75" customHeight="1" x14ac:dyDescent="0.3">
      <c r="A905" s="566" t="s">
        <v>1871</v>
      </c>
      <c r="B905" s="566"/>
      <c r="C905" s="566"/>
      <c r="D905" s="566"/>
      <c r="E905" s="566"/>
      <c r="F905" s="566"/>
      <c r="G905" s="567" t="s">
        <v>1872</v>
      </c>
      <c r="H905" s="567" t="s">
        <v>335</v>
      </c>
      <c r="I905" s="239" t="str">
        <f>IF(ISBLANK(regional!I518),"",regional!I518)</f>
        <v/>
      </c>
      <c r="K905" s="262" t="s">
        <v>4241</v>
      </c>
      <c r="O905" s="262" t="s">
        <v>4241</v>
      </c>
    </row>
    <row r="906" spans="1:15" ht="12.75" customHeight="1" x14ac:dyDescent="0.3">
      <c r="A906" s="566" t="s">
        <v>1873</v>
      </c>
      <c r="B906" s="566"/>
      <c r="C906" s="566"/>
      <c r="D906" s="566"/>
      <c r="E906" s="566"/>
      <c r="F906" s="566"/>
      <c r="G906" s="567" t="s">
        <v>1874</v>
      </c>
      <c r="H906" s="567" t="s">
        <v>335</v>
      </c>
      <c r="I906" s="239" t="str">
        <f>IF(ISBLANK(regional!I519),"",regional!I519)</f>
        <v/>
      </c>
      <c r="K906" s="262" t="s">
        <v>4241</v>
      </c>
      <c r="O906" s="262" t="s">
        <v>4241</v>
      </c>
    </row>
    <row r="907" spans="1:15" ht="12.75" customHeight="1" x14ac:dyDescent="0.3">
      <c r="A907" s="566" t="s">
        <v>1876</v>
      </c>
      <c r="B907" s="566"/>
      <c r="C907" s="566"/>
      <c r="D907" s="566"/>
      <c r="E907" s="566"/>
      <c r="F907" s="566"/>
      <c r="G907" s="567" t="s">
        <v>1877</v>
      </c>
      <c r="H907" s="567" t="s">
        <v>335</v>
      </c>
      <c r="I907" s="239" t="str">
        <f>IF(ISBLANK(regional!I520),"",regional!I520)</f>
        <v/>
      </c>
      <c r="K907" s="262" t="s">
        <v>4241</v>
      </c>
      <c r="O907" s="262" t="s">
        <v>4241</v>
      </c>
    </row>
    <row r="908" spans="1:15" ht="12.75" customHeight="1" x14ac:dyDescent="0.3">
      <c r="A908" s="598" t="s">
        <v>1878</v>
      </c>
      <c r="B908" s="598"/>
      <c r="C908" s="598"/>
      <c r="D908" s="598"/>
      <c r="E908" s="598"/>
      <c r="F908" s="598"/>
      <c r="G908" s="601" t="s">
        <v>1879</v>
      </c>
      <c r="H908" s="601" t="s">
        <v>335</v>
      </c>
      <c r="I908" s="239" t="str">
        <f>IF(ISBLANK(regional!I521),"",regional!I521)</f>
        <v/>
      </c>
      <c r="K908" s="262" t="s">
        <v>4241</v>
      </c>
      <c r="O908" s="262" t="s">
        <v>4241</v>
      </c>
    </row>
    <row r="909" spans="1:15" ht="12.75" customHeight="1" x14ac:dyDescent="0.3">
      <c r="A909" s="487"/>
      <c r="B909" s="487"/>
      <c r="C909" s="487"/>
      <c r="D909" s="487"/>
      <c r="E909" s="487"/>
      <c r="F909" s="487"/>
      <c r="G909" s="650"/>
      <c r="H909" s="650"/>
      <c r="I909" s="239" t="str">
        <f>IF(ISBLANK(regional!I522),"",regional!I522)</f>
        <v/>
      </c>
      <c r="K909" s="262" t="s">
        <v>4241</v>
      </c>
      <c r="O909" s="262" t="s">
        <v>4241</v>
      </c>
    </row>
    <row r="910" spans="1:15" ht="12.75" customHeight="1" x14ac:dyDescent="0.3">
      <c r="A910" s="632" t="s">
        <v>1880</v>
      </c>
      <c r="B910" s="633"/>
      <c r="C910" s="633"/>
      <c r="D910" s="633"/>
      <c r="E910" s="633"/>
      <c r="F910" s="633"/>
      <c r="G910" s="632" t="s">
        <v>258</v>
      </c>
      <c r="H910" s="632" t="s">
        <v>274</v>
      </c>
      <c r="I910" s="239" t="str">
        <f>IF(ISBLANK(regional!I523),"",regional!I523)</f>
        <v>User input</v>
      </c>
      <c r="K910" s="262" t="s">
        <v>259</v>
      </c>
      <c r="O910" s="262" t="s">
        <v>259</v>
      </c>
    </row>
    <row r="911" spans="1:15" ht="12.75" customHeight="1" x14ac:dyDescent="0.3">
      <c r="A911" s="567" t="s">
        <v>1315</v>
      </c>
      <c r="B911" s="566"/>
      <c r="C911" s="566"/>
      <c r="D911" s="566"/>
      <c r="E911" s="566"/>
      <c r="F911" s="566"/>
      <c r="G911" s="567" t="s">
        <v>1881</v>
      </c>
      <c r="H911" s="567" t="s">
        <v>617</v>
      </c>
      <c r="I911" s="239" t="str">
        <f>IF(ISBLANK(regional!I524),"",regional!I524)</f>
        <v/>
      </c>
      <c r="K911" s="262" t="s">
        <v>4241</v>
      </c>
      <c r="O911" s="262" t="s">
        <v>4241</v>
      </c>
    </row>
    <row r="912" spans="1:15" ht="12.75" customHeight="1" x14ac:dyDescent="0.3">
      <c r="A912" s="567" t="s">
        <v>1315</v>
      </c>
      <c r="B912" s="566"/>
      <c r="C912" s="566"/>
      <c r="D912" s="566"/>
      <c r="E912" s="566"/>
      <c r="F912" s="566"/>
      <c r="G912" s="567" t="s">
        <v>1882</v>
      </c>
      <c r="H912" s="567" t="s">
        <v>617</v>
      </c>
      <c r="I912" s="239" t="str">
        <f>IF(ISBLANK(regional!I525),"",regional!I525)</f>
        <v/>
      </c>
      <c r="K912" s="262" t="s">
        <v>4241</v>
      </c>
      <c r="O912" s="262" t="s">
        <v>4241</v>
      </c>
    </row>
    <row r="913" spans="1:15" ht="12.75" customHeight="1" x14ac:dyDescent="0.3">
      <c r="A913" s="567" t="s">
        <v>1315</v>
      </c>
      <c r="B913" s="566"/>
      <c r="C913" s="566"/>
      <c r="D913" s="566"/>
      <c r="E913" s="566"/>
      <c r="F913" s="566"/>
      <c r="G913" s="567" t="s">
        <v>1883</v>
      </c>
      <c r="H913" s="567" t="s">
        <v>617</v>
      </c>
      <c r="I913" s="239" t="str">
        <f>IF(ISBLANK(regional!I526),"",regional!I526)</f>
        <v/>
      </c>
      <c r="K913" s="262" t="s">
        <v>4241</v>
      </c>
      <c r="O913" s="262" t="s">
        <v>4241</v>
      </c>
    </row>
    <row r="914" spans="1:15" ht="12.75" customHeight="1" x14ac:dyDescent="0.3">
      <c r="A914" s="567" t="s">
        <v>1317</v>
      </c>
      <c r="B914" s="566"/>
      <c r="C914" s="566"/>
      <c r="D914" s="566"/>
      <c r="E914" s="566"/>
      <c r="F914" s="566"/>
      <c r="G914" s="567" t="s">
        <v>1884</v>
      </c>
      <c r="H914" s="567" t="s">
        <v>617</v>
      </c>
      <c r="I914" s="239" t="str">
        <f>IF(ISBLANK(regional!I527),"",regional!I527)</f>
        <v/>
      </c>
      <c r="K914" s="262" t="s">
        <v>4241</v>
      </c>
      <c r="O914" s="262" t="s">
        <v>4241</v>
      </c>
    </row>
    <row r="915" spans="1:15" ht="12.75" customHeight="1" x14ac:dyDescent="0.3">
      <c r="A915" s="567" t="s">
        <v>1317</v>
      </c>
      <c r="B915" s="566"/>
      <c r="C915" s="566"/>
      <c r="D915" s="566"/>
      <c r="E915" s="566"/>
      <c r="F915" s="566"/>
      <c r="G915" s="567" t="s">
        <v>1886</v>
      </c>
      <c r="H915" s="567" t="s">
        <v>617</v>
      </c>
      <c r="I915" s="239" t="str">
        <f>IF(ISBLANK(regional!I528),"",regional!I528)</f>
        <v/>
      </c>
      <c r="K915" s="262" t="s">
        <v>4241</v>
      </c>
      <c r="O915" s="262" t="s">
        <v>4241</v>
      </c>
    </row>
    <row r="916" spans="1:15" ht="12.75" customHeight="1" x14ac:dyDescent="0.3">
      <c r="A916" s="567" t="s">
        <v>1317</v>
      </c>
      <c r="B916" s="566"/>
      <c r="C916" s="566"/>
      <c r="D916" s="566"/>
      <c r="E916" s="566"/>
      <c r="F916" s="566"/>
      <c r="G916" s="567" t="s">
        <v>1887</v>
      </c>
      <c r="H916" s="567" t="s">
        <v>617</v>
      </c>
      <c r="I916" s="239" t="str">
        <f>IF(ISBLANK(regional!I529),"",regional!I529)</f>
        <v/>
      </c>
      <c r="K916" s="262" t="s">
        <v>4241</v>
      </c>
      <c r="O916" s="262" t="s">
        <v>4241</v>
      </c>
    </row>
    <row r="917" spans="1:15" ht="12.75" customHeight="1" x14ac:dyDescent="0.3">
      <c r="A917" s="567" t="s">
        <v>1319</v>
      </c>
      <c r="B917" s="566"/>
      <c r="C917" s="566"/>
      <c r="D917" s="566"/>
      <c r="E917" s="566"/>
      <c r="F917" s="566"/>
      <c r="G917" s="567" t="s">
        <v>1888</v>
      </c>
      <c r="H917" s="567" t="s">
        <v>617</v>
      </c>
      <c r="I917" s="239" t="str">
        <f>IF(ISBLANK(regional!I530),"",regional!I530)</f>
        <v/>
      </c>
      <c r="K917" s="262" t="s">
        <v>4241</v>
      </c>
      <c r="O917" s="262" t="s">
        <v>4241</v>
      </c>
    </row>
    <row r="918" spans="1:15" ht="12.75" customHeight="1" x14ac:dyDescent="0.3">
      <c r="A918" s="567" t="s">
        <v>1319</v>
      </c>
      <c r="B918" s="566"/>
      <c r="C918" s="566"/>
      <c r="D918" s="566"/>
      <c r="E918" s="566"/>
      <c r="F918" s="566"/>
      <c r="G918" s="567" t="s">
        <v>1889</v>
      </c>
      <c r="H918" s="567" t="s">
        <v>617</v>
      </c>
      <c r="I918" s="239" t="str">
        <f>IF(ISBLANK(regional!I531),"",regional!I531)</f>
        <v/>
      </c>
      <c r="J918" s="822"/>
      <c r="K918" s="262" t="s">
        <v>4241</v>
      </c>
      <c r="O918" s="262" t="s">
        <v>4241</v>
      </c>
    </row>
    <row r="919" spans="1:15" ht="12.75" customHeight="1" x14ac:dyDescent="0.3">
      <c r="A919" s="567" t="s">
        <v>1319</v>
      </c>
      <c r="B919" s="566"/>
      <c r="C919" s="566"/>
      <c r="D919" s="566"/>
      <c r="E919" s="566"/>
      <c r="F919" s="566"/>
      <c r="G919" s="567" t="s">
        <v>1890</v>
      </c>
      <c r="H919" s="567" t="s">
        <v>617</v>
      </c>
      <c r="I919" s="239" t="str">
        <f>IF(ISBLANK(regional!I532),"",regional!I532)</f>
        <v/>
      </c>
      <c r="K919" s="262" t="s">
        <v>4241</v>
      </c>
      <c r="O919" s="262" t="s">
        <v>4241</v>
      </c>
    </row>
    <row r="920" spans="1:15" ht="12.75" customHeight="1" x14ac:dyDescent="0.3">
      <c r="A920" s="567" t="s">
        <v>1321</v>
      </c>
      <c r="B920" s="566"/>
      <c r="C920" s="566"/>
      <c r="D920" s="566"/>
      <c r="E920" s="566"/>
      <c r="F920" s="566"/>
      <c r="G920" s="567" t="s">
        <v>1891</v>
      </c>
      <c r="H920" s="567" t="s">
        <v>617</v>
      </c>
      <c r="I920" s="239" t="str">
        <f>IF(ISBLANK(regional!I533),"",regional!I533)</f>
        <v/>
      </c>
      <c r="K920" s="262" t="s">
        <v>4241</v>
      </c>
      <c r="O920" s="262" t="s">
        <v>4241</v>
      </c>
    </row>
    <row r="921" spans="1:15" ht="12.75" customHeight="1" x14ac:dyDescent="0.3">
      <c r="A921" s="567" t="s">
        <v>1321</v>
      </c>
      <c r="B921" s="566"/>
      <c r="C921" s="566"/>
      <c r="D921" s="566"/>
      <c r="E921" s="566"/>
      <c r="F921" s="566"/>
      <c r="G921" s="567" t="s">
        <v>1892</v>
      </c>
      <c r="H921" s="567" t="s">
        <v>617</v>
      </c>
      <c r="I921" s="239" t="str">
        <f>IF(ISBLANK(regional!I534),"",regional!I534)</f>
        <v/>
      </c>
      <c r="K921" s="262" t="s">
        <v>4241</v>
      </c>
      <c r="O921" s="262" t="s">
        <v>4241</v>
      </c>
    </row>
    <row r="922" spans="1:15" ht="12.75" customHeight="1" x14ac:dyDescent="0.3">
      <c r="A922" s="567" t="s">
        <v>1321</v>
      </c>
      <c r="B922" s="566"/>
      <c r="C922" s="566"/>
      <c r="D922" s="566"/>
      <c r="E922" s="566"/>
      <c r="F922" s="566"/>
      <c r="G922" s="567" t="s">
        <v>1893</v>
      </c>
      <c r="H922" s="567" t="s">
        <v>617</v>
      </c>
      <c r="I922" s="239" t="str">
        <f>IF(ISBLANK(regional!I535),"",regional!I535)</f>
        <v/>
      </c>
      <c r="K922" s="262" t="s">
        <v>4241</v>
      </c>
      <c r="O922" s="262" t="s">
        <v>4241</v>
      </c>
    </row>
    <row r="923" spans="1:15" ht="12.75" customHeight="1" x14ac:dyDescent="0.3">
      <c r="A923" s="567" t="s">
        <v>1323</v>
      </c>
      <c r="B923" s="566"/>
      <c r="C923" s="566"/>
      <c r="D923" s="566"/>
      <c r="E923" s="566"/>
      <c r="F923" s="566"/>
      <c r="G923" s="567" t="s">
        <v>1894</v>
      </c>
      <c r="H923" s="567" t="s">
        <v>617</v>
      </c>
      <c r="I923" s="239" t="str">
        <f>IF(ISBLANK(regional!I536),"",regional!I536)</f>
        <v/>
      </c>
      <c r="K923" s="262" t="s">
        <v>4241</v>
      </c>
      <c r="O923" s="262" t="s">
        <v>4241</v>
      </c>
    </row>
    <row r="924" spans="1:15" ht="12.75" customHeight="1" x14ac:dyDescent="0.3">
      <c r="A924" s="567" t="s">
        <v>1323</v>
      </c>
      <c r="B924" s="566"/>
      <c r="C924" s="566"/>
      <c r="D924" s="566"/>
      <c r="E924" s="566"/>
      <c r="F924" s="566"/>
      <c r="G924" s="567" t="s">
        <v>1895</v>
      </c>
      <c r="H924" s="567" t="s">
        <v>617</v>
      </c>
      <c r="I924" s="239" t="str">
        <f>IF(ISBLANK(regional!I537),"",regional!I537)</f>
        <v/>
      </c>
      <c r="K924" s="262" t="s">
        <v>4241</v>
      </c>
      <c r="O924" s="262" t="s">
        <v>4241</v>
      </c>
    </row>
    <row r="925" spans="1:15" ht="12.75" customHeight="1" x14ac:dyDescent="0.3">
      <c r="A925" s="567" t="s">
        <v>1323</v>
      </c>
      <c r="B925" s="566"/>
      <c r="C925" s="566"/>
      <c r="D925" s="566"/>
      <c r="E925" s="566"/>
      <c r="F925" s="566"/>
      <c r="G925" s="567" t="s">
        <v>1896</v>
      </c>
      <c r="H925" s="567" t="s">
        <v>617</v>
      </c>
      <c r="I925" s="239" t="str">
        <f>IF(ISBLANK(regional!I538),"",regional!I538)</f>
        <v/>
      </c>
      <c r="K925" s="262" t="s">
        <v>4241</v>
      </c>
      <c r="O925" s="262" t="s">
        <v>4241</v>
      </c>
    </row>
    <row r="926" spans="1:15" ht="12.75" customHeight="1" x14ac:dyDescent="0.3">
      <c r="A926" s="567" t="s">
        <v>1325</v>
      </c>
      <c r="B926" s="566"/>
      <c r="C926" s="566"/>
      <c r="D926" s="566"/>
      <c r="E926" s="566"/>
      <c r="F926" s="566"/>
      <c r="G926" s="567" t="s">
        <v>1897</v>
      </c>
      <c r="H926" s="567" t="s">
        <v>617</v>
      </c>
      <c r="I926" s="239" t="str">
        <f>IF(ISBLANK(regional!I539),"",regional!I539)</f>
        <v/>
      </c>
      <c r="K926" s="262" t="s">
        <v>4241</v>
      </c>
      <c r="O926" s="262" t="s">
        <v>4241</v>
      </c>
    </row>
    <row r="927" spans="1:15" ht="12.75" customHeight="1" x14ac:dyDescent="0.3">
      <c r="A927" s="567" t="s">
        <v>1325</v>
      </c>
      <c r="B927" s="566"/>
      <c r="C927" s="566"/>
      <c r="D927" s="566"/>
      <c r="E927" s="566"/>
      <c r="F927" s="566"/>
      <c r="G927" s="567" t="s">
        <v>1898</v>
      </c>
      <c r="H927" s="567" t="s">
        <v>617</v>
      </c>
      <c r="I927" s="239" t="str">
        <f>IF(ISBLANK(regional!I540),"",regional!I540)</f>
        <v/>
      </c>
      <c r="J927" s="228"/>
      <c r="K927" s="262" t="s">
        <v>4241</v>
      </c>
      <c r="O927" s="262" t="s">
        <v>4241</v>
      </c>
    </row>
    <row r="928" spans="1:15" ht="12.75" customHeight="1" x14ac:dyDescent="0.3">
      <c r="A928" s="567" t="s">
        <v>1325</v>
      </c>
      <c r="B928" s="566"/>
      <c r="C928" s="566"/>
      <c r="D928" s="566"/>
      <c r="E928" s="566"/>
      <c r="F928" s="566"/>
      <c r="G928" s="567" t="s">
        <v>1899</v>
      </c>
      <c r="H928" s="567" t="s">
        <v>617</v>
      </c>
      <c r="I928" s="239" t="str">
        <f>IF(ISBLANK(regional!I541),"",regional!I541)</f>
        <v/>
      </c>
      <c r="J928" s="411"/>
      <c r="K928" s="262" t="s">
        <v>4241</v>
      </c>
      <c r="O928" s="262" t="s">
        <v>4241</v>
      </c>
    </row>
    <row r="929" spans="1:15" ht="12.75" customHeight="1" x14ac:dyDescent="0.3">
      <c r="A929" s="567" t="s">
        <v>1327</v>
      </c>
      <c r="B929" s="566"/>
      <c r="C929" s="566"/>
      <c r="D929" s="566"/>
      <c r="E929" s="566"/>
      <c r="F929" s="566"/>
      <c r="G929" s="567" t="s">
        <v>1900</v>
      </c>
      <c r="H929" s="567" t="s">
        <v>617</v>
      </c>
      <c r="I929" s="239" t="str">
        <f>IF(ISBLANK(regional!I542),"",regional!I542)</f>
        <v/>
      </c>
      <c r="J929" s="228"/>
      <c r="K929" s="262" t="s">
        <v>4241</v>
      </c>
      <c r="O929" s="262" t="s">
        <v>4241</v>
      </c>
    </row>
    <row r="930" spans="1:15" ht="12.75" customHeight="1" x14ac:dyDescent="0.3">
      <c r="A930" s="567" t="s">
        <v>1327</v>
      </c>
      <c r="B930" s="566"/>
      <c r="C930" s="566"/>
      <c r="D930" s="566"/>
      <c r="E930" s="566"/>
      <c r="F930" s="566"/>
      <c r="G930" s="567" t="s">
        <v>1901</v>
      </c>
      <c r="H930" s="567" t="s">
        <v>617</v>
      </c>
      <c r="I930" s="239" t="str">
        <f>IF(ISBLANK(regional!I543),"",regional!I543)</f>
        <v/>
      </c>
      <c r="K930" s="262" t="s">
        <v>4241</v>
      </c>
      <c r="O930" s="262" t="s">
        <v>4241</v>
      </c>
    </row>
    <row r="931" spans="1:15" ht="12.75" customHeight="1" x14ac:dyDescent="0.3">
      <c r="A931" s="567" t="s">
        <v>1327</v>
      </c>
      <c r="B931" s="566"/>
      <c r="C931" s="566"/>
      <c r="D931" s="566"/>
      <c r="E931" s="566"/>
      <c r="F931" s="566"/>
      <c r="G931" s="567" t="s">
        <v>1902</v>
      </c>
      <c r="H931" s="567" t="s">
        <v>617</v>
      </c>
      <c r="I931" s="239" t="str">
        <f>IF(ISBLANK(regional!I544),"",regional!I544)</f>
        <v/>
      </c>
      <c r="K931" s="262" t="s">
        <v>4241</v>
      </c>
      <c r="O931" s="262" t="s">
        <v>4241</v>
      </c>
    </row>
    <row r="932" spans="1:15" ht="12.75" customHeight="1" x14ac:dyDescent="0.3">
      <c r="A932" s="567" t="s">
        <v>1329</v>
      </c>
      <c r="B932" s="566"/>
      <c r="C932" s="566"/>
      <c r="D932" s="566"/>
      <c r="E932" s="566"/>
      <c r="F932" s="566"/>
      <c r="G932" s="567" t="s">
        <v>1903</v>
      </c>
      <c r="H932" s="567" t="s">
        <v>617</v>
      </c>
      <c r="I932" s="239" t="str">
        <f>IF(ISBLANK(regional!I545),"",regional!I545)</f>
        <v/>
      </c>
      <c r="K932" s="262" t="s">
        <v>4241</v>
      </c>
      <c r="O932" s="262" t="s">
        <v>4241</v>
      </c>
    </row>
    <row r="933" spans="1:15" ht="12.75" customHeight="1" x14ac:dyDescent="0.3">
      <c r="A933" s="567" t="s">
        <v>1329</v>
      </c>
      <c r="B933" s="566"/>
      <c r="C933" s="566"/>
      <c r="D933" s="566"/>
      <c r="E933" s="566"/>
      <c r="F933" s="566"/>
      <c r="G933" s="567" t="s">
        <v>1904</v>
      </c>
      <c r="H933" s="567" t="s">
        <v>617</v>
      </c>
      <c r="I933" s="239" t="str">
        <f>IF(ISBLANK(regional!I546),"",regional!I546)</f>
        <v/>
      </c>
      <c r="K933" s="262" t="s">
        <v>4241</v>
      </c>
      <c r="O933" s="262" t="s">
        <v>4241</v>
      </c>
    </row>
    <row r="934" spans="1:15" ht="12.75" customHeight="1" x14ac:dyDescent="0.3">
      <c r="A934" s="567" t="s">
        <v>1329</v>
      </c>
      <c r="B934" s="566"/>
      <c r="C934" s="566"/>
      <c r="D934" s="566"/>
      <c r="E934" s="566"/>
      <c r="F934" s="566"/>
      <c r="G934" s="567" t="s">
        <v>1905</v>
      </c>
      <c r="H934" s="567" t="s">
        <v>617</v>
      </c>
      <c r="I934" s="239" t="str">
        <f>IF(ISBLANK(regional!I547),"",regional!I547)</f>
        <v/>
      </c>
      <c r="K934" s="262" t="s">
        <v>4241</v>
      </c>
      <c r="O934" s="262" t="s">
        <v>4241</v>
      </c>
    </row>
    <row r="935" spans="1:15" ht="12.75" customHeight="1" x14ac:dyDescent="0.3">
      <c r="A935" s="567" t="s">
        <v>1331</v>
      </c>
      <c r="B935" s="566"/>
      <c r="C935" s="566"/>
      <c r="D935" s="566"/>
      <c r="E935" s="566"/>
      <c r="F935" s="566"/>
      <c r="G935" s="567" t="s">
        <v>1906</v>
      </c>
      <c r="H935" s="567" t="s">
        <v>617</v>
      </c>
      <c r="I935" s="239" t="str">
        <f>IF(ISBLANK(regional!I548),"",regional!I548)</f>
        <v/>
      </c>
      <c r="K935" s="262" t="s">
        <v>4241</v>
      </c>
      <c r="O935" s="262" t="s">
        <v>4241</v>
      </c>
    </row>
    <row r="936" spans="1:15" ht="12.75" customHeight="1" x14ac:dyDescent="0.3">
      <c r="A936" s="567" t="s">
        <v>1331</v>
      </c>
      <c r="B936" s="566"/>
      <c r="C936" s="566"/>
      <c r="D936" s="566"/>
      <c r="E936" s="566"/>
      <c r="F936" s="566"/>
      <c r="G936" s="567" t="s">
        <v>1907</v>
      </c>
      <c r="H936" s="567" t="s">
        <v>617</v>
      </c>
      <c r="I936" s="239" t="str">
        <f>IF(ISBLANK(regional!I549),"",regional!I549)</f>
        <v/>
      </c>
      <c r="K936" s="262" t="s">
        <v>4241</v>
      </c>
      <c r="O936" s="262" t="s">
        <v>4241</v>
      </c>
    </row>
    <row r="937" spans="1:15" ht="12.75" customHeight="1" x14ac:dyDescent="0.3">
      <c r="A937" s="567" t="s">
        <v>1331</v>
      </c>
      <c r="B937" s="566"/>
      <c r="C937" s="566"/>
      <c r="D937" s="566"/>
      <c r="E937" s="566"/>
      <c r="F937" s="566"/>
      <c r="G937" s="567" t="s">
        <v>1908</v>
      </c>
      <c r="H937" s="567" t="s">
        <v>617</v>
      </c>
      <c r="I937" s="239" t="str">
        <f>IF(ISBLANK(regional!I550),"",regional!I550)</f>
        <v/>
      </c>
      <c r="K937" s="262" t="s">
        <v>4241</v>
      </c>
      <c r="O937" s="262" t="s">
        <v>4241</v>
      </c>
    </row>
    <row r="938" spans="1:15" ht="12.75" customHeight="1" x14ac:dyDescent="0.3">
      <c r="A938" s="567" t="s">
        <v>1333</v>
      </c>
      <c r="B938" s="566"/>
      <c r="C938" s="566"/>
      <c r="D938" s="566"/>
      <c r="E938" s="566"/>
      <c r="F938" s="566"/>
      <c r="G938" s="567" t="s">
        <v>1909</v>
      </c>
      <c r="H938" s="567" t="s">
        <v>617</v>
      </c>
      <c r="I938" s="239" t="str">
        <f>IF(ISBLANK(regional!I551),"",regional!I551)</f>
        <v/>
      </c>
      <c r="K938" s="262" t="s">
        <v>4241</v>
      </c>
      <c r="O938" s="262" t="s">
        <v>4241</v>
      </c>
    </row>
    <row r="939" spans="1:15" ht="12.75" customHeight="1" x14ac:dyDescent="0.3">
      <c r="A939" s="567" t="s">
        <v>1333</v>
      </c>
      <c r="B939" s="566"/>
      <c r="C939" s="566"/>
      <c r="D939" s="566"/>
      <c r="E939" s="566"/>
      <c r="F939" s="566"/>
      <c r="G939" s="567" t="s">
        <v>1910</v>
      </c>
      <c r="H939" s="567" t="s">
        <v>617</v>
      </c>
      <c r="I939" s="239" t="str">
        <f>IF(ISBLANK(regional!I552),"",regional!I552)</f>
        <v/>
      </c>
      <c r="K939" s="262" t="s">
        <v>4241</v>
      </c>
      <c r="O939" s="262" t="s">
        <v>4241</v>
      </c>
    </row>
    <row r="940" spans="1:15" ht="12.75" customHeight="1" x14ac:dyDescent="0.3">
      <c r="A940" s="567" t="s">
        <v>1333</v>
      </c>
      <c r="B940" s="566"/>
      <c r="C940" s="566"/>
      <c r="D940" s="566"/>
      <c r="E940" s="566"/>
      <c r="F940" s="566"/>
      <c r="G940" s="567" t="s">
        <v>1911</v>
      </c>
      <c r="H940" s="567" t="s">
        <v>617</v>
      </c>
      <c r="I940" s="239" t="str">
        <f>IF(ISBLANK(regional!I553),"",regional!I553)</f>
        <v/>
      </c>
      <c r="K940" s="262" t="s">
        <v>4241</v>
      </c>
      <c r="O940" s="262" t="s">
        <v>4241</v>
      </c>
    </row>
    <row r="941" spans="1:15" ht="12.75" customHeight="1" x14ac:dyDescent="0.3">
      <c r="A941" s="566"/>
      <c r="B941" s="566" t="s">
        <v>1912</v>
      </c>
      <c r="C941" s="566"/>
      <c r="D941" s="566"/>
      <c r="E941" s="566"/>
      <c r="F941" s="566"/>
      <c r="G941" s="567" t="s">
        <v>1913</v>
      </c>
      <c r="H941" s="567" t="s">
        <v>335</v>
      </c>
      <c r="I941" s="239" t="str">
        <f>IF(ISBLANK(regional!I554),"",regional!I554)</f>
        <v/>
      </c>
      <c r="K941" s="262" t="s">
        <v>4241</v>
      </c>
      <c r="O941" s="262" t="s">
        <v>4241</v>
      </c>
    </row>
    <row r="942" spans="1:15" ht="12.75" customHeight="1" x14ac:dyDescent="0.3">
      <c r="A942" s="566"/>
      <c r="B942" s="566" t="s">
        <v>1915</v>
      </c>
      <c r="C942" s="566"/>
      <c r="D942" s="566"/>
      <c r="E942" s="566"/>
      <c r="F942" s="566"/>
      <c r="G942" s="567" t="s">
        <v>1916</v>
      </c>
      <c r="H942" s="567" t="s">
        <v>335</v>
      </c>
      <c r="I942" s="239" t="str">
        <f>IF(ISBLANK(regional!I555),"",regional!I555)</f>
        <v/>
      </c>
      <c r="K942" s="262" t="s">
        <v>4241</v>
      </c>
      <c r="O942" s="262" t="s">
        <v>4241</v>
      </c>
    </row>
    <row r="943" spans="1:15" ht="12.75" customHeight="1" x14ac:dyDescent="0.3">
      <c r="A943" s="566"/>
      <c r="B943" s="566" t="s">
        <v>1917</v>
      </c>
      <c r="C943" s="566"/>
      <c r="D943" s="566"/>
      <c r="E943" s="566"/>
      <c r="F943" s="566"/>
      <c r="G943" s="567" t="s">
        <v>1918</v>
      </c>
      <c r="H943" s="567" t="s">
        <v>335</v>
      </c>
      <c r="I943" s="239" t="str">
        <f>IF(ISBLANK(regional!I556),"",regional!I556)</f>
        <v/>
      </c>
      <c r="K943" s="262" t="s">
        <v>4241</v>
      </c>
      <c r="O943" s="262" t="s">
        <v>4241</v>
      </c>
    </row>
    <row r="944" spans="1:15" ht="12.75" customHeight="1" x14ac:dyDescent="0.3">
      <c r="A944" s="566"/>
      <c r="B944" s="566" t="s">
        <v>1919</v>
      </c>
      <c r="C944" s="566"/>
      <c r="D944" s="566"/>
      <c r="E944" s="566"/>
      <c r="F944" s="566"/>
      <c r="G944" s="567" t="s">
        <v>1920</v>
      </c>
      <c r="H944" s="567" t="s">
        <v>335</v>
      </c>
      <c r="I944" s="239" t="str">
        <f>IF(ISBLANK(regional!I557),"",regional!I557)</f>
        <v/>
      </c>
      <c r="K944" s="262" t="s">
        <v>4241</v>
      </c>
      <c r="O944" s="262" t="s">
        <v>4241</v>
      </c>
    </row>
    <row r="945" spans="1:15" ht="12.75" customHeight="1" x14ac:dyDescent="0.3">
      <c r="A945" s="566"/>
      <c r="B945" s="566" t="s">
        <v>1922</v>
      </c>
      <c r="C945" s="566"/>
      <c r="D945" s="566"/>
      <c r="E945" s="566"/>
      <c r="F945" s="566"/>
      <c r="G945" s="567" t="s">
        <v>1923</v>
      </c>
      <c r="H945" s="567" t="s">
        <v>335</v>
      </c>
      <c r="I945" s="239" t="str">
        <f>IF(ISBLANK(regional!I558),"",regional!I558)</f>
        <v/>
      </c>
      <c r="K945" s="262" t="s">
        <v>4241</v>
      </c>
      <c r="O945" s="262" t="s">
        <v>4241</v>
      </c>
    </row>
    <row r="946" spans="1:15" ht="12.75" customHeight="1" x14ac:dyDescent="0.3">
      <c r="A946" s="566"/>
      <c r="B946" s="566" t="s">
        <v>1924</v>
      </c>
      <c r="C946" s="566"/>
      <c r="D946" s="566"/>
      <c r="E946" s="566"/>
      <c r="F946" s="566"/>
      <c r="G946" s="567" t="s">
        <v>1925</v>
      </c>
      <c r="H946" s="567" t="s">
        <v>335</v>
      </c>
      <c r="I946" s="239" t="str">
        <f>IF(ISBLANK(regional!I559),"",regional!I559)</f>
        <v/>
      </c>
      <c r="K946" s="262" t="s">
        <v>4241</v>
      </c>
      <c r="O946" s="262" t="s">
        <v>4241</v>
      </c>
    </row>
    <row r="947" spans="1:15" ht="12.75" customHeight="1" x14ac:dyDescent="0.3">
      <c r="C947" s="172"/>
      <c r="D947" s="183"/>
      <c r="I947" s="792"/>
    </row>
    <row r="948" spans="1:15" ht="12.75" customHeight="1" x14ac:dyDescent="0.3">
      <c r="A948" s="280" t="s">
        <v>1926</v>
      </c>
      <c r="B948" s="17"/>
      <c r="C948" s="17"/>
      <c r="D948" s="17"/>
      <c r="E948" s="17"/>
      <c r="F948" s="17"/>
      <c r="G948" s="38"/>
      <c r="H948" s="17"/>
      <c r="I948" s="793" t="str">
        <f>IF(global!$I142="","",global!$I142)</f>
        <v/>
      </c>
      <c r="K948" s="262" t="s">
        <v>4241</v>
      </c>
      <c r="O948" s="262" t="s">
        <v>4241</v>
      </c>
    </row>
    <row r="949" spans="1:15" ht="12.75" customHeight="1" x14ac:dyDescent="0.3">
      <c r="A949" s="17"/>
      <c r="B949" s="17"/>
      <c r="C949" s="17"/>
      <c r="D949" s="17"/>
      <c r="E949" s="17"/>
      <c r="F949" s="17"/>
      <c r="G949" s="17"/>
      <c r="H949" s="17"/>
      <c r="I949" s="793" t="str">
        <f>IF(global!$I141="","",global!$I141)</f>
        <v/>
      </c>
      <c r="K949" s="262" t="s">
        <v>4241</v>
      </c>
      <c r="O949" s="262" t="s">
        <v>4241</v>
      </c>
    </row>
    <row r="950" spans="1:15" ht="12.75" customHeight="1" x14ac:dyDescent="0.3">
      <c r="A950" s="147" t="s">
        <v>947</v>
      </c>
      <c r="B950" s="147"/>
      <c r="C950" s="147"/>
      <c r="D950" s="147"/>
      <c r="E950" s="147"/>
      <c r="F950" s="147"/>
      <c r="G950" s="148" t="s">
        <v>258</v>
      </c>
      <c r="H950" s="148" t="s">
        <v>274</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948</v>
      </c>
      <c r="B952" s="17"/>
      <c r="C952" s="17"/>
      <c r="D952" s="17"/>
      <c r="E952" s="17"/>
      <c r="F952" s="17"/>
      <c r="G952" s="38" t="s">
        <v>1927</v>
      </c>
      <c r="H952" s="17" t="s">
        <v>950</v>
      </c>
      <c r="I952" s="239" t="str">
        <f>IF(ISBLANK(continental!I5),"",continental!I5)</f>
        <v/>
      </c>
      <c r="J952" s="228"/>
      <c r="K952" s="262" t="s">
        <v>4241</v>
      </c>
      <c r="O952" s="262" t="s">
        <v>4241</v>
      </c>
    </row>
    <row r="953" spans="1:15" ht="12.75" customHeight="1" x14ac:dyDescent="0.3">
      <c r="A953" s="567" t="s">
        <v>1928</v>
      </c>
      <c r="B953" s="566"/>
      <c r="C953" s="566"/>
      <c r="D953" s="566"/>
      <c r="E953" s="566"/>
      <c r="F953" s="566"/>
      <c r="G953" s="567" t="s">
        <v>1929</v>
      </c>
      <c r="H953" s="566" t="s">
        <v>950</v>
      </c>
      <c r="I953" s="239" t="str">
        <f>IF(ISBLANK(continental!I6),"",continental!I6)</f>
        <v/>
      </c>
      <c r="J953" s="228"/>
      <c r="K953" s="262" t="s">
        <v>4241</v>
      </c>
      <c r="O953" s="262" t="s">
        <v>4241</v>
      </c>
    </row>
    <row r="954" spans="1:15" ht="12.75" customHeight="1" x14ac:dyDescent="0.3">
      <c r="A954" s="38" t="s">
        <v>955</v>
      </c>
      <c r="B954" s="17"/>
      <c r="C954" s="17"/>
      <c r="D954" s="17"/>
      <c r="E954" s="17"/>
      <c r="F954" s="17"/>
      <c r="G954" s="38" t="s">
        <v>1930</v>
      </c>
      <c r="H954" s="38" t="s">
        <v>950</v>
      </c>
      <c r="I954" s="239" t="str">
        <f>IF(ISBLANK(continental!I7),"",continental!I7)</f>
        <v/>
      </c>
      <c r="J954" s="228"/>
      <c r="K954" s="262" t="s">
        <v>4241</v>
      </c>
      <c r="O954" s="262" t="s">
        <v>4241</v>
      </c>
    </row>
    <row r="955" spans="1:15" ht="12.75" customHeight="1" x14ac:dyDescent="0.3">
      <c r="A955" s="38" t="s">
        <v>957</v>
      </c>
      <c r="B955" s="17"/>
      <c r="C955" s="17"/>
      <c r="D955" s="17"/>
      <c r="E955" s="17"/>
      <c r="F955" s="17"/>
      <c r="G955" s="38" t="s">
        <v>1931</v>
      </c>
      <c r="H955" s="17" t="s">
        <v>950</v>
      </c>
      <c r="I955" s="239" t="str">
        <f>IF(ISBLANK(continental!I8),"",continental!I8)</f>
        <v/>
      </c>
      <c r="J955" s="411"/>
      <c r="K955" s="262" t="s">
        <v>4241</v>
      </c>
      <c r="O955" s="262" t="s">
        <v>4241</v>
      </c>
    </row>
    <row r="956" spans="1:15" ht="12.75" customHeight="1" x14ac:dyDescent="0.3">
      <c r="A956" s="38" t="s">
        <v>959</v>
      </c>
      <c r="B956" s="17"/>
      <c r="C956" s="17"/>
      <c r="D956" s="17"/>
      <c r="E956" s="17"/>
      <c r="F956" s="17"/>
      <c r="G956" s="38" t="s">
        <v>1932</v>
      </c>
      <c r="H956" s="17" t="s">
        <v>950</v>
      </c>
      <c r="I956" s="239" t="str">
        <f>IF(ISBLANK(continental!I9),"",continental!I9)</f>
        <v/>
      </c>
      <c r="J956" s="827"/>
      <c r="K956" s="262" t="s">
        <v>4241</v>
      </c>
      <c r="O956" s="262" t="s">
        <v>4241</v>
      </c>
    </row>
    <row r="957" spans="1:15" ht="12.75" customHeight="1" x14ac:dyDescent="0.3">
      <c r="A957" s="567" t="s">
        <v>1933</v>
      </c>
      <c r="B957" s="566"/>
      <c r="C957" s="566"/>
      <c r="D957" s="566"/>
      <c r="E957" s="566"/>
      <c r="F957" s="566"/>
      <c r="G957" s="567" t="s">
        <v>1934</v>
      </c>
      <c r="H957" s="566" t="s">
        <v>950</v>
      </c>
      <c r="I957" s="239" t="str">
        <f>IF(ISBLANK(continental!I10),"",continental!I10)</f>
        <v/>
      </c>
      <c r="K957" s="262" t="s">
        <v>4241</v>
      </c>
      <c r="O957" s="262" t="s">
        <v>4241</v>
      </c>
    </row>
    <row r="958" spans="1:15" ht="12.75" customHeight="1" x14ac:dyDescent="0.3">
      <c r="A958" s="38" t="s">
        <v>963</v>
      </c>
      <c r="B958" s="17"/>
      <c r="C958" s="17"/>
      <c r="D958" s="17"/>
      <c r="E958" s="17"/>
      <c r="F958" s="17"/>
      <c r="G958" s="38" t="s">
        <v>1935</v>
      </c>
      <c r="H958" s="17" t="s">
        <v>950</v>
      </c>
      <c r="I958" s="239" t="str">
        <f>IF(ISBLANK(continental!I11),"",continental!I11)</f>
        <v/>
      </c>
      <c r="K958" s="262" t="s">
        <v>4241</v>
      </c>
      <c r="O958" s="262" t="s">
        <v>4241</v>
      </c>
    </row>
    <row r="959" spans="1:15" ht="12.75" customHeight="1" x14ac:dyDescent="0.3">
      <c r="A959" s="38" t="s">
        <v>965</v>
      </c>
      <c r="B959" s="17"/>
      <c r="C959" s="17"/>
      <c r="D959" s="17"/>
      <c r="E959" s="17"/>
      <c r="F959" s="17"/>
      <c r="G959" s="38" t="s">
        <v>1936</v>
      </c>
      <c r="H959" s="17" t="s">
        <v>950</v>
      </c>
      <c r="I959" s="239" t="str">
        <f>IF(ISBLANK(continental!I12),"",continental!I12)</f>
        <v/>
      </c>
      <c r="K959" s="262" t="s">
        <v>4241</v>
      </c>
      <c r="O959" s="262" t="s">
        <v>4241</v>
      </c>
    </row>
    <row r="960" spans="1:15" ht="12.75" customHeight="1" x14ac:dyDescent="0.3">
      <c r="A960" s="38" t="s">
        <v>967</v>
      </c>
      <c r="B960" s="17"/>
      <c r="C960" s="17"/>
      <c r="D960" s="17"/>
      <c r="E960" s="17"/>
      <c r="F960" s="17"/>
      <c r="G960" s="38" t="s">
        <v>1937</v>
      </c>
      <c r="H960" s="17" t="s">
        <v>950</v>
      </c>
      <c r="I960" s="239" t="str">
        <f>IF(ISBLANK(continental!I13),"",continental!I13)</f>
        <v/>
      </c>
      <c r="K960" s="262" t="s">
        <v>4241</v>
      </c>
      <c r="O960" s="262" t="s">
        <v>4241</v>
      </c>
    </row>
    <row r="961" spans="1:15" ht="12.75" customHeight="1" x14ac:dyDescent="0.3">
      <c r="A961" s="38" t="s">
        <v>969</v>
      </c>
      <c r="B961" s="17"/>
      <c r="C961" s="17"/>
      <c r="D961" s="17"/>
      <c r="E961" s="17"/>
      <c r="F961" s="17"/>
      <c r="G961" s="38" t="s">
        <v>1938</v>
      </c>
      <c r="H961" s="17" t="s">
        <v>950</v>
      </c>
      <c r="I961" s="239" t="str">
        <f>IF(ISBLANK(continental!I14),"",continental!I14)</f>
        <v/>
      </c>
      <c r="K961" s="262" t="s">
        <v>4241</v>
      </c>
      <c r="O961" s="262" t="s">
        <v>4241</v>
      </c>
    </row>
    <row r="962" spans="1:15" ht="12.75" customHeight="1" x14ac:dyDescent="0.3">
      <c r="A962" s="38" t="s">
        <v>971</v>
      </c>
      <c r="B962" s="17"/>
      <c r="C962" s="17"/>
      <c r="D962" s="17"/>
      <c r="E962" s="17"/>
      <c r="F962" s="17"/>
      <c r="G962" s="38" t="s">
        <v>1939</v>
      </c>
      <c r="H962" s="17" t="s">
        <v>950</v>
      </c>
      <c r="I962" s="239" t="str">
        <f>IF(ISBLANK(continental!I15),"",continental!I15)</f>
        <v/>
      </c>
      <c r="K962" s="262" t="s">
        <v>4241</v>
      </c>
      <c r="O962" s="262" t="s">
        <v>4241</v>
      </c>
    </row>
    <row r="963" spans="1:15" ht="12.75" customHeight="1" x14ac:dyDescent="0.3">
      <c r="A963" s="38"/>
      <c r="B963" s="146" t="s">
        <v>1940</v>
      </c>
      <c r="C963" s="17"/>
      <c r="D963" s="17"/>
      <c r="E963" s="17"/>
      <c r="F963" s="17"/>
      <c r="G963" s="38" t="s">
        <v>1941</v>
      </c>
      <c r="H963" s="17" t="s">
        <v>672</v>
      </c>
      <c r="I963" s="239" t="str">
        <f>IF(ISBLANK(continental!I16),"",continental!I16)</f>
        <v/>
      </c>
      <c r="K963" s="262" t="s">
        <v>4241</v>
      </c>
      <c r="O963" s="262" t="s">
        <v>4241</v>
      </c>
    </row>
    <row r="964" spans="1:15" ht="12.75" customHeight="1" x14ac:dyDescent="0.3">
      <c r="A964" s="38"/>
      <c r="B964" s="38" t="s">
        <v>975</v>
      </c>
      <c r="C964" s="17"/>
      <c r="D964" s="17"/>
      <c r="E964" s="17"/>
      <c r="F964" s="17"/>
      <c r="G964" s="146" t="s">
        <v>1942</v>
      </c>
      <c r="H964" s="38" t="s">
        <v>291</v>
      </c>
      <c r="I964" s="239" t="str">
        <f>IF(ISBLANK(continental!I17),"",continental!I17)</f>
        <v/>
      </c>
      <c r="K964" s="262" t="s">
        <v>4241</v>
      </c>
      <c r="O964" s="262" t="s">
        <v>4241</v>
      </c>
    </row>
    <row r="965" spans="1:15" ht="12.75" customHeight="1" x14ac:dyDescent="0.3">
      <c r="A965" s="38"/>
      <c r="B965" s="38" t="s">
        <v>977</v>
      </c>
      <c r="C965" s="17"/>
      <c r="D965" s="17"/>
      <c r="E965" s="17"/>
      <c r="F965" s="17"/>
      <c r="G965" s="146" t="s">
        <v>1943</v>
      </c>
      <c r="H965" s="17" t="s">
        <v>291</v>
      </c>
      <c r="I965" s="239" t="str">
        <f>IF(ISBLANK(continental!I18),"",continental!I18)</f>
        <v/>
      </c>
      <c r="K965" s="262" t="s">
        <v>4241</v>
      </c>
      <c r="O965" s="262" t="s">
        <v>4241</v>
      </c>
    </row>
    <row r="966" spans="1:15" ht="12.75" customHeight="1" x14ac:dyDescent="0.3">
      <c r="A966" s="38"/>
      <c r="B966" s="38" t="s">
        <v>979</v>
      </c>
      <c r="C966" s="17"/>
      <c r="D966" s="17"/>
      <c r="E966" s="17"/>
      <c r="F966" s="17"/>
      <c r="G966" s="146" t="s">
        <v>1944</v>
      </c>
      <c r="H966" s="17" t="s">
        <v>291</v>
      </c>
      <c r="I966" s="239" t="str">
        <f>IF(ISBLANK(continental!I19),"",continental!I19)</f>
        <v/>
      </c>
      <c r="K966" s="262" t="s">
        <v>4241</v>
      </c>
      <c r="O966" s="262" t="s">
        <v>4241</v>
      </c>
    </row>
    <row r="967" spans="1:15" ht="12.75" customHeight="1" x14ac:dyDescent="0.3">
      <c r="A967" s="38"/>
      <c r="B967" s="38" t="s">
        <v>981</v>
      </c>
      <c r="C967" s="17"/>
      <c r="D967" s="17"/>
      <c r="E967" s="17"/>
      <c r="F967" s="17"/>
      <c r="G967" s="146" t="s">
        <v>1945</v>
      </c>
      <c r="H967" s="17" t="s">
        <v>291</v>
      </c>
      <c r="I967" s="239" t="str">
        <f>IF(ISBLANK(continental!I20),"",continental!I20)</f>
        <v/>
      </c>
      <c r="K967" s="262" t="s">
        <v>4241</v>
      </c>
      <c r="O967" s="262" t="s">
        <v>4241</v>
      </c>
    </row>
    <row r="968" spans="1:15" ht="12.75" customHeight="1" x14ac:dyDescent="0.3">
      <c r="A968" s="38"/>
      <c r="B968" s="38" t="s">
        <v>983</v>
      </c>
      <c r="C968" s="17"/>
      <c r="D968" s="17"/>
      <c r="E968" s="17"/>
      <c r="F968" s="17"/>
      <c r="G968" s="146" t="s">
        <v>1946</v>
      </c>
      <c r="H968" s="17" t="s">
        <v>291</v>
      </c>
      <c r="I968" s="239" t="str">
        <f>IF(ISBLANK(continental!I21),"",continental!I21)</f>
        <v/>
      </c>
      <c r="K968" s="262" t="s">
        <v>4241</v>
      </c>
      <c r="O968" s="262" t="s">
        <v>4241</v>
      </c>
    </row>
    <row r="969" spans="1:15" ht="12.75" customHeight="1" x14ac:dyDescent="0.3">
      <c r="A969" s="38"/>
      <c r="B969" s="38" t="s">
        <v>985</v>
      </c>
      <c r="C969" s="17"/>
      <c r="D969" s="17"/>
      <c r="E969" s="17"/>
      <c r="F969" s="17"/>
      <c r="G969" s="146" t="s">
        <v>1947</v>
      </c>
      <c r="H969" s="17" t="s">
        <v>291</v>
      </c>
      <c r="I969" s="239" t="str">
        <f>IF(ISBLANK(continental!I22),"",continental!I22)</f>
        <v/>
      </c>
      <c r="K969" s="262" t="s">
        <v>4241</v>
      </c>
      <c r="O969" s="262" t="s">
        <v>4241</v>
      </c>
    </row>
    <row r="970" spans="1:15" ht="12.75" customHeight="1" x14ac:dyDescent="0.3">
      <c r="A970" s="38"/>
      <c r="B970" s="17"/>
      <c r="C970" s="38" t="s">
        <v>987</v>
      </c>
      <c r="D970" s="146"/>
      <c r="E970" s="146"/>
      <c r="F970" s="17"/>
      <c r="G970" s="146" t="s">
        <v>1948</v>
      </c>
      <c r="H970" s="17" t="s">
        <v>813</v>
      </c>
      <c r="I970" s="239" t="str">
        <f>IF(ISBLANK(continental!I23),"",continental!I23)</f>
        <v/>
      </c>
      <c r="K970" s="262" t="s">
        <v>4241</v>
      </c>
      <c r="O970" s="262" t="s">
        <v>4241</v>
      </c>
    </row>
    <row r="971" spans="1:15" ht="12.75" customHeight="1" x14ac:dyDescent="0.3">
      <c r="A971" s="38"/>
      <c r="B971" s="17"/>
      <c r="C971" s="38" t="s">
        <v>989</v>
      </c>
      <c r="D971" s="146"/>
      <c r="E971" s="146"/>
      <c r="F971" s="17"/>
      <c r="G971" s="146" t="s">
        <v>1949</v>
      </c>
      <c r="H971" s="38" t="s">
        <v>813</v>
      </c>
      <c r="I971" s="239" t="str">
        <f>IF(ISBLANK(continental!I24),"",continental!I24)</f>
        <v/>
      </c>
      <c r="K971" s="262" t="s">
        <v>4241</v>
      </c>
      <c r="O971" s="262" t="s">
        <v>4241</v>
      </c>
    </row>
    <row r="972" spans="1:15" ht="12.75" customHeight="1" x14ac:dyDescent="0.3">
      <c r="A972" s="38"/>
      <c r="B972" s="17"/>
      <c r="C972" s="38" t="s">
        <v>991</v>
      </c>
      <c r="D972" s="146"/>
      <c r="E972" s="146"/>
      <c r="F972" s="17"/>
      <c r="G972" s="146" t="s">
        <v>1950</v>
      </c>
      <c r="H972" s="17" t="s">
        <v>813</v>
      </c>
      <c r="I972" s="239" t="str">
        <f>IF(ISBLANK(continental!I25),"",continental!I25)</f>
        <v/>
      </c>
      <c r="K972" s="262" t="s">
        <v>4241</v>
      </c>
      <c r="O972" s="262" t="s">
        <v>4241</v>
      </c>
    </row>
    <row r="973" spans="1:15" ht="12.75" customHeight="1" x14ac:dyDescent="0.3">
      <c r="A973" s="38"/>
      <c r="B973" s="17"/>
      <c r="C973" s="38" t="s">
        <v>993</v>
      </c>
      <c r="D973" s="146"/>
      <c r="E973" s="146"/>
      <c r="F973" s="17"/>
      <c r="G973" s="146" t="s">
        <v>1951</v>
      </c>
      <c r="H973" s="17" t="s">
        <v>813</v>
      </c>
      <c r="I973" s="239" t="str">
        <f>IF(ISBLANK(continental!I26),"",continental!I26)</f>
        <v/>
      </c>
      <c r="K973" s="262" t="s">
        <v>4241</v>
      </c>
      <c r="O973" s="262" t="s">
        <v>4241</v>
      </c>
    </row>
    <row r="974" spans="1:15" ht="12.75" customHeight="1" x14ac:dyDescent="0.3">
      <c r="A974" s="567"/>
      <c r="B974" s="566"/>
      <c r="C974" s="567" t="s">
        <v>1952</v>
      </c>
      <c r="D974" s="679"/>
      <c r="E974" s="679"/>
      <c r="F974" s="566"/>
      <c r="G974" s="679" t="s">
        <v>1953</v>
      </c>
      <c r="H974" s="566" t="s">
        <v>997</v>
      </c>
      <c r="I974" s="239" t="str">
        <f>IF(ISBLANK(continental!I27),"",continental!I27)</f>
        <v/>
      </c>
      <c r="K974" s="262" t="s">
        <v>4241</v>
      </c>
      <c r="O974" s="262" t="s">
        <v>4241</v>
      </c>
    </row>
    <row r="975" spans="1:15" ht="12.75" customHeight="1" x14ac:dyDescent="0.3">
      <c r="A975" s="38"/>
      <c r="B975" s="17"/>
      <c r="C975" s="38" t="s">
        <v>998</v>
      </c>
      <c r="D975" s="146"/>
      <c r="E975" s="146"/>
      <c r="F975" s="17"/>
      <c r="G975" s="146" t="s">
        <v>1954</v>
      </c>
      <c r="H975" s="17" t="s">
        <v>997</v>
      </c>
      <c r="I975" s="239" t="str">
        <f>IF(ISBLANK(continental!I28),"",continental!I28)</f>
        <v/>
      </c>
      <c r="K975" s="262" t="s">
        <v>4241</v>
      </c>
      <c r="O975" s="262" t="s">
        <v>4241</v>
      </c>
    </row>
    <row r="976" spans="1:15" ht="12.75" customHeight="1" x14ac:dyDescent="0.3">
      <c r="A976" s="38"/>
      <c r="B976" s="17"/>
      <c r="C976" s="38" t="s">
        <v>1000</v>
      </c>
      <c r="D976" s="146"/>
      <c r="E976" s="146"/>
      <c r="F976" s="17"/>
      <c r="G976" s="146" t="s">
        <v>1955</v>
      </c>
      <c r="H976" s="17" t="s">
        <v>997</v>
      </c>
      <c r="I976" s="239" t="str">
        <f>IF(ISBLANK(continental!I29),"",continental!I29)</f>
        <v/>
      </c>
      <c r="K976" s="262" t="s">
        <v>4241</v>
      </c>
      <c r="O976" s="262" t="s">
        <v>4241</v>
      </c>
    </row>
    <row r="977" spans="1:221" ht="12.75" customHeight="1" x14ac:dyDescent="0.3">
      <c r="A977" s="38"/>
      <c r="B977" s="17"/>
      <c r="C977" s="38" t="s">
        <v>1002</v>
      </c>
      <c r="D977" s="146"/>
      <c r="E977" s="146"/>
      <c r="F977" s="17"/>
      <c r="G977" s="146" t="s">
        <v>1956</v>
      </c>
      <c r="H977" s="17" t="s">
        <v>813</v>
      </c>
      <c r="I977" s="239" t="str">
        <f>IF(ISBLANK(continental!I30),"",continental!I30)</f>
        <v/>
      </c>
      <c r="K977" s="262" t="s">
        <v>4241</v>
      </c>
      <c r="O977" s="262" t="s">
        <v>4241</v>
      </c>
    </row>
    <row r="978" spans="1:221" ht="12.75" customHeight="1" x14ac:dyDescent="0.3">
      <c r="A978" s="38"/>
      <c r="B978" s="17"/>
      <c r="C978" s="38" t="s">
        <v>1957</v>
      </c>
      <c r="D978" s="146"/>
      <c r="E978" s="146"/>
      <c r="F978" s="17"/>
      <c r="G978" s="146" t="s">
        <v>1958</v>
      </c>
      <c r="H978" s="17" t="s">
        <v>813</v>
      </c>
      <c r="I978" s="239" t="str">
        <f>IF(ISBLANK(continental!I31),"",continental!I31)</f>
        <v/>
      </c>
      <c r="K978" s="262" t="s">
        <v>4241</v>
      </c>
      <c r="O978" s="262" t="s">
        <v>4241</v>
      </c>
    </row>
    <row r="979" spans="1:221" ht="12.75" customHeight="1" x14ac:dyDescent="0.3">
      <c r="A979" s="38"/>
      <c r="B979" s="17"/>
      <c r="C979" s="38" t="s">
        <v>1006</v>
      </c>
      <c r="D979" s="146"/>
      <c r="E979" s="146"/>
      <c r="F979" s="17"/>
      <c r="G979" s="146" t="s">
        <v>1959</v>
      </c>
      <c r="H979" s="17" t="s">
        <v>813</v>
      </c>
      <c r="I979" s="239" t="str">
        <f>IF(ISBLANK(continental!I32),"",continental!I32)</f>
        <v/>
      </c>
      <c r="K979" s="262" t="s">
        <v>4241</v>
      </c>
      <c r="O979" s="262" t="s">
        <v>4241</v>
      </c>
    </row>
    <row r="980" spans="1:221" ht="12.75" customHeight="1" x14ac:dyDescent="0.3">
      <c r="A980" s="566"/>
      <c r="B980" s="566"/>
      <c r="C980" s="566" t="s">
        <v>1008</v>
      </c>
      <c r="D980" s="566"/>
      <c r="E980" s="566"/>
      <c r="F980" s="566"/>
      <c r="G980" s="567" t="s">
        <v>1960</v>
      </c>
      <c r="H980" s="567" t="s">
        <v>1010</v>
      </c>
      <c r="I980" s="239" t="str">
        <f>IF(ISBLANK(continental!I33),"",continental!I33)</f>
        <v/>
      </c>
      <c r="K980" s="262" t="s">
        <v>4241</v>
      </c>
      <c r="O980" s="262" t="s">
        <v>4241</v>
      </c>
    </row>
    <row r="981" spans="1:221" ht="12.75" customHeight="1" x14ac:dyDescent="0.3">
      <c r="A981" s="17"/>
      <c r="B981" s="17"/>
      <c r="C981" s="17" t="s">
        <v>1012</v>
      </c>
      <c r="D981" s="17"/>
      <c r="E981" s="17"/>
      <c r="F981" s="17"/>
      <c r="G981" s="38" t="s">
        <v>1961</v>
      </c>
      <c r="H981" s="38" t="s">
        <v>1010</v>
      </c>
      <c r="I981" s="239" t="str">
        <f>IF(ISBLANK(continental!I34),"",continental!I34)</f>
        <v/>
      </c>
      <c r="K981" s="262" t="s">
        <v>4241</v>
      </c>
      <c r="O981" s="262" t="s">
        <v>4241</v>
      </c>
    </row>
    <row r="982" spans="1:221" ht="12.75" customHeight="1" x14ac:dyDescent="0.3">
      <c r="A982" s="17"/>
      <c r="B982" s="17"/>
      <c r="C982" s="17" t="s">
        <v>1015</v>
      </c>
      <c r="D982" s="17"/>
      <c r="E982" s="17"/>
      <c r="F982" s="17"/>
      <c r="G982" s="38" t="s">
        <v>1962</v>
      </c>
      <c r="H982" s="38" t="s">
        <v>1010</v>
      </c>
      <c r="I982" s="239" t="str">
        <f>IF(ISBLANK(continental!I35),"",continental!I35)</f>
        <v/>
      </c>
      <c r="K982" s="262" t="s">
        <v>4241</v>
      </c>
      <c r="O982" s="262" t="s">
        <v>4241</v>
      </c>
    </row>
    <row r="983" spans="1:221" ht="12.75" customHeight="1" x14ac:dyDescent="0.3">
      <c r="A983" s="38"/>
      <c r="B983" s="17"/>
      <c r="C983" s="38" t="s">
        <v>1017</v>
      </c>
      <c r="D983" s="146"/>
      <c r="E983" s="146"/>
      <c r="F983" s="17"/>
      <c r="G983" s="146" t="s">
        <v>1963</v>
      </c>
      <c r="H983" s="17" t="s">
        <v>1010</v>
      </c>
      <c r="I983" s="239" t="str">
        <f>IF(ISBLANK(continental!I36),"",continental!I36)</f>
        <v/>
      </c>
      <c r="K983" s="262" t="s">
        <v>4241</v>
      </c>
      <c r="O983" s="262" t="s">
        <v>4241</v>
      </c>
    </row>
    <row r="984" spans="1:221" ht="12.75" customHeight="1" x14ac:dyDescent="0.3">
      <c r="A984" s="38"/>
      <c r="B984" s="17"/>
      <c r="C984" s="38" t="s">
        <v>1019</v>
      </c>
      <c r="D984" s="146"/>
      <c r="E984" s="146"/>
      <c r="F984" s="17"/>
      <c r="G984" s="146" t="s">
        <v>1964</v>
      </c>
      <c r="H984" s="17" t="s">
        <v>1010</v>
      </c>
      <c r="I984" s="239" t="str">
        <f>IF(ISBLANK(continental!I37),"",continental!I37)</f>
        <v/>
      </c>
      <c r="K984" s="262" t="s">
        <v>4241</v>
      </c>
      <c r="O984" s="262" t="s">
        <v>4241</v>
      </c>
    </row>
    <row r="985" spans="1:221" ht="12.75" customHeight="1" x14ac:dyDescent="0.3">
      <c r="A985" s="38"/>
      <c r="B985" s="17"/>
      <c r="C985" s="38" t="s">
        <v>1021</v>
      </c>
      <c r="D985" s="146"/>
      <c r="E985" s="146"/>
      <c r="F985" s="17"/>
      <c r="G985" s="146" t="s">
        <v>1965</v>
      </c>
      <c r="H985" s="17" t="s">
        <v>1010</v>
      </c>
      <c r="I985" s="239" t="str">
        <f>IF(ISBLANK(continental!I38),"",continental!I38)</f>
        <v/>
      </c>
      <c r="K985" s="262" t="s">
        <v>4241</v>
      </c>
      <c r="O985" s="262" t="s">
        <v>4241</v>
      </c>
      <c r="HM985" s="22"/>
    </row>
    <row r="986" spans="1:221" ht="12.75" customHeight="1" x14ac:dyDescent="0.3">
      <c r="A986" s="38"/>
      <c r="B986" s="17"/>
      <c r="C986" s="38" t="s">
        <v>1023</v>
      </c>
      <c r="D986" s="146"/>
      <c r="E986" s="146"/>
      <c r="F986" s="17"/>
      <c r="G986" s="146" t="s">
        <v>1966</v>
      </c>
      <c r="H986" s="17" t="s">
        <v>1010</v>
      </c>
      <c r="I986" s="239" t="str">
        <f>IF(ISBLANK(continental!I39),"",continental!I39)</f>
        <v/>
      </c>
      <c r="K986" s="262" t="s">
        <v>4241</v>
      </c>
      <c r="O986" s="262" t="s">
        <v>4241</v>
      </c>
    </row>
    <row r="987" spans="1:221" ht="12.75" customHeight="1" x14ac:dyDescent="0.3">
      <c r="A987" s="38"/>
      <c r="B987" s="17"/>
      <c r="C987" s="38" t="s">
        <v>1025</v>
      </c>
      <c r="D987" s="146"/>
      <c r="E987" s="146"/>
      <c r="F987" s="17"/>
      <c r="G987" s="146" t="s">
        <v>1967</v>
      </c>
      <c r="H987" s="17" t="s">
        <v>1010</v>
      </c>
      <c r="I987" s="239" t="str">
        <f>IF(ISBLANK(continental!I40),"",continental!I40)</f>
        <v/>
      </c>
      <c r="K987" s="262" t="s">
        <v>4241</v>
      </c>
      <c r="O987" s="262" t="s">
        <v>4241</v>
      </c>
    </row>
    <row r="988" spans="1:221" ht="12.75" customHeight="1" x14ac:dyDescent="0.3">
      <c r="A988" s="38"/>
      <c r="B988" s="17"/>
      <c r="C988" s="38" t="s">
        <v>1027</v>
      </c>
      <c r="D988" s="146"/>
      <c r="E988" s="146"/>
      <c r="F988" s="17"/>
      <c r="G988" s="146" t="s">
        <v>1968</v>
      </c>
      <c r="H988" s="17" t="s">
        <v>1010</v>
      </c>
      <c r="I988" s="239" t="str">
        <f>IF(ISBLANK(continental!I41),"",continental!I41)</f>
        <v/>
      </c>
      <c r="K988" s="262" t="s">
        <v>4241</v>
      </c>
      <c r="O988" s="262" t="s">
        <v>4241</v>
      </c>
    </row>
    <row r="989" spans="1:221" ht="12.75" customHeight="1" x14ac:dyDescent="0.3">
      <c r="A989" s="38"/>
      <c r="B989" s="17"/>
      <c r="C989" s="38" t="s">
        <v>1029</v>
      </c>
      <c r="D989" s="146"/>
      <c r="E989" s="146"/>
      <c r="F989" s="17"/>
      <c r="G989" s="146" t="s">
        <v>1969</v>
      </c>
      <c r="H989" s="17" t="s">
        <v>1010</v>
      </c>
      <c r="I989" s="239" t="str">
        <f>IF(ISBLANK(continental!I42),"",continental!I42)</f>
        <v/>
      </c>
      <c r="K989" s="262" t="s">
        <v>4241</v>
      </c>
      <c r="O989" s="262" t="s">
        <v>4241</v>
      </c>
    </row>
    <row r="990" spans="1:221" ht="12.75" customHeight="1" x14ac:dyDescent="0.3">
      <c r="A990" s="38"/>
      <c r="B990" s="17"/>
      <c r="C990" s="38" t="s">
        <v>1031</v>
      </c>
      <c r="D990" s="146"/>
      <c r="E990" s="146"/>
      <c r="F990" s="17"/>
      <c r="G990" s="146" t="s">
        <v>1970</v>
      </c>
      <c r="H990" s="17" t="s">
        <v>1010</v>
      </c>
      <c r="I990" s="239" t="str">
        <f>IF(ISBLANK(continental!I43),"",continental!I43)</f>
        <v/>
      </c>
      <c r="J990" s="228"/>
      <c r="K990" s="262" t="s">
        <v>4241</v>
      </c>
      <c r="O990" s="262" t="s">
        <v>4241</v>
      </c>
    </row>
    <row r="991" spans="1:221" ht="12.75" customHeight="1" x14ac:dyDescent="0.3">
      <c r="A991" s="38"/>
      <c r="B991" s="17"/>
      <c r="C991" s="38" t="s">
        <v>1033</v>
      </c>
      <c r="D991" s="146"/>
      <c r="E991" s="146"/>
      <c r="F991" s="17"/>
      <c r="G991" s="146" t="s">
        <v>1971</v>
      </c>
      <c r="H991" s="17" t="s">
        <v>1010</v>
      </c>
      <c r="I991" s="239" t="str">
        <f>IF(ISBLANK(continental!I44),"",continental!I44)</f>
        <v/>
      </c>
      <c r="J991" s="411"/>
      <c r="K991" s="262" t="s">
        <v>4241</v>
      </c>
      <c r="O991" s="262" t="s">
        <v>4241</v>
      </c>
    </row>
    <row r="992" spans="1:221" ht="12.75" customHeight="1" x14ac:dyDescent="0.3">
      <c r="A992" s="38"/>
      <c r="B992" s="17"/>
      <c r="C992" s="38" t="s">
        <v>1035</v>
      </c>
      <c r="D992" s="146"/>
      <c r="E992" s="146"/>
      <c r="F992" s="17"/>
      <c r="G992" s="146" t="s">
        <v>1972</v>
      </c>
      <c r="H992" s="17" t="s">
        <v>1010</v>
      </c>
      <c r="I992" s="239" t="str">
        <f>IF(ISBLANK(continental!I45),"",continental!I45)</f>
        <v/>
      </c>
      <c r="J992" s="228"/>
      <c r="K992" s="262" t="s">
        <v>4241</v>
      </c>
      <c r="O992" s="262" t="s">
        <v>4241</v>
      </c>
    </row>
    <row r="993" spans="1:15" ht="12.75" customHeight="1" x14ac:dyDescent="0.3">
      <c r="A993" s="38"/>
      <c r="B993" s="17"/>
      <c r="C993" s="38" t="s">
        <v>1037</v>
      </c>
      <c r="D993" s="146"/>
      <c r="E993" s="146"/>
      <c r="F993" s="17"/>
      <c r="G993" s="146" t="s">
        <v>1973</v>
      </c>
      <c r="H993" s="17" t="s">
        <v>1010</v>
      </c>
      <c r="I993" s="239" t="str">
        <f>IF(ISBLANK(continental!I46),"",continental!I46)</f>
        <v/>
      </c>
      <c r="K993" s="262" t="s">
        <v>4241</v>
      </c>
      <c r="O993" s="262" t="s">
        <v>4241</v>
      </c>
    </row>
    <row r="994" spans="1:15" ht="12.75" customHeight="1" x14ac:dyDescent="0.3">
      <c r="A994" s="38"/>
      <c r="B994" s="17"/>
      <c r="C994" s="38"/>
      <c r="D994" s="146"/>
      <c r="E994" s="146"/>
      <c r="F994" s="17"/>
      <c r="G994" s="146"/>
      <c r="H994" s="146"/>
      <c r="I994" s="239" t="str">
        <f>IF(ISBLANK(continental!I47),"",continental!I47)</f>
        <v/>
      </c>
      <c r="K994" s="262" t="s">
        <v>4241</v>
      </c>
      <c r="O994" s="262" t="s">
        <v>4241</v>
      </c>
    </row>
    <row r="995" spans="1:15" ht="12.75" customHeight="1" x14ac:dyDescent="0.3">
      <c r="A995" s="38" t="s">
        <v>1974</v>
      </c>
      <c r="B995" s="17"/>
      <c r="C995" s="17"/>
      <c r="D995" s="17"/>
      <c r="E995" s="17"/>
      <c r="F995" s="17"/>
      <c r="G995" s="38" t="s">
        <v>1975</v>
      </c>
      <c r="H995" s="38" t="s">
        <v>617</v>
      </c>
      <c r="I995" s="239" t="str">
        <f>IF(ISBLANK(continental!I48),"",continental!I48)</f>
        <v/>
      </c>
      <c r="K995" s="262" t="s">
        <v>4241</v>
      </c>
      <c r="L995" s="262">
        <v>0</v>
      </c>
      <c r="O995" s="262" t="s">
        <v>4241</v>
      </c>
    </row>
    <row r="996" spans="1:15" ht="12.75" customHeight="1" x14ac:dyDescent="0.3">
      <c r="A996" s="38" t="s">
        <v>1976</v>
      </c>
      <c r="B996" s="17"/>
      <c r="C996" s="17"/>
      <c r="D996" s="17"/>
      <c r="E996" s="17"/>
      <c r="F996" s="17"/>
      <c r="G996" s="38" t="s">
        <v>1977</v>
      </c>
      <c r="H996" s="38" t="s">
        <v>617</v>
      </c>
      <c r="I996" s="239" t="str">
        <f>IF(ISBLANK(continental!I49),"",continental!I49)</f>
        <v/>
      </c>
      <c r="K996" s="262" t="s">
        <v>4241</v>
      </c>
      <c r="O996" s="262" t="s">
        <v>4241</v>
      </c>
    </row>
    <row r="997" spans="1:15" ht="12.75" customHeight="1" x14ac:dyDescent="0.3">
      <c r="A997" s="38"/>
      <c r="B997" s="38"/>
      <c r="C997" s="38" t="s">
        <v>1978</v>
      </c>
      <c r="D997" s="17"/>
      <c r="E997" s="17"/>
      <c r="F997" s="17"/>
      <c r="G997" s="38" t="s">
        <v>1979</v>
      </c>
      <c r="H997" s="17" t="s">
        <v>1044</v>
      </c>
      <c r="I997" s="239" t="str">
        <f>IF(ISBLANK(continental!I50),"",continental!I50)</f>
        <v/>
      </c>
      <c r="K997" s="262" t="s">
        <v>4241</v>
      </c>
      <c r="O997" s="262" t="s">
        <v>4241</v>
      </c>
    </row>
    <row r="998" spans="1:15" ht="12.75" customHeight="1" x14ac:dyDescent="0.3">
      <c r="A998" s="38"/>
      <c r="B998" s="17"/>
      <c r="C998" s="38"/>
      <c r="D998" s="146"/>
      <c r="E998" s="146"/>
      <c r="F998" s="17"/>
      <c r="G998" s="146"/>
      <c r="H998" s="146"/>
      <c r="I998" s="239" t="str">
        <f>IF(ISBLANK(continental!I51),"",continental!I51)</f>
        <v/>
      </c>
      <c r="K998" s="262" t="s">
        <v>4241</v>
      </c>
      <c r="O998" s="262" t="s">
        <v>4241</v>
      </c>
    </row>
    <row r="999" spans="1:15" ht="12.75" customHeight="1" x14ac:dyDescent="0.3">
      <c r="A999" s="38" t="s">
        <v>1980</v>
      </c>
      <c r="B999" s="17"/>
      <c r="C999" s="17"/>
      <c r="D999" s="17"/>
      <c r="E999" s="17"/>
      <c r="F999" s="17"/>
      <c r="G999" s="38" t="s">
        <v>1981</v>
      </c>
      <c r="H999" s="38" t="s">
        <v>617</v>
      </c>
      <c r="I999" s="239" t="str">
        <f>IF(ISBLANK(continental!I52),"",continental!I52)</f>
        <v/>
      </c>
      <c r="K999" s="262" t="s">
        <v>4241</v>
      </c>
      <c r="O999" s="262" t="s">
        <v>4241</v>
      </c>
    </row>
    <row r="1000" spans="1:15" ht="12.75" customHeight="1" x14ac:dyDescent="0.3">
      <c r="A1000" s="38" t="s">
        <v>1982</v>
      </c>
      <c r="B1000" s="17"/>
      <c r="C1000" s="17"/>
      <c r="D1000" s="17"/>
      <c r="E1000" s="17"/>
      <c r="F1000" s="17"/>
      <c r="G1000" s="38" t="s">
        <v>1983</v>
      </c>
      <c r="H1000" s="38" t="s">
        <v>617</v>
      </c>
      <c r="I1000" s="239" t="str">
        <f>IF(ISBLANK(continental!I53),"",continental!I53)</f>
        <v/>
      </c>
      <c r="K1000" s="262" t="s">
        <v>4241</v>
      </c>
      <c r="O1000" s="262" t="s">
        <v>4241</v>
      </c>
    </row>
    <row r="1001" spans="1:15" ht="12.75" customHeight="1" x14ac:dyDescent="0.3">
      <c r="A1001" s="38" t="s">
        <v>1984</v>
      </c>
      <c r="B1001" s="17"/>
      <c r="C1001" s="17"/>
      <c r="D1001" s="17"/>
      <c r="E1001" s="17"/>
      <c r="F1001" s="17"/>
      <c r="G1001" s="38" t="s">
        <v>1985</v>
      </c>
      <c r="H1001" s="38" t="s">
        <v>617</v>
      </c>
      <c r="I1001" s="239" t="str">
        <f>IF(ISBLANK(continental!I54),"",continental!I54)</f>
        <v/>
      </c>
      <c r="K1001" s="262" t="s">
        <v>4241</v>
      </c>
      <c r="O1001" s="262" t="s">
        <v>4241</v>
      </c>
    </row>
    <row r="1002" spans="1:15" ht="12.75" customHeight="1" x14ac:dyDescent="0.3">
      <c r="A1002" s="38" t="s">
        <v>1986</v>
      </c>
      <c r="B1002" s="17"/>
      <c r="C1002" s="17"/>
      <c r="D1002" s="17"/>
      <c r="E1002" s="17"/>
      <c r="F1002" s="17"/>
      <c r="G1002" s="38" t="s">
        <v>1987</v>
      </c>
      <c r="H1002" s="38" t="s">
        <v>617</v>
      </c>
      <c r="I1002" s="239" t="str">
        <f>IF(ISBLANK(continental!I55),"",continental!I55)</f>
        <v/>
      </c>
      <c r="K1002" s="262" t="s">
        <v>4241</v>
      </c>
      <c r="L1002" s="262">
        <v>0</v>
      </c>
      <c r="O1002" s="262" t="s">
        <v>4241</v>
      </c>
    </row>
    <row r="1003" spans="1:15" ht="12.75" customHeight="1" x14ac:dyDescent="0.3">
      <c r="A1003" s="38" t="s">
        <v>1988</v>
      </c>
      <c r="B1003" s="17"/>
      <c r="C1003" s="17"/>
      <c r="D1003" s="17"/>
      <c r="E1003" s="17"/>
      <c r="F1003" s="17"/>
      <c r="G1003" s="38" t="s">
        <v>1989</v>
      </c>
      <c r="H1003" s="38" t="s">
        <v>617</v>
      </c>
      <c r="I1003" s="239" t="str">
        <f>IF(ISBLANK(continental!I56),"",continental!I56)</f>
        <v/>
      </c>
      <c r="K1003" s="262" t="s">
        <v>4241</v>
      </c>
      <c r="O1003" s="262" t="s">
        <v>4241</v>
      </c>
    </row>
    <row r="1004" spans="1:15" ht="12.75" customHeight="1" x14ac:dyDescent="0.3">
      <c r="A1004" s="38"/>
      <c r="B1004" s="38" t="s">
        <v>1990</v>
      </c>
      <c r="C1004" s="17"/>
      <c r="D1004" s="17"/>
      <c r="E1004" s="146"/>
      <c r="F1004" s="146"/>
      <c r="G1004" s="146" t="s">
        <v>1991</v>
      </c>
      <c r="H1004" s="38" t="s">
        <v>1058</v>
      </c>
      <c r="I1004" s="239" t="str">
        <f>IF(ISBLANK(continental!I57),"",continental!I57)</f>
        <v/>
      </c>
      <c r="K1004" s="262" t="s">
        <v>4241</v>
      </c>
      <c r="O1004" s="262" t="s">
        <v>4241</v>
      </c>
    </row>
    <row r="1005" spans="1:15" ht="12.75" customHeight="1" x14ac:dyDescent="0.3">
      <c r="A1005" s="38"/>
      <c r="B1005" s="38" t="s">
        <v>1992</v>
      </c>
      <c r="C1005" s="17"/>
      <c r="D1005" s="17"/>
      <c r="E1005" s="146"/>
      <c r="F1005" s="146"/>
      <c r="G1005" s="146" t="s">
        <v>1993</v>
      </c>
      <c r="H1005" s="38" t="s">
        <v>1058</v>
      </c>
      <c r="I1005" s="239" t="str">
        <f>IF(ISBLANK(continental!I58),"",continental!I58)</f>
        <v/>
      </c>
      <c r="K1005" s="262" t="s">
        <v>4241</v>
      </c>
      <c r="O1005" s="262" t="s">
        <v>4241</v>
      </c>
    </row>
    <row r="1006" spans="1:15" ht="12.75" customHeight="1" x14ac:dyDescent="0.3">
      <c r="A1006" s="38"/>
      <c r="B1006" s="38" t="s">
        <v>1994</v>
      </c>
      <c r="C1006" s="17"/>
      <c r="D1006" s="17"/>
      <c r="E1006" s="146"/>
      <c r="F1006" s="146"/>
      <c r="G1006" s="146" t="s">
        <v>1995</v>
      </c>
      <c r="H1006" s="38" t="s">
        <v>1058</v>
      </c>
      <c r="I1006" s="239" t="str">
        <f>IF(ISBLANK(continental!I59),"",continental!I59)</f>
        <v/>
      </c>
      <c r="K1006" s="262" t="s">
        <v>4241</v>
      </c>
      <c r="O1006" s="262" t="s">
        <v>4241</v>
      </c>
    </row>
    <row r="1007" spans="1:15" ht="12.75" customHeight="1" x14ac:dyDescent="0.3">
      <c r="A1007" s="38"/>
      <c r="B1007" s="38" t="s">
        <v>1996</v>
      </c>
      <c r="C1007" s="17"/>
      <c r="D1007" s="17"/>
      <c r="E1007" s="146"/>
      <c r="F1007" s="146"/>
      <c r="G1007" s="146" t="s">
        <v>1997</v>
      </c>
      <c r="H1007" s="17" t="s">
        <v>1058</v>
      </c>
      <c r="I1007" s="239" t="str">
        <f>IF(ISBLANK(continental!I60),"",continental!I60)</f>
        <v/>
      </c>
      <c r="K1007" s="262" t="s">
        <v>4241</v>
      </c>
      <c r="O1007" s="262" t="s">
        <v>4241</v>
      </c>
    </row>
    <row r="1008" spans="1:15" ht="12.75" customHeight="1" x14ac:dyDescent="0.3">
      <c r="A1008" s="38"/>
      <c r="B1008" s="38" t="s">
        <v>1998</v>
      </c>
      <c r="C1008" s="17"/>
      <c r="D1008" s="17"/>
      <c r="E1008" s="146"/>
      <c r="F1008" s="146"/>
      <c r="G1008" s="146" t="s">
        <v>1999</v>
      </c>
      <c r="H1008" s="17" t="s">
        <v>1058</v>
      </c>
      <c r="I1008" s="239" t="str">
        <f>IF(ISBLANK(continental!I61),"",continental!I61)</f>
        <v/>
      </c>
      <c r="K1008" s="262" t="s">
        <v>4241</v>
      </c>
      <c r="O1008" s="262" t="s">
        <v>4241</v>
      </c>
    </row>
    <row r="1009" spans="1:15" ht="12.75" customHeight="1" x14ac:dyDescent="0.3">
      <c r="A1009" s="38" t="s">
        <v>2000</v>
      </c>
      <c r="B1009" s="17"/>
      <c r="C1009" s="17"/>
      <c r="D1009" s="17"/>
      <c r="E1009" s="17"/>
      <c r="F1009" s="17"/>
      <c r="G1009" s="38" t="s">
        <v>2001</v>
      </c>
      <c r="H1009" s="38" t="s">
        <v>617</v>
      </c>
      <c r="I1009" s="239" t="str">
        <f>IF(ISBLANK(continental!I62),"",continental!I62)</f>
        <v/>
      </c>
      <c r="K1009" s="262" t="s">
        <v>4241</v>
      </c>
      <c r="L1009" s="262">
        <v>0</v>
      </c>
      <c r="O1009" s="262" t="s">
        <v>4241</v>
      </c>
    </row>
    <row r="1010" spans="1:15" ht="12.75" customHeight="1" x14ac:dyDescent="0.3">
      <c r="A1010" s="38" t="s">
        <v>2002</v>
      </c>
      <c r="B1010" s="17"/>
      <c r="C1010" s="17"/>
      <c r="D1010" s="17"/>
      <c r="E1010" s="17"/>
      <c r="F1010" s="17"/>
      <c r="G1010" s="38" t="s">
        <v>2003</v>
      </c>
      <c r="H1010" s="38" t="s">
        <v>617</v>
      </c>
      <c r="I1010" s="239" t="str">
        <f>IF(ISBLANK(continental!I63),"",continental!I63)</f>
        <v/>
      </c>
      <c r="K1010" s="262" t="s">
        <v>4241</v>
      </c>
      <c r="O1010" s="262" t="s">
        <v>4241</v>
      </c>
    </row>
    <row r="1011" spans="1:15" ht="12.75" customHeight="1" x14ac:dyDescent="0.3">
      <c r="A1011" s="38"/>
      <c r="B1011" s="38" t="s">
        <v>2004</v>
      </c>
      <c r="C1011" s="17"/>
      <c r="D1011" s="17"/>
      <c r="E1011" s="17"/>
      <c r="F1011" s="17"/>
      <c r="G1011" s="146" t="s">
        <v>2005</v>
      </c>
      <c r="H1011" s="17" t="s">
        <v>1058</v>
      </c>
      <c r="I1011" s="239" t="str">
        <f>IF(ISBLANK(continental!I64),"",continental!I64)</f>
        <v/>
      </c>
      <c r="K1011" s="262" t="s">
        <v>4241</v>
      </c>
      <c r="L1011" s="262">
        <v>0</v>
      </c>
      <c r="O1011" s="262" t="s">
        <v>4241</v>
      </c>
    </row>
    <row r="1012" spans="1:15" ht="12.75" customHeight="1" x14ac:dyDescent="0.3">
      <c r="A1012" s="38"/>
      <c r="B1012" s="38" t="s">
        <v>2006</v>
      </c>
      <c r="C1012" s="17"/>
      <c r="D1012" s="17"/>
      <c r="E1012" s="146"/>
      <c r="F1012" s="146"/>
      <c r="G1012" s="146" t="s">
        <v>2007</v>
      </c>
      <c r="H1012" s="17" t="s">
        <v>1058</v>
      </c>
      <c r="I1012" s="239" t="str">
        <f>IF(ISBLANK(continental!I65),"",continental!I65)</f>
        <v/>
      </c>
      <c r="K1012" s="262" t="s">
        <v>4241</v>
      </c>
      <c r="O1012" s="262" t="s">
        <v>4241</v>
      </c>
    </row>
    <row r="1013" spans="1:15" ht="12.75" customHeight="1" x14ac:dyDescent="0.3">
      <c r="A1013" s="38"/>
      <c r="B1013" s="38"/>
      <c r="C1013" s="38" t="s">
        <v>2008</v>
      </c>
      <c r="D1013" s="17"/>
      <c r="E1013" s="17"/>
      <c r="F1013" s="17"/>
      <c r="G1013" s="38" t="s">
        <v>2009</v>
      </c>
      <c r="H1013" s="38" t="s">
        <v>1044</v>
      </c>
      <c r="I1013" s="239" t="str">
        <f>IF(ISBLANK(continental!I66),"",continental!I66)</f>
        <v/>
      </c>
      <c r="K1013" s="262" t="s">
        <v>4241</v>
      </c>
      <c r="O1013" s="262" t="s">
        <v>4241</v>
      </c>
    </row>
    <row r="1014" spans="1:15" ht="12.75" customHeight="1" x14ac:dyDescent="0.3">
      <c r="A1014" s="17"/>
      <c r="B1014" s="17"/>
      <c r="C1014" s="17"/>
      <c r="D1014" s="17"/>
      <c r="E1014" s="17"/>
      <c r="F1014" s="17"/>
      <c r="G1014" s="17"/>
      <c r="H1014" s="17"/>
      <c r="I1014" s="239" t="str">
        <f>IF(ISBLANK(continental!I67),"",continental!I67)</f>
        <v/>
      </c>
      <c r="K1014" s="262" t="s">
        <v>4241</v>
      </c>
      <c r="O1014" s="262" t="s">
        <v>4241</v>
      </c>
    </row>
    <row r="1015" spans="1:15" ht="12.75" customHeight="1" x14ac:dyDescent="0.3">
      <c r="A1015" s="148" t="s">
        <v>2010</v>
      </c>
      <c r="B1015" s="147"/>
      <c r="C1015" s="147"/>
      <c r="D1015" s="147"/>
      <c r="E1015" s="147"/>
      <c r="F1015" s="147"/>
      <c r="G1015" s="148" t="s">
        <v>258</v>
      </c>
      <c r="H1015" s="148" t="s">
        <v>274</v>
      </c>
      <c r="I1015" s="239" t="str">
        <f>IF(ISBLANK(continental!I68),"",continental!I68)</f>
        <v>User input</v>
      </c>
      <c r="K1015" s="262" t="s">
        <v>259</v>
      </c>
      <c r="O1015" s="262" t="s">
        <v>259</v>
      </c>
    </row>
    <row r="1016" spans="1:15" ht="12.75" customHeight="1" x14ac:dyDescent="0.3">
      <c r="A1016" s="169"/>
      <c r="B1016" s="170"/>
      <c r="C1016" s="171"/>
      <c r="D1016" s="171"/>
      <c r="E1016" s="169"/>
      <c r="F1016" s="169"/>
      <c r="G1016" s="169"/>
      <c r="H1016" s="171"/>
      <c r="I1016" s="239" t="str">
        <f>IF(ISBLANK(continental!I69),"",continental!I69)</f>
        <v/>
      </c>
      <c r="K1016" s="262" t="s">
        <v>4241</v>
      </c>
      <c r="O1016" s="262" t="s">
        <v>4241</v>
      </c>
    </row>
    <row r="1017" spans="1:15" ht="12.75" customHeight="1" x14ac:dyDescent="0.3">
      <c r="A1017" s="5"/>
      <c r="B1017" s="38" t="s">
        <v>2011</v>
      </c>
      <c r="C1017" s="38"/>
      <c r="D1017" s="38"/>
      <c r="E1017" s="38"/>
      <c r="F1017" s="38"/>
      <c r="G1017" s="38" t="s">
        <v>2012</v>
      </c>
      <c r="H1017" s="38" t="s">
        <v>291</v>
      </c>
      <c r="I1017" s="239" t="str">
        <f>IF(ISBLANK(continental!I70),"",continental!I70)</f>
        <v/>
      </c>
      <c r="K1017" s="262" t="s">
        <v>4241</v>
      </c>
      <c r="O1017" s="262" t="s">
        <v>4241</v>
      </c>
    </row>
    <row r="1018" spans="1:15" ht="12.75" customHeight="1" x14ac:dyDescent="0.3">
      <c r="A1018" s="17"/>
      <c r="B1018" s="17" t="s">
        <v>2013</v>
      </c>
      <c r="C1018" s="17"/>
      <c r="D1018" s="17"/>
      <c r="E1018" s="17"/>
      <c r="F1018" s="17"/>
      <c r="G1018" s="17" t="s">
        <v>2014</v>
      </c>
      <c r="H1018" s="17" t="s">
        <v>291</v>
      </c>
      <c r="I1018" s="239" t="str">
        <f>IF(ISBLANK(continental!I71),"",continental!I71)</f>
        <v/>
      </c>
      <c r="K1018" s="262" t="s">
        <v>4241</v>
      </c>
      <c r="O1018" s="262" t="s">
        <v>4241</v>
      </c>
    </row>
    <row r="1019" spans="1:15" ht="12.75" customHeight="1" x14ac:dyDescent="0.3">
      <c r="A1019" s="17"/>
      <c r="B1019" s="17" t="s">
        <v>2015</v>
      </c>
      <c r="C1019" s="17"/>
      <c r="D1019" s="17"/>
      <c r="E1019" s="17"/>
      <c r="F1019" s="17"/>
      <c r="G1019" s="17" t="s">
        <v>2016</v>
      </c>
      <c r="H1019" s="17" t="s">
        <v>291</v>
      </c>
      <c r="I1019" s="239" t="str">
        <f>IF(ISBLANK(continental!I72),"",continental!I72)</f>
        <v/>
      </c>
      <c r="K1019" s="262" t="s">
        <v>4241</v>
      </c>
      <c r="O1019" s="262" t="s">
        <v>4241</v>
      </c>
    </row>
    <row r="1020" spans="1:15" ht="12.75" customHeight="1" x14ac:dyDescent="0.3">
      <c r="A1020" s="17"/>
      <c r="B1020" s="17"/>
      <c r="C1020" s="38" t="s">
        <v>2017</v>
      </c>
      <c r="D1020" s="38"/>
      <c r="E1020" s="38"/>
      <c r="F1020" s="38"/>
      <c r="G1020" s="38" t="s">
        <v>2018</v>
      </c>
      <c r="H1020" s="38" t="s">
        <v>291</v>
      </c>
      <c r="I1020" s="239" t="str">
        <f>IF(ISBLANK(continental!I73),"",continental!I73)</f>
        <v/>
      </c>
      <c r="K1020" s="262" t="s">
        <v>4241</v>
      </c>
      <c r="O1020" s="262" t="s">
        <v>4241</v>
      </c>
    </row>
    <row r="1021" spans="1:15" ht="12.75" customHeight="1" x14ac:dyDescent="0.4">
      <c r="A1021" s="17"/>
      <c r="B1021" s="17"/>
      <c r="C1021" s="17" t="s">
        <v>2019</v>
      </c>
      <c r="D1021" s="17"/>
      <c r="E1021" s="17"/>
      <c r="F1021" s="17"/>
      <c r="G1021" s="17" t="s">
        <v>2020</v>
      </c>
      <c r="H1021" s="17" t="s">
        <v>1081</v>
      </c>
      <c r="I1021" s="239" t="str">
        <f>IF(ISBLANK(continental!I74),"",continental!I74)</f>
        <v/>
      </c>
      <c r="K1021" s="262" t="s">
        <v>4241</v>
      </c>
      <c r="O1021" s="262" t="s">
        <v>4241</v>
      </c>
    </row>
    <row r="1022" spans="1:15" ht="12.75" customHeight="1" x14ac:dyDescent="0.4">
      <c r="A1022" s="17"/>
      <c r="B1022" s="17"/>
      <c r="C1022" s="17" t="s">
        <v>2021</v>
      </c>
      <c r="D1022" s="17"/>
      <c r="E1022" s="17"/>
      <c r="F1022" s="17"/>
      <c r="G1022" s="17" t="s">
        <v>2022</v>
      </c>
      <c r="H1022" s="17" t="s">
        <v>1084</v>
      </c>
      <c r="I1022" s="239" t="str">
        <f>IF(ISBLANK(continental!I75),"",continental!I75)</f>
        <v/>
      </c>
      <c r="K1022" s="262" t="s">
        <v>4241</v>
      </c>
      <c r="O1022" s="262" t="s">
        <v>4241</v>
      </c>
    </row>
    <row r="1023" spans="1:15" ht="12.75" customHeight="1" x14ac:dyDescent="0.3">
      <c r="A1023" s="38"/>
      <c r="B1023" s="38" t="s">
        <v>2023</v>
      </c>
      <c r="C1023" s="146"/>
      <c r="D1023" s="17"/>
      <c r="E1023" s="17"/>
      <c r="F1023" s="17"/>
      <c r="G1023" s="146" t="s">
        <v>2024</v>
      </c>
      <c r="H1023" s="38" t="s">
        <v>291</v>
      </c>
      <c r="I1023" s="239" t="str">
        <f>IF(ISBLANK(continental!I76),"",continental!I76)</f>
        <v/>
      </c>
      <c r="K1023" s="262" t="s">
        <v>4241</v>
      </c>
      <c r="O1023" s="262" t="s">
        <v>4241</v>
      </c>
    </row>
    <row r="1024" spans="1:15" ht="12.75" customHeight="1" x14ac:dyDescent="0.3">
      <c r="A1024" s="38"/>
      <c r="B1024" s="17"/>
      <c r="C1024" s="38" t="s">
        <v>1088</v>
      </c>
      <c r="D1024" s="17"/>
      <c r="E1024" s="17"/>
      <c r="F1024" s="17"/>
      <c r="G1024" s="146" t="s">
        <v>2025</v>
      </c>
      <c r="H1024" s="38" t="s">
        <v>1090</v>
      </c>
      <c r="I1024" s="239" t="str">
        <f>IF(ISBLANK(continental!I77),"",continental!I77)</f>
        <v/>
      </c>
      <c r="J1024" s="228"/>
      <c r="K1024" s="262" t="s">
        <v>4241</v>
      </c>
      <c r="O1024" s="262" t="s">
        <v>4241</v>
      </c>
    </row>
    <row r="1025" spans="1:15" ht="12.75" customHeight="1" x14ac:dyDescent="0.3">
      <c r="A1025" s="38"/>
      <c r="B1025" s="17"/>
      <c r="C1025" s="38" t="s">
        <v>1092</v>
      </c>
      <c r="D1025" s="17"/>
      <c r="E1025" s="17"/>
      <c r="F1025" s="17"/>
      <c r="G1025" s="146" t="s">
        <v>2026</v>
      </c>
      <c r="H1025" s="38" t="s">
        <v>291</v>
      </c>
      <c r="I1025" s="239" t="str">
        <f>IF(ISBLANK(continental!I78),"",continental!I78)</f>
        <v/>
      </c>
      <c r="J1025" s="411"/>
      <c r="K1025" s="262" t="s">
        <v>4241</v>
      </c>
      <c r="O1025" s="262" t="s">
        <v>4241</v>
      </c>
    </row>
    <row r="1026" spans="1:15" ht="12.75" customHeight="1" x14ac:dyDescent="0.3">
      <c r="A1026" s="38"/>
      <c r="B1026" s="17"/>
      <c r="C1026" s="38" t="s">
        <v>723</v>
      </c>
      <c r="D1026" s="17"/>
      <c r="E1026" s="17"/>
      <c r="F1026" s="17"/>
      <c r="G1026" s="146" t="s">
        <v>755</v>
      </c>
      <c r="H1026" s="38" t="s">
        <v>579</v>
      </c>
      <c r="I1026" s="239" t="str">
        <f>IF(ISBLANK(input!I311),"",input!I311)</f>
        <v/>
      </c>
      <c r="J1026" s="228"/>
      <c r="K1026" s="262" t="s">
        <v>4241</v>
      </c>
      <c r="O1026" s="262" t="s">
        <v>4241</v>
      </c>
    </row>
    <row r="1027" spans="1:15" ht="12.75" customHeight="1" x14ac:dyDescent="0.3">
      <c r="A1027" s="38"/>
      <c r="B1027" s="17"/>
      <c r="C1027" s="38" t="s">
        <v>1094</v>
      </c>
      <c r="D1027" s="17"/>
      <c r="E1027" s="17"/>
      <c r="F1027" s="17"/>
      <c r="G1027" s="146" t="s">
        <v>2027</v>
      </c>
      <c r="H1027" s="38" t="s">
        <v>1096</v>
      </c>
      <c r="I1027" s="239" t="str">
        <f>IF(ISBLANK(continental!I79),"",continental!I79)</f>
        <v/>
      </c>
      <c r="K1027" s="262" t="s">
        <v>4241</v>
      </c>
      <c r="O1027" s="262" t="s">
        <v>4241</v>
      </c>
    </row>
    <row r="1028" spans="1:15" ht="12.75" customHeight="1" x14ac:dyDescent="0.3">
      <c r="A1028" s="38"/>
      <c r="B1028" s="17"/>
      <c r="C1028" s="38" t="s">
        <v>714</v>
      </c>
      <c r="D1028" s="17"/>
      <c r="E1028" s="17"/>
      <c r="F1028" s="17"/>
      <c r="G1028" s="146" t="s">
        <v>752</v>
      </c>
      <c r="H1028" s="38" t="s">
        <v>716</v>
      </c>
      <c r="I1028" s="239" t="str">
        <f>IF(ISBLANK(input!I308),"",input!I308)</f>
        <v/>
      </c>
      <c r="K1028" s="262" t="s">
        <v>4241</v>
      </c>
      <c r="O1028" s="262" t="s">
        <v>4241</v>
      </c>
    </row>
    <row r="1029" spans="1:15" ht="12.75" customHeight="1" x14ac:dyDescent="0.3">
      <c r="A1029" s="38"/>
      <c r="B1029" s="38" t="s">
        <v>2028</v>
      </c>
      <c r="C1029" s="146"/>
      <c r="D1029" s="17"/>
      <c r="E1029" s="17"/>
      <c r="F1029" s="17"/>
      <c r="G1029" s="146" t="s">
        <v>2029</v>
      </c>
      <c r="H1029" s="38" t="s">
        <v>291</v>
      </c>
      <c r="I1029" s="239" t="str">
        <f>IF(ISBLANK(continental!I80),"",continental!I80)</f>
        <v/>
      </c>
      <c r="K1029" s="262" t="s">
        <v>4241</v>
      </c>
      <c r="O1029" s="262" t="s">
        <v>4241</v>
      </c>
    </row>
    <row r="1030" spans="1:15" ht="12.75" customHeight="1" x14ac:dyDescent="0.3">
      <c r="A1030" s="38"/>
      <c r="B1030" s="17"/>
      <c r="C1030" s="38" t="s">
        <v>1088</v>
      </c>
      <c r="D1030" s="17"/>
      <c r="E1030" s="17"/>
      <c r="F1030" s="17"/>
      <c r="G1030" s="146" t="s">
        <v>2030</v>
      </c>
      <c r="H1030" s="38" t="s">
        <v>1096</v>
      </c>
      <c r="I1030" s="239" t="str">
        <f>IF(ISBLANK(continental!I81),"",continental!I81)</f>
        <v/>
      </c>
      <c r="K1030" s="262" t="s">
        <v>4241</v>
      </c>
      <c r="O1030" s="262" t="s">
        <v>4241</v>
      </c>
    </row>
    <row r="1031" spans="1:15" ht="12.75" customHeight="1" x14ac:dyDescent="0.3">
      <c r="A1031" s="38"/>
      <c r="B1031" s="17"/>
      <c r="C1031" s="38" t="s">
        <v>1092</v>
      </c>
      <c r="D1031" s="17"/>
      <c r="E1031" s="17"/>
      <c r="F1031" s="17"/>
      <c r="G1031" s="146" t="s">
        <v>2031</v>
      </c>
      <c r="H1031" s="38" t="s">
        <v>291</v>
      </c>
      <c r="I1031" s="239" t="str">
        <f>IF(ISBLANK(continental!I82),"",continental!I82)</f>
        <v/>
      </c>
      <c r="K1031" s="262" t="s">
        <v>4241</v>
      </c>
      <c r="O1031" s="262" t="s">
        <v>4241</v>
      </c>
    </row>
    <row r="1032" spans="1:15" ht="12.75" customHeight="1" x14ac:dyDescent="0.3">
      <c r="A1032" s="38"/>
      <c r="B1032" s="17"/>
      <c r="C1032" s="38" t="s">
        <v>723</v>
      </c>
      <c r="D1032" s="17"/>
      <c r="E1032" s="17"/>
      <c r="F1032" s="17"/>
      <c r="G1032" s="146" t="s">
        <v>756</v>
      </c>
      <c r="H1032" s="38" t="s">
        <v>716</v>
      </c>
      <c r="I1032" s="239" t="str">
        <f>IF(ISBLANK(input!I312),"",input!I312)</f>
        <v/>
      </c>
      <c r="K1032" s="262" t="s">
        <v>4241</v>
      </c>
      <c r="O1032" s="262" t="s">
        <v>4241</v>
      </c>
    </row>
    <row r="1033" spans="1:15" ht="12.75" customHeight="1" x14ac:dyDescent="0.3">
      <c r="A1033" s="38"/>
      <c r="B1033" s="17"/>
      <c r="C1033" s="38" t="s">
        <v>1094</v>
      </c>
      <c r="D1033" s="17"/>
      <c r="E1033" s="17"/>
      <c r="F1033" s="17"/>
      <c r="G1033" s="146" t="s">
        <v>2032</v>
      </c>
      <c r="H1033" s="38" t="s">
        <v>1096</v>
      </c>
      <c r="I1033" s="239" t="str">
        <f>IF(ISBLANK(continental!I83),"",continental!I83)</f>
        <v/>
      </c>
      <c r="K1033" s="262" t="s">
        <v>4241</v>
      </c>
      <c r="O1033" s="262" t="s">
        <v>4241</v>
      </c>
    </row>
    <row r="1034" spans="1:15" ht="12.75" customHeight="1" x14ac:dyDescent="0.3">
      <c r="A1034" s="38"/>
      <c r="B1034" s="17"/>
      <c r="C1034" s="38" t="s">
        <v>714</v>
      </c>
      <c r="D1034" s="17"/>
      <c r="E1034" s="17"/>
      <c r="F1034" s="17"/>
      <c r="G1034" s="146" t="s">
        <v>753</v>
      </c>
      <c r="H1034" s="38" t="s">
        <v>716</v>
      </c>
      <c r="I1034" s="239" t="str">
        <f>IF(ISBLANK(input!I309),"",input!I309)</f>
        <v/>
      </c>
      <c r="K1034" s="262" t="s">
        <v>4241</v>
      </c>
      <c r="O1034" s="262" t="s">
        <v>4241</v>
      </c>
    </row>
    <row r="1035" spans="1:15" ht="12.75" customHeight="1" x14ac:dyDescent="0.3">
      <c r="A1035" s="38"/>
      <c r="B1035" s="38" t="s">
        <v>2033</v>
      </c>
      <c r="C1035" s="146"/>
      <c r="D1035" s="17"/>
      <c r="E1035" s="17"/>
      <c r="F1035" s="17"/>
      <c r="G1035" s="146" t="s">
        <v>2034</v>
      </c>
      <c r="H1035" s="38" t="s">
        <v>291</v>
      </c>
      <c r="I1035" s="239" t="str">
        <f>IF(ISBLANK(continental!I84),"",continental!I84)</f>
        <v/>
      </c>
      <c r="K1035" s="262" t="s">
        <v>4241</v>
      </c>
      <c r="O1035" s="262" t="s">
        <v>4241</v>
      </c>
    </row>
    <row r="1036" spans="1:15" ht="12.75" customHeight="1" x14ac:dyDescent="0.3">
      <c r="A1036" s="38"/>
      <c r="B1036" s="17"/>
      <c r="C1036" s="38" t="s">
        <v>1088</v>
      </c>
      <c r="D1036" s="17"/>
      <c r="E1036" s="17"/>
      <c r="F1036" s="17"/>
      <c r="G1036" s="146" t="s">
        <v>2035</v>
      </c>
      <c r="H1036" s="38" t="s">
        <v>1096</v>
      </c>
      <c r="I1036" s="239" t="str">
        <f>IF(ISBLANK(continental!I85),"",continental!I85)</f>
        <v/>
      </c>
      <c r="K1036" s="262" t="s">
        <v>4241</v>
      </c>
      <c r="O1036" s="262" t="s">
        <v>4241</v>
      </c>
    </row>
    <row r="1037" spans="1:15" ht="12.75" customHeight="1" x14ac:dyDescent="0.3">
      <c r="A1037" s="38"/>
      <c r="B1037" s="17"/>
      <c r="C1037" s="38" t="s">
        <v>1092</v>
      </c>
      <c r="D1037" s="17"/>
      <c r="E1037" s="17"/>
      <c r="F1037" s="17"/>
      <c r="G1037" s="146" t="s">
        <v>2036</v>
      </c>
      <c r="H1037" s="38" t="s">
        <v>291</v>
      </c>
      <c r="I1037" s="239" t="str">
        <f>IF(ISBLANK(continental!I86),"",continental!I86)</f>
        <v/>
      </c>
      <c r="K1037" s="262" t="s">
        <v>4241</v>
      </c>
      <c r="O1037" s="262" t="s">
        <v>4241</v>
      </c>
    </row>
    <row r="1038" spans="1:15" ht="12.75" customHeight="1" x14ac:dyDescent="0.3">
      <c r="A1038" s="38"/>
      <c r="B1038" s="17"/>
      <c r="C1038" s="38" t="s">
        <v>725</v>
      </c>
      <c r="D1038" s="17"/>
      <c r="E1038" s="17"/>
      <c r="F1038" s="17"/>
      <c r="G1038" s="146" t="s">
        <v>757</v>
      </c>
      <c r="H1038" s="38" t="s">
        <v>716</v>
      </c>
      <c r="I1038" s="239" t="str">
        <f>IF(ISBLANK(input!I313),"",input!I313)</f>
        <v/>
      </c>
      <c r="K1038" s="262" t="s">
        <v>4241</v>
      </c>
      <c r="O1038" s="262" t="s">
        <v>4241</v>
      </c>
    </row>
    <row r="1039" spans="1:15" ht="12.75" customHeight="1" x14ac:dyDescent="0.3">
      <c r="A1039" s="38"/>
      <c r="B1039" s="17"/>
      <c r="C1039" s="38" t="s">
        <v>1094</v>
      </c>
      <c r="D1039" s="17"/>
      <c r="E1039" s="17"/>
      <c r="F1039" s="17"/>
      <c r="G1039" s="146" t="s">
        <v>2037</v>
      </c>
      <c r="H1039" s="38" t="s">
        <v>1096</v>
      </c>
      <c r="I1039" s="239" t="str">
        <f>IF(ISBLANK(continental!I87),"",continental!I87)</f>
        <v/>
      </c>
      <c r="K1039" s="262" t="s">
        <v>4241</v>
      </c>
      <c r="O1039" s="262" t="s">
        <v>4241</v>
      </c>
    </row>
    <row r="1040" spans="1:15" ht="12.75" customHeight="1" x14ac:dyDescent="0.3">
      <c r="A1040" s="38"/>
      <c r="B1040" s="17"/>
      <c r="C1040" s="38" t="s">
        <v>714</v>
      </c>
      <c r="D1040" s="17"/>
      <c r="E1040" s="17"/>
      <c r="F1040" s="17"/>
      <c r="G1040" s="146" t="s">
        <v>754</v>
      </c>
      <c r="H1040" s="38" t="s">
        <v>716</v>
      </c>
      <c r="I1040" s="239" t="str">
        <f>IF(ISBLANK(input!I310),"",input!I310)</f>
        <v/>
      </c>
      <c r="K1040" s="262" t="s">
        <v>4241</v>
      </c>
      <c r="O1040" s="262" t="s">
        <v>4241</v>
      </c>
    </row>
    <row r="1041" spans="1:15" ht="12.75" customHeight="1" x14ac:dyDescent="0.3">
      <c r="A1041" s="567"/>
      <c r="B1041" s="567" t="s">
        <v>1107</v>
      </c>
      <c r="C1041" s="679"/>
      <c r="D1041" s="566"/>
      <c r="E1041" s="566"/>
      <c r="F1041" s="566"/>
      <c r="G1041" s="679" t="s">
        <v>2038</v>
      </c>
      <c r="H1041" s="567" t="s">
        <v>291</v>
      </c>
      <c r="I1041" s="239" t="str">
        <f>IF(ISBLANK(continental!I88),"",continental!I88)</f>
        <v/>
      </c>
      <c r="K1041" s="262" t="s">
        <v>4241</v>
      </c>
      <c r="O1041" s="262" t="s">
        <v>4241</v>
      </c>
    </row>
    <row r="1042" spans="1:15" ht="12.75" customHeight="1" x14ac:dyDescent="0.3">
      <c r="A1042" s="567"/>
      <c r="B1042" s="566"/>
      <c r="C1042" s="567" t="s">
        <v>1109</v>
      </c>
      <c r="D1042" s="566"/>
      <c r="E1042" s="566"/>
      <c r="F1042" s="566"/>
      <c r="G1042" s="679" t="s">
        <v>2039</v>
      </c>
      <c r="H1042" s="567" t="s">
        <v>1096</v>
      </c>
      <c r="I1042" s="239" t="str">
        <f>IF(ISBLANK(continental!I89),"",continental!I89)</f>
        <v/>
      </c>
      <c r="K1042" s="262" t="s">
        <v>4241</v>
      </c>
      <c r="O1042" s="262" t="s">
        <v>4241</v>
      </c>
    </row>
    <row r="1043" spans="1:15" ht="12.75" customHeight="1" x14ac:dyDescent="0.3">
      <c r="A1043" s="567"/>
      <c r="B1043" s="566"/>
      <c r="C1043" s="567" t="s">
        <v>1111</v>
      </c>
      <c r="D1043" s="566"/>
      <c r="E1043" s="566"/>
      <c r="F1043" s="566"/>
      <c r="G1043" s="679" t="s">
        <v>2040</v>
      </c>
      <c r="H1043" s="567" t="s">
        <v>291</v>
      </c>
      <c r="I1043" s="239" t="str">
        <f>IF(ISBLANK(continental!I90),"",continental!I90)</f>
        <v/>
      </c>
      <c r="K1043" s="262" t="s">
        <v>4241</v>
      </c>
      <c r="O1043" s="262" t="s">
        <v>4241</v>
      </c>
    </row>
    <row r="1044" spans="1:15" ht="12.75" customHeight="1" x14ac:dyDescent="0.3">
      <c r="A1044" s="38"/>
      <c r="B1044" s="38" t="s">
        <v>1113</v>
      </c>
      <c r="C1044" s="146"/>
      <c r="D1044" s="17"/>
      <c r="E1044" s="17"/>
      <c r="F1044" s="17"/>
      <c r="G1044" s="146" t="s">
        <v>2041</v>
      </c>
      <c r="H1044" s="38" t="s">
        <v>291</v>
      </c>
      <c r="I1044" s="239" t="str">
        <f>IF(ISBLANK(continental!I91),"",continental!I91)</f>
        <v/>
      </c>
      <c r="K1044" s="262" t="s">
        <v>4241</v>
      </c>
      <c r="O1044" s="262" t="s">
        <v>4241</v>
      </c>
    </row>
    <row r="1045" spans="1:15" ht="12.75" customHeight="1" x14ac:dyDescent="0.3">
      <c r="A1045" s="38"/>
      <c r="B1045" s="17"/>
      <c r="C1045" s="38" t="s">
        <v>1115</v>
      </c>
      <c r="D1045" s="17"/>
      <c r="E1045" s="17"/>
      <c r="F1045" s="17"/>
      <c r="G1045" s="146" t="s">
        <v>2042</v>
      </c>
      <c r="H1045" s="38" t="s">
        <v>1096</v>
      </c>
      <c r="I1045" s="239" t="str">
        <f>IF(ISBLANK(continental!I92),"",continental!I92)</f>
        <v/>
      </c>
      <c r="K1045" s="262" t="s">
        <v>4241</v>
      </c>
      <c r="O1045" s="262" t="s">
        <v>4241</v>
      </c>
    </row>
    <row r="1046" spans="1:15" ht="12.75" customHeight="1" x14ac:dyDescent="0.3">
      <c r="A1046" s="38"/>
      <c r="B1046" s="17"/>
      <c r="C1046" s="38" t="s">
        <v>1117</v>
      </c>
      <c r="D1046" s="17"/>
      <c r="E1046" s="17"/>
      <c r="F1046" s="17"/>
      <c r="G1046" s="146" t="s">
        <v>2043</v>
      </c>
      <c r="H1046" s="38" t="s">
        <v>291</v>
      </c>
      <c r="I1046" s="239" t="str">
        <f>IF(ISBLANK(continental!I93),"",continental!I93)</f>
        <v/>
      </c>
      <c r="K1046" s="262" t="s">
        <v>4241</v>
      </c>
      <c r="O1046" s="262" t="s">
        <v>4241</v>
      </c>
    </row>
    <row r="1047" spans="1:15" ht="12.75" customHeight="1" x14ac:dyDescent="0.3">
      <c r="A1047" s="38"/>
      <c r="B1047" s="38" t="s">
        <v>1119</v>
      </c>
      <c r="C1047" s="146"/>
      <c r="D1047" s="17"/>
      <c r="E1047" s="17"/>
      <c r="F1047" s="17"/>
      <c r="G1047" s="146" t="s">
        <v>2044</v>
      </c>
      <c r="H1047" s="38" t="s">
        <v>291</v>
      </c>
      <c r="I1047" s="239" t="str">
        <f>IF(ISBLANK(continental!I94),"",continental!I94)</f>
        <v/>
      </c>
      <c r="K1047" s="262" t="s">
        <v>4241</v>
      </c>
      <c r="O1047" s="262" t="s">
        <v>4241</v>
      </c>
    </row>
    <row r="1048" spans="1:15" ht="12.75" customHeight="1" x14ac:dyDescent="0.3">
      <c r="A1048" s="38"/>
      <c r="B1048" s="17"/>
      <c r="C1048" s="38" t="s">
        <v>1121</v>
      </c>
      <c r="D1048" s="17"/>
      <c r="E1048" s="17"/>
      <c r="F1048" s="17"/>
      <c r="G1048" s="146" t="s">
        <v>2045</v>
      </c>
      <c r="H1048" s="38" t="s">
        <v>1096</v>
      </c>
      <c r="I1048" s="239" t="str">
        <f>IF(ISBLANK(continental!I95),"",continental!I95)</f>
        <v/>
      </c>
      <c r="K1048" s="262" t="s">
        <v>4241</v>
      </c>
      <c r="O1048" s="262" t="s">
        <v>4241</v>
      </c>
    </row>
    <row r="1049" spans="1:15" ht="12.75" customHeight="1" x14ac:dyDescent="0.3">
      <c r="A1049" s="38"/>
      <c r="B1049" s="17"/>
      <c r="C1049" s="38" t="s">
        <v>1123</v>
      </c>
      <c r="D1049" s="17"/>
      <c r="E1049" s="17"/>
      <c r="F1049" s="17"/>
      <c r="G1049" s="146" t="s">
        <v>2046</v>
      </c>
      <c r="H1049" s="38" t="s">
        <v>291</v>
      </c>
      <c r="I1049" s="239" t="str">
        <f>IF(ISBLANK(continental!I96),"",continental!I96)</f>
        <v/>
      </c>
      <c r="K1049" s="262" t="s">
        <v>4241</v>
      </c>
      <c r="O1049" s="262" t="s">
        <v>4241</v>
      </c>
    </row>
    <row r="1050" spans="1:15" ht="12.75" customHeight="1" x14ac:dyDescent="0.3">
      <c r="A1050" s="38"/>
      <c r="B1050" s="38" t="s">
        <v>1125</v>
      </c>
      <c r="C1050" s="146"/>
      <c r="D1050" s="17"/>
      <c r="E1050" s="17"/>
      <c r="F1050" s="17"/>
      <c r="G1050" s="146" t="s">
        <v>2047</v>
      </c>
      <c r="H1050" s="38" t="s">
        <v>291</v>
      </c>
      <c r="I1050" s="239" t="str">
        <f>IF(ISBLANK(continental!I97),"",continental!I97)</f>
        <v/>
      </c>
      <c r="K1050" s="262" t="s">
        <v>4241</v>
      </c>
      <c r="O1050" s="262" t="s">
        <v>4241</v>
      </c>
    </row>
    <row r="1051" spans="1:15" ht="12.75" customHeight="1" x14ac:dyDescent="0.3">
      <c r="A1051" s="38"/>
      <c r="B1051" s="38" t="s">
        <v>2048</v>
      </c>
      <c r="C1051" s="146"/>
      <c r="D1051" s="17"/>
      <c r="E1051" s="17"/>
      <c r="F1051" s="17"/>
      <c r="G1051" s="146" t="s">
        <v>2049</v>
      </c>
      <c r="H1051" s="38" t="s">
        <v>291</v>
      </c>
      <c r="I1051" s="239" t="str">
        <f>IF(ISBLANK(continental!I98),"",continental!I98)</f>
        <v/>
      </c>
      <c r="K1051" s="262" t="s">
        <v>4241</v>
      </c>
      <c r="O1051" s="262" t="s">
        <v>4241</v>
      </c>
    </row>
    <row r="1052" spans="1:15" ht="12.75" customHeight="1" x14ac:dyDescent="0.3">
      <c r="A1052" s="38"/>
      <c r="B1052" s="38" t="s">
        <v>2050</v>
      </c>
      <c r="C1052" s="146"/>
      <c r="D1052" s="17"/>
      <c r="E1052" s="17"/>
      <c r="F1052" s="17"/>
      <c r="G1052" s="146" t="s">
        <v>2051</v>
      </c>
      <c r="H1052" s="38" t="s">
        <v>291</v>
      </c>
      <c r="I1052" s="239" t="str">
        <f>IF(ISBLANK(continental!I99),"",continental!I99)</f>
        <v/>
      </c>
      <c r="K1052" s="262" t="s">
        <v>4241</v>
      </c>
      <c r="O1052" s="262" t="s">
        <v>4241</v>
      </c>
    </row>
    <row r="1053" spans="1:15" ht="12.75" customHeight="1" x14ac:dyDescent="0.3">
      <c r="A1053" s="38"/>
      <c r="B1053" s="17"/>
      <c r="C1053" s="38" t="s">
        <v>1131</v>
      </c>
      <c r="D1053" s="17"/>
      <c r="E1053" s="17"/>
      <c r="F1053" s="17"/>
      <c r="G1053" s="146" t="s">
        <v>2052</v>
      </c>
      <c r="H1053" s="38" t="s">
        <v>1096</v>
      </c>
      <c r="I1053" s="239" t="str">
        <f>IF(ISBLANK(continental!I100),"",continental!I100)</f>
        <v/>
      </c>
      <c r="K1053" s="262" t="s">
        <v>4241</v>
      </c>
      <c r="O1053" s="262" t="s">
        <v>4241</v>
      </c>
    </row>
    <row r="1054" spans="1:15" ht="12.75" customHeight="1" x14ac:dyDescent="0.3">
      <c r="A1054" s="38"/>
      <c r="B1054" s="17"/>
      <c r="C1054" s="38" t="s">
        <v>1133</v>
      </c>
      <c r="D1054" s="17"/>
      <c r="E1054" s="17"/>
      <c r="F1054" s="17"/>
      <c r="G1054" s="146" t="s">
        <v>2053</v>
      </c>
      <c r="H1054" s="38" t="s">
        <v>291</v>
      </c>
      <c r="I1054" s="239" t="str">
        <f>IF(ISBLANK(continental!I101),"",continental!I101)</f>
        <v/>
      </c>
      <c r="K1054" s="262" t="s">
        <v>4241</v>
      </c>
      <c r="O1054" s="262" t="s">
        <v>4241</v>
      </c>
    </row>
    <row r="1055" spans="1:15" ht="12.75" customHeight="1" x14ac:dyDescent="0.3">
      <c r="A1055" s="38"/>
      <c r="B1055" s="38" t="s">
        <v>1135</v>
      </c>
      <c r="C1055" s="146"/>
      <c r="D1055" s="17"/>
      <c r="E1055" s="17"/>
      <c r="F1055" s="17"/>
      <c r="G1055" s="146" t="s">
        <v>2054</v>
      </c>
      <c r="H1055" s="38" t="s">
        <v>291</v>
      </c>
      <c r="I1055" s="239" t="str">
        <f>IF(ISBLANK(continental!I102),"",continental!I102)</f>
        <v/>
      </c>
      <c r="K1055" s="262" t="s">
        <v>4241</v>
      </c>
      <c r="O1055" s="262" t="s">
        <v>4241</v>
      </c>
    </row>
    <row r="1056" spans="1:15" ht="12.75" customHeight="1" x14ac:dyDescent="0.3">
      <c r="A1056" s="38"/>
      <c r="B1056" s="38" t="s">
        <v>2055</v>
      </c>
      <c r="C1056" s="146"/>
      <c r="D1056" s="17"/>
      <c r="E1056" s="17"/>
      <c r="F1056" s="17"/>
      <c r="G1056" s="146" t="s">
        <v>2056</v>
      </c>
      <c r="H1056" s="38" t="s">
        <v>291</v>
      </c>
      <c r="I1056" s="239" t="str">
        <f>IF(ISBLANK(continental!I103),"",continental!I103)</f>
        <v/>
      </c>
      <c r="K1056" s="262" t="s">
        <v>4241</v>
      </c>
      <c r="O1056" s="262" t="s">
        <v>4241</v>
      </c>
    </row>
    <row r="1057" spans="1:15" ht="12.75" customHeight="1" x14ac:dyDescent="0.3">
      <c r="A1057" s="38"/>
      <c r="B1057" s="38" t="s">
        <v>2057</v>
      </c>
      <c r="C1057" s="146"/>
      <c r="D1057" s="17"/>
      <c r="E1057" s="17"/>
      <c r="F1057" s="17"/>
      <c r="G1057" s="146" t="s">
        <v>2058</v>
      </c>
      <c r="H1057" s="38" t="s">
        <v>291</v>
      </c>
      <c r="I1057" s="239" t="str">
        <f>IF(ISBLANK(continental!I104),"",continental!I104)</f>
        <v/>
      </c>
      <c r="K1057" s="262" t="s">
        <v>4241</v>
      </c>
      <c r="O1057" s="262" t="s">
        <v>4241</v>
      </c>
    </row>
    <row r="1058" spans="1:15" ht="12.75" customHeight="1" x14ac:dyDescent="0.3">
      <c r="A1058" s="38"/>
      <c r="B1058" s="17"/>
      <c r="C1058" s="38" t="s">
        <v>1141</v>
      </c>
      <c r="D1058" s="17"/>
      <c r="E1058" s="17"/>
      <c r="F1058" s="17"/>
      <c r="G1058" s="146" t="s">
        <v>2059</v>
      </c>
      <c r="H1058" s="38" t="s">
        <v>1096</v>
      </c>
      <c r="I1058" s="239" t="str">
        <f>IF(ISBLANK(continental!I105),"",continental!I105)</f>
        <v/>
      </c>
      <c r="K1058" s="262" t="s">
        <v>4241</v>
      </c>
      <c r="O1058" s="262" t="s">
        <v>4241</v>
      </c>
    </row>
    <row r="1059" spans="1:15" ht="12.75" customHeight="1" x14ac:dyDescent="0.3">
      <c r="A1059" s="38"/>
      <c r="B1059" s="17"/>
      <c r="C1059" s="38" t="s">
        <v>1143</v>
      </c>
      <c r="D1059" s="17"/>
      <c r="E1059" s="17"/>
      <c r="F1059" s="17"/>
      <c r="G1059" s="146" t="s">
        <v>2060</v>
      </c>
      <c r="H1059" s="38" t="s">
        <v>291</v>
      </c>
      <c r="I1059" s="239" t="str">
        <f>IF(ISBLANK(continental!I106),"",continental!I106)</f>
        <v/>
      </c>
      <c r="K1059" s="262" t="s">
        <v>4241</v>
      </c>
      <c r="O1059" s="262" t="s">
        <v>4241</v>
      </c>
    </row>
    <row r="1060" spans="1:15" ht="12.75" customHeight="1" x14ac:dyDescent="0.3">
      <c r="A1060" s="38"/>
      <c r="B1060" s="38" t="s">
        <v>1145</v>
      </c>
      <c r="C1060" s="146"/>
      <c r="D1060" s="17"/>
      <c r="E1060" s="17"/>
      <c r="F1060" s="17"/>
      <c r="G1060" s="146" t="s">
        <v>2061</v>
      </c>
      <c r="H1060" s="38" t="s">
        <v>291</v>
      </c>
      <c r="I1060" s="239" t="str">
        <f>IF(ISBLANK(continental!I107),"",continental!I107)</f>
        <v/>
      </c>
      <c r="K1060" s="262" t="s">
        <v>4241</v>
      </c>
      <c r="O1060" s="262" t="s">
        <v>4241</v>
      </c>
    </row>
    <row r="1061" spans="1:15" ht="12.75" customHeight="1" x14ac:dyDescent="0.3">
      <c r="A1061" s="38"/>
      <c r="B1061" s="38" t="s">
        <v>2062</v>
      </c>
      <c r="C1061" s="146"/>
      <c r="D1061" s="17"/>
      <c r="E1061" s="17"/>
      <c r="F1061" s="17"/>
      <c r="G1061" s="146" t="s">
        <v>2063</v>
      </c>
      <c r="H1061" s="38" t="s">
        <v>291</v>
      </c>
      <c r="I1061" s="239" t="str">
        <f>IF(ISBLANK(continental!I108),"",continental!I108)</f>
        <v/>
      </c>
      <c r="K1061" s="262" t="s">
        <v>4241</v>
      </c>
      <c r="O1061" s="262" t="s">
        <v>4241</v>
      </c>
    </row>
    <row r="1062" spans="1:15" ht="12.75" customHeight="1" x14ac:dyDescent="0.3">
      <c r="A1062" s="38"/>
      <c r="B1062" s="38" t="s">
        <v>2064</v>
      </c>
      <c r="C1062" s="146"/>
      <c r="D1062" s="17"/>
      <c r="E1062" s="17"/>
      <c r="F1062" s="17"/>
      <c r="G1062" s="146" t="s">
        <v>2065</v>
      </c>
      <c r="H1062" s="38" t="s">
        <v>291</v>
      </c>
      <c r="I1062" s="239" t="str">
        <f>IF(ISBLANK(continental!I109),"",continental!I109)</f>
        <v/>
      </c>
      <c r="K1062" s="262" t="s">
        <v>4241</v>
      </c>
      <c r="O1062" s="262" t="s">
        <v>4241</v>
      </c>
    </row>
    <row r="1063" spans="1:15" ht="12.75" customHeight="1" x14ac:dyDescent="0.3">
      <c r="A1063" s="38"/>
      <c r="B1063" s="17"/>
      <c r="C1063" s="38" t="s">
        <v>1151</v>
      </c>
      <c r="D1063" s="17"/>
      <c r="E1063" s="17"/>
      <c r="F1063" s="17"/>
      <c r="G1063" s="146" t="s">
        <v>2066</v>
      </c>
      <c r="H1063" s="38" t="s">
        <v>1096</v>
      </c>
      <c r="I1063" s="239" t="str">
        <f>IF(ISBLANK(continental!I110),"",continental!I110)</f>
        <v/>
      </c>
      <c r="K1063" s="262" t="s">
        <v>4241</v>
      </c>
      <c r="O1063" s="262" t="s">
        <v>4241</v>
      </c>
    </row>
    <row r="1064" spans="1:15" ht="12.75" customHeight="1" x14ac:dyDescent="0.3">
      <c r="A1064" s="38"/>
      <c r="B1064" s="17"/>
      <c r="C1064" s="38" t="s">
        <v>1153</v>
      </c>
      <c r="D1064" s="17"/>
      <c r="E1064" s="17"/>
      <c r="F1064" s="17"/>
      <c r="G1064" s="146" t="s">
        <v>2067</v>
      </c>
      <c r="H1064" s="38" t="s">
        <v>291</v>
      </c>
      <c r="I1064" s="239" t="str">
        <f>IF(ISBLANK(continental!I111),"",continental!I111)</f>
        <v/>
      </c>
      <c r="K1064" s="262" t="s">
        <v>4241</v>
      </c>
      <c r="O1064" s="262" t="s">
        <v>4241</v>
      </c>
    </row>
    <row r="1065" spans="1:15" ht="12.75" customHeight="1" x14ac:dyDescent="0.3">
      <c r="A1065" s="17"/>
      <c r="B1065" s="17"/>
      <c r="C1065" s="17"/>
      <c r="D1065" s="17"/>
      <c r="E1065" s="17"/>
      <c r="F1065" s="17"/>
      <c r="G1065" s="17"/>
      <c r="H1065" s="17"/>
      <c r="I1065" s="239" t="str">
        <f>IF(ISBLANK(continental!I112),"",continental!I112)</f>
        <v/>
      </c>
      <c r="K1065" s="262" t="s">
        <v>4241</v>
      </c>
      <c r="O1065" s="262" t="s">
        <v>4241</v>
      </c>
    </row>
    <row r="1066" spans="1:15" ht="12.75" customHeight="1" x14ac:dyDescent="0.3">
      <c r="A1066" s="148" t="s">
        <v>1155</v>
      </c>
      <c r="B1066" s="147"/>
      <c r="C1066" s="147"/>
      <c r="D1066" s="147"/>
      <c r="E1066" s="147"/>
      <c r="F1066" s="147"/>
      <c r="G1066" s="148" t="s">
        <v>258</v>
      </c>
      <c r="H1066" s="148" t="s">
        <v>274</v>
      </c>
      <c r="I1066" s="239" t="str">
        <f>IF(ISBLANK(continental!I113),"",continental!I113)</f>
        <v>User input</v>
      </c>
      <c r="K1066" s="262" t="s">
        <v>259</v>
      </c>
      <c r="O1066" s="262" t="s">
        <v>259</v>
      </c>
    </row>
    <row r="1067" spans="1:15" ht="12.75" customHeight="1" x14ac:dyDescent="0.3">
      <c r="A1067" s="17"/>
      <c r="B1067" s="17"/>
      <c r="C1067" s="17"/>
      <c r="D1067" s="17"/>
      <c r="E1067" s="17"/>
      <c r="F1067" s="17"/>
      <c r="G1067" s="17"/>
      <c r="H1067" s="17"/>
      <c r="I1067" s="239" t="str">
        <f>IF(ISBLANK(continental!I114),"",continental!I114)</f>
        <v/>
      </c>
      <c r="K1067" s="262" t="s">
        <v>4241</v>
      </c>
      <c r="O1067" s="262" t="s">
        <v>4241</v>
      </c>
    </row>
    <row r="1068" spans="1:15" ht="12.75" customHeight="1" x14ac:dyDescent="0.3">
      <c r="A1068" s="38" t="s">
        <v>2068</v>
      </c>
      <c r="B1068" s="17"/>
      <c r="C1068" s="17"/>
      <c r="D1068" s="17"/>
      <c r="E1068" s="17"/>
      <c r="F1068" s="17"/>
      <c r="G1068" s="38" t="s">
        <v>2069</v>
      </c>
      <c r="H1068" s="38" t="s">
        <v>617</v>
      </c>
      <c r="I1068" s="239" t="str">
        <f>IF(ISBLANK(continental!I115),"",continental!I115)</f>
        <v/>
      </c>
      <c r="K1068" s="262" t="s">
        <v>4241</v>
      </c>
      <c r="O1068" s="262" t="s">
        <v>4241</v>
      </c>
    </row>
    <row r="1069" spans="1:15" ht="12.75" customHeight="1" x14ac:dyDescent="0.3">
      <c r="A1069" s="38" t="s">
        <v>2070</v>
      </c>
      <c r="B1069" s="17"/>
      <c r="C1069" s="17"/>
      <c r="D1069" s="17"/>
      <c r="E1069" s="17"/>
      <c r="F1069" s="17"/>
      <c r="G1069" s="38" t="s">
        <v>2071</v>
      </c>
      <c r="H1069" s="38" t="s">
        <v>617</v>
      </c>
      <c r="I1069" s="239" t="str">
        <f>IF(ISBLANK(continental!I116),"",continental!I116)</f>
        <v/>
      </c>
      <c r="K1069" s="262" t="s">
        <v>4241</v>
      </c>
      <c r="O1069" s="262" t="s">
        <v>4241</v>
      </c>
    </row>
    <row r="1070" spans="1:15" ht="12.75" customHeight="1" x14ac:dyDescent="0.3">
      <c r="A1070" s="38" t="s">
        <v>2072</v>
      </c>
      <c r="B1070" s="17"/>
      <c r="C1070" s="17"/>
      <c r="D1070" s="17"/>
      <c r="E1070" s="17"/>
      <c r="F1070" s="17"/>
      <c r="G1070" s="38" t="s">
        <v>2073</v>
      </c>
      <c r="H1070" s="38" t="s">
        <v>617</v>
      </c>
      <c r="I1070" s="239" t="str">
        <f>IF(ISBLANK(continental!I117),"",continental!I117)</f>
        <v/>
      </c>
      <c r="K1070" s="262" t="s">
        <v>4241</v>
      </c>
      <c r="O1070" s="262" t="s">
        <v>4241</v>
      </c>
    </row>
    <row r="1071" spans="1:15" ht="12.75" customHeight="1" x14ac:dyDescent="0.3">
      <c r="A1071" s="38" t="s">
        <v>2074</v>
      </c>
      <c r="B1071" s="17"/>
      <c r="C1071" s="17"/>
      <c r="D1071" s="17"/>
      <c r="E1071" s="17"/>
      <c r="F1071" s="17"/>
      <c r="G1071" s="38" t="s">
        <v>2075</v>
      </c>
      <c r="H1071" s="38" t="s">
        <v>617</v>
      </c>
      <c r="I1071" s="239" t="str">
        <f>IF(ISBLANK(continental!I118),"",continental!I118)</f>
        <v/>
      </c>
      <c r="K1071" s="262" t="s">
        <v>4241</v>
      </c>
      <c r="O1071" s="262" t="s">
        <v>4241</v>
      </c>
    </row>
    <row r="1072" spans="1:15" ht="12.75" customHeight="1" x14ac:dyDescent="0.3">
      <c r="A1072" s="38" t="s">
        <v>2076</v>
      </c>
      <c r="B1072" s="17"/>
      <c r="C1072" s="17"/>
      <c r="D1072" s="17"/>
      <c r="E1072" s="17"/>
      <c r="F1072" s="17"/>
      <c r="G1072" s="38" t="s">
        <v>2077</v>
      </c>
      <c r="H1072" s="38" t="s">
        <v>617</v>
      </c>
      <c r="I1072" s="239" t="str">
        <f>IF(ISBLANK(continental!I119),"",continental!I119)</f>
        <v/>
      </c>
      <c r="K1072" s="262" t="s">
        <v>4241</v>
      </c>
      <c r="O1072" s="262" t="s">
        <v>4241</v>
      </c>
    </row>
    <row r="1073" spans="1:15" ht="12.75" customHeight="1" x14ac:dyDescent="0.3">
      <c r="A1073" s="38" t="s">
        <v>2078</v>
      </c>
      <c r="B1073" s="17"/>
      <c r="C1073" s="17"/>
      <c r="D1073" s="17"/>
      <c r="E1073" s="17"/>
      <c r="F1073" s="17"/>
      <c r="G1073" s="38" t="s">
        <v>2079</v>
      </c>
      <c r="H1073" s="38" t="s">
        <v>617</v>
      </c>
      <c r="I1073" s="239" t="str">
        <f>IF(ISBLANK(continental!I120),"",continental!I120)</f>
        <v/>
      </c>
      <c r="K1073" s="262" t="s">
        <v>4241</v>
      </c>
      <c r="O1073" s="262" t="s">
        <v>4241</v>
      </c>
    </row>
    <row r="1074" spans="1:15" ht="12.75" customHeight="1" x14ac:dyDescent="0.3">
      <c r="A1074" s="38" t="s">
        <v>2080</v>
      </c>
      <c r="B1074" s="17"/>
      <c r="C1074" s="17"/>
      <c r="D1074" s="17"/>
      <c r="E1074" s="17"/>
      <c r="F1074" s="17"/>
      <c r="G1074" s="38" t="s">
        <v>2081</v>
      </c>
      <c r="H1074" s="38" t="s">
        <v>617</v>
      </c>
      <c r="I1074" s="239" t="str">
        <f>IF(ISBLANK(continental!I121),"",continental!I121)</f>
        <v/>
      </c>
      <c r="K1074" s="262" t="s">
        <v>4241</v>
      </c>
      <c r="O1074" s="262" t="s">
        <v>4241</v>
      </c>
    </row>
    <row r="1075" spans="1:15" ht="12.75" customHeight="1" x14ac:dyDescent="0.3">
      <c r="A1075" s="38" t="s">
        <v>2080</v>
      </c>
      <c r="B1075" s="17"/>
      <c r="C1075" s="17"/>
      <c r="D1075" s="17"/>
      <c r="E1075" s="17"/>
      <c r="F1075" s="17"/>
      <c r="G1075" s="38" t="s">
        <v>2082</v>
      </c>
      <c r="H1075" s="38" t="s">
        <v>617</v>
      </c>
      <c r="I1075" s="239" t="str">
        <f>IF(ISBLANK(continental!I122),"",continental!I122)</f>
        <v/>
      </c>
      <c r="K1075" s="262" t="s">
        <v>4241</v>
      </c>
      <c r="O1075" s="262" t="s">
        <v>4241</v>
      </c>
    </row>
    <row r="1076" spans="1:15" ht="12.75" customHeight="1" x14ac:dyDescent="0.3">
      <c r="A1076" s="38" t="s">
        <v>2083</v>
      </c>
      <c r="B1076" s="17"/>
      <c r="C1076" s="17"/>
      <c r="D1076" s="17"/>
      <c r="E1076" s="17"/>
      <c r="F1076" s="17"/>
      <c r="G1076" s="38" t="s">
        <v>2084</v>
      </c>
      <c r="H1076" s="38" t="s">
        <v>617</v>
      </c>
      <c r="I1076" s="239" t="str">
        <f>IF(ISBLANK(continental!I123),"",continental!I123)</f>
        <v/>
      </c>
      <c r="K1076" s="262" t="s">
        <v>4241</v>
      </c>
      <c r="O1076" s="262" t="s">
        <v>4241</v>
      </c>
    </row>
    <row r="1077" spans="1:15" ht="12.75" customHeight="1" x14ac:dyDescent="0.3">
      <c r="A1077" s="38" t="s">
        <v>2085</v>
      </c>
      <c r="B1077" s="17"/>
      <c r="C1077" s="17"/>
      <c r="D1077" s="17"/>
      <c r="E1077" s="17"/>
      <c r="F1077" s="17"/>
      <c r="G1077" s="38" t="s">
        <v>2086</v>
      </c>
      <c r="H1077" s="38" t="s">
        <v>617</v>
      </c>
      <c r="I1077" s="239" t="str">
        <f>IF(ISBLANK(continental!I124),"",continental!I124)</f>
        <v/>
      </c>
      <c r="K1077" s="262" t="s">
        <v>4241</v>
      </c>
      <c r="O1077" s="262" t="s">
        <v>4241</v>
      </c>
    </row>
    <row r="1078" spans="1:15" ht="12.75" customHeight="1" x14ac:dyDescent="0.3">
      <c r="A1078" s="38" t="s">
        <v>2087</v>
      </c>
      <c r="B1078" s="17"/>
      <c r="C1078" s="17"/>
      <c r="D1078" s="17"/>
      <c r="E1078" s="17"/>
      <c r="F1078" s="17"/>
      <c r="G1078" s="38" t="s">
        <v>2088</v>
      </c>
      <c r="H1078" s="38" t="s">
        <v>617</v>
      </c>
      <c r="I1078" s="239" t="str">
        <f>IF(ISBLANK(continental!I125),"",continental!I125)</f>
        <v/>
      </c>
      <c r="J1078" s="228"/>
      <c r="K1078" s="262" t="s">
        <v>4241</v>
      </c>
      <c r="O1078" s="262" t="s">
        <v>4241</v>
      </c>
    </row>
    <row r="1079" spans="1:15" ht="12.75" customHeight="1" x14ac:dyDescent="0.3">
      <c r="A1079" s="38" t="s">
        <v>2089</v>
      </c>
      <c r="B1079" s="17"/>
      <c r="C1079" s="17"/>
      <c r="D1079" s="17"/>
      <c r="E1079" s="17"/>
      <c r="F1079" s="17"/>
      <c r="G1079" s="38" t="s">
        <v>2090</v>
      </c>
      <c r="H1079" s="38" t="s">
        <v>617</v>
      </c>
      <c r="I1079" s="239" t="str">
        <f>IF(ISBLANK(continental!I126),"",continental!I126)</f>
        <v/>
      </c>
      <c r="J1079" s="411"/>
      <c r="K1079" s="262" t="s">
        <v>4241</v>
      </c>
      <c r="O1079" s="262" t="s">
        <v>4241</v>
      </c>
    </row>
    <row r="1080" spans="1:15" ht="12.75" customHeight="1" x14ac:dyDescent="0.3">
      <c r="A1080" s="38"/>
      <c r="B1080" s="17" t="s">
        <v>2091</v>
      </c>
      <c r="C1080" s="17"/>
      <c r="D1080" s="17"/>
      <c r="E1080" s="17"/>
      <c r="F1080" s="17"/>
      <c r="G1080" s="38" t="s">
        <v>2092</v>
      </c>
      <c r="H1080" s="38" t="s">
        <v>335</v>
      </c>
      <c r="I1080" s="239" t="str">
        <f>IF(ISBLANK(continental!I127),"",continental!I127)</f>
        <v/>
      </c>
      <c r="J1080" s="228"/>
      <c r="K1080" s="262" t="s">
        <v>4241</v>
      </c>
      <c r="O1080" s="262" t="s">
        <v>4241</v>
      </c>
    </row>
    <row r="1081" spans="1:15" ht="12.75" customHeight="1" x14ac:dyDescent="0.3">
      <c r="A1081" s="38"/>
      <c r="B1081" s="17"/>
      <c r="C1081" s="17" t="s">
        <v>2093</v>
      </c>
      <c r="D1081" s="17"/>
      <c r="E1081" s="17"/>
      <c r="F1081" s="17"/>
      <c r="G1081" s="38" t="s">
        <v>2094</v>
      </c>
      <c r="H1081" s="38" t="s">
        <v>335</v>
      </c>
      <c r="I1081" s="239" t="str">
        <f>IF(ISBLANK(continental!I128),"",continental!I128)</f>
        <v/>
      </c>
      <c r="K1081" s="262" t="s">
        <v>4241</v>
      </c>
      <c r="O1081" s="262" t="s">
        <v>4241</v>
      </c>
    </row>
    <row r="1082" spans="1:15" ht="12.75" customHeight="1" x14ac:dyDescent="0.3">
      <c r="A1082" s="38"/>
      <c r="B1082" s="17"/>
      <c r="C1082" s="17"/>
      <c r="D1082" s="17" t="s">
        <v>2095</v>
      </c>
      <c r="E1082" s="17"/>
      <c r="F1082" s="17"/>
      <c r="G1082" s="38" t="s">
        <v>2096</v>
      </c>
      <c r="H1082" s="38" t="s">
        <v>335</v>
      </c>
      <c r="I1082" s="239" t="str">
        <f>IF(ISBLANK(continental!I129),"",continental!I129)</f>
        <v/>
      </c>
      <c r="K1082" s="262" t="s">
        <v>4241</v>
      </c>
      <c r="O1082" s="262" t="s">
        <v>4241</v>
      </c>
    </row>
    <row r="1083" spans="1:15" ht="12.75" customHeight="1" x14ac:dyDescent="0.3">
      <c r="A1083" s="38"/>
      <c r="B1083" s="17"/>
      <c r="C1083" s="17"/>
      <c r="D1083" s="17" t="s">
        <v>2097</v>
      </c>
      <c r="E1083" s="17"/>
      <c r="F1083" s="17"/>
      <c r="G1083" s="38" t="s">
        <v>2098</v>
      </c>
      <c r="H1083" s="38" t="s">
        <v>335</v>
      </c>
      <c r="I1083" s="239" t="str">
        <f>IF(ISBLANK(continental!I130),"",continental!I130)</f>
        <v/>
      </c>
      <c r="K1083" s="262" t="s">
        <v>4241</v>
      </c>
      <c r="O1083" s="262" t="s">
        <v>4241</v>
      </c>
    </row>
    <row r="1084" spans="1:15" ht="12.75" customHeight="1" x14ac:dyDescent="0.3">
      <c r="A1084" s="38"/>
      <c r="B1084" s="17" t="s">
        <v>1188</v>
      </c>
      <c r="C1084" s="17"/>
      <c r="D1084" s="17"/>
      <c r="E1084" s="17"/>
      <c r="F1084" s="17"/>
      <c r="G1084" s="38" t="s">
        <v>2099</v>
      </c>
      <c r="H1084" s="38" t="s">
        <v>1190</v>
      </c>
      <c r="I1084" s="239" t="str">
        <f>IF(ISBLANK(continental!I131),"",continental!I131)</f>
        <v/>
      </c>
      <c r="K1084" s="262" t="s">
        <v>4241</v>
      </c>
      <c r="O1084" s="262" t="s">
        <v>4241</v>
      </c>
    </row>
    <row r="1085" spans="1:15" ht="12.75" customHeight="1" x14ac:dyDescent="0.3">
      <c r="A1085" s="38"/>
      <c r="B1085" s="17" t="s">
        <v>1191</v>
      </c>
      <c r="C1085" s="17"/>
      <c r="D1085" s="17"/>
      <c r="E1085" s="17"/>
      <c r="F1085" s="17"/>
      <c r="G1085" s="38" t="s">
        <v>2100</v>
      </c>
      <c r="H1085" s="38" t="s">
        <v>1190</v>
      </c>
      <c r="I1085" s="239" t="str">
        <f>IF(ISBLANK(continental!I132),"",continental!I132)</f>
        <v/>
      </c>
      <c r="K1085" s="262" t="s">
        <v>4241</v>
      </c>
      <c r="O1085" s="262" t="s">
        <v>4241</v>
      </c>
    </row>
    <row r="1086" spans="1:15" ht="12.75" customHeight="1" x14ac:dyDescent="0.3">
      <c r="A1086" s="38"/>
      <c r="B1086" s="17" t="s">
        <v>1193</v>
      </c>
      <c r="C1086" s="17"/>
      <c r="D1086" s="17"/>
      <c r="E1086" s="17"/>
      <c r="F1086" s="17"/>
      <c r="G1086" s="38" t="s">
        <v>2101</v>
      </c>
      <c r="H1086" s="38" t="s">
        <v>866</v>
      </c>
      <c r="I1086" s="239" t="str">
        <f>IF(ISBLANK(continental!I133),"",continental!I133)</f>
        <v/>
      </c>
      <c r="K1086" s="262" t="s">
        <v>4241</v>
      </c>
      <c r="O1086" s="262" t="s">
        <v>4241</v>
      </c>
    </row>
    <row r="1087" spans="1:15" ht="12.75" customHeight="1" x14ac:dyDescent="0.3">
      <c r="A1087" s="38"/>
      <c r="B1087" s="17" t="s">
        <v>1196</v>
      </c>
      <c r="C1087" s="17"/>
      <c r="D1087" s="17"/>
      <c r="E1087" s="17"/>
      <c r="F1087" s="17"/>
      <c r="G1087" s="38" t="s">
        <v>2102</v>
      </c>
      <c r="H1087" s="38" t="s">
        <v>866</v>
      </c>
      <c r="I1087" s="239" t="str">
        <f>IF(ISBLANK(continental!I134),"",continental!I134)</f>
        <v/>
      </c>
      <c r="K1087" s="262" t="s">
        <v>4241</v>
      </c>
      <c r="O1087" s="262" t="s">
        <v>4241</v>
      </c>
    </row>
    <row r="1088" spans="1:15" ht="12.75" customHeight="1" x14ac:dyDescent="0.3">
      <c r="A1088" s="38"/>
      <c r="B1088" s="17" t="s">
        <v>2103</v>
      </c>
      <c r="C1088" s="17"/>
      <c r="D1088" s="17"/>
      <c r="E1088" s="17"/>
      <c r="F1088" s="17"/>
      <c r="G1088" s="38" t="s">
        <v>2104</v>
      </c>
      <c r="H1088" s="38" t="s">
        <v>866</v>
      </c>
      <c r="I1088" s="239" t="str">
        <f>IF(ISBLANK(continental!I135),"",continental!I135)</f>
        <v/>
      </c>
      <c r="K1088" s="262" t="s">
        <v>4241</v>
      </c>
      <c r="O1088" s="262" t="s">
        <v>4241</v>
      </c>
    </row>
    <row r="1089" spans="1:15" ht="12.75" customHeight="1" x14ac:dyDescent="0.3">
      <c r="A1089" s="38"/>
      <c r="B1089" s="17"/>
      <c r="C1089" s="17" t="s">
        <v>1200</v>
      </c>
      <c r="D1089" s="17"/>
      <c r="E1089" s="17"/>
      <c r="F1089" s="17"/>
      <c r="G1089" s="38" t="s">
        <v>2105</v>
      </c>
      <c r="H1089" s="38" t="s">
        <v>866</v>
      </c>
      <c r="I1089" s="239" t="str">
        <f>IF(ISBLANK(continental!I136),"",continental!I136)</f>
        <v/>
      </c>
      <c r="K1089" s="262" t="s">
        <v>4241</v>
      </c>
      <c r="O1089" s="262" t="s">
        <v>4241</v>
      </c>
    </row>
    <row r="1090" spans="1:15" ht="12.75" customHeight="1" x14ac:dyDescent="0.3">
      <c r="A1090" s="38"/>
      <c r="B1090" s="17"/>
      <c r="C1090" s="17" t="s">
        <v>1202</v>
      </c>
      <c r="D1090" s="17"/>
      <c r="E1090" s="17"/>
      <c r="F1090" s="17"/>
      <c r="G1090" s="38" t="s">
        <v>2106</v>
      </c>
      <c r="H1090" s="38" t="s">
        <v>291</v>
      </c>
      <c r="I1090" s="239" t="str">
        <f>IF(ISBLANK(continental!I137),"",continental!I137)</f>
        <v/>
      </c>
      <c r="K1090" s="262" t="s">
        <v>4241</v>
      </c>
      <c r="O1090" s="262" t="s">
        <v>4241</v>
      </c>
    </row>
    <row r="1091" spans="1:15" ht="12.75" customHeight="1" x14ac:dyDescent="0.3">
      <c r="A1091" s="38"/>
      <c r="B1091" s="17" t="s">
        <v>1204</v>
      </c>
      <c r="C1091" s="17"/>
      <c r="D1091" s="17"/>
      <c r="E1091" s="17"/>
      <c r="F1091" s="17"/>
      <c r="G1091" s="38" t="s">
        <v>2107</v>
      </c>
      <c r="H1091" s="38" t="s">
        <v>866</v>
      </c>
      <c r="I1091" s="239" t="str">
        <f>IF(ISBLANK(continental!I138),"",continental!I138)</f>
        <v/>
      </c>
      <c r="K1091" s="262" t="s">
        <v>4241</v>
      </c>
      <c r="O1091" s="262" t="s">
        <v>4241</v>
      </c>
    </row>
    <row r="1092" spans="1:15" ht="12.75" customHeight="1" x14ac:dyDescent="0.3">
      <c r="A1092" s="38"/>
      <c r="B1092" s="17" t="s">
        <v>1206</v>
      </c>
      <c r="C1092" s="17"/>
      <c r="D1092" s="17"/>
      <c r="E1092" s="17"/>
      <c r="F1092" s="17"/>
      <c r="G1092" s="38" t="s">
        <v>2109</v>
      </c>
      <c r="H1092" s="38" t="s">
        <v>866</v>
      </c>
      <c r="I1092" s="239" t="str">
        <f>IF(ISBLANK(continental!I139),"",continental!I139)</f>
        <v/>
      </c>
      <c r="K1092" s="262" t="s">
        <v>4241</v>
      </c>
      <c r="O1092" s="262" t="s">
        <v>4241</v>
      </c>
    </row>
    <row r="1093" spans="1:15" ht="12.75" customHeight="1" x14ac:dyDescent="0.3">
      <c r="A1093" s="38"/>
      <c r="B1093" s="17" t="s">
        <v>1208</v>
      </c>
      <c r="C1093" s="17"/>
      <c r="D1093" s="17"/>
      <c r="E1093" s="17"/>
      <c r="F1093" s="17"/>
      <c r="G1093" s="38" t="s">
        <v>2110</v>
      </c>
      <c r="H1093" s="38" t="s">
        <v>866</v>
      </c>
      <c r="I1093" s="239" t="str">
        <f>IF(ISBLANK(continental!I140),"",continental!I140)</f>
        <v/>
      </c>
      <c r="K1093" s="262" t="s">
        <v>4241</v>
      </c>
      <c r="O1093" s="262" t="s">
        <v>4241</v>
      </c>
    </row>
    <row r="1094" spans="1:15" ht="12.75" customHeight="1" x14ac:dyDescent="0.3">
      <c r="A1094" s="38"/>
      <c r="B1094" s="17" t="s">
        <v>1211</v>
      </c>
      <c r="C1094" s="17"/>
      <c r="D1094" s="17"/>
      <c r="E1094" s="17"/>
      <c r="F1094" s="17"/>
      <c r="G1094" s="38" t="s">
        <v>2111</v>
      </c>
      <c r="H1094" s="38" t="s">
        <v>866</v>
      </c>
      <c r="I1094" s="239" t="str">
        <f>IF(ISBLANK(continental!I141),"",continental!I141)</f>
        <v/>
      </c>
      <c r="K1094" s="262" t="s">
        <v>4241</v>
      </c>
      <c r="O1094" s="262" t="s">
        <v>4241</v>
      </c>
    </row>
    <row r="1095" spans="1:15" ht="12.75" customHeight="1" x14ac:dyDescent="0.3">
      <c r="A1095" s="38"/>
      <c r="B1095" s="17" t="s">
        <v>1213</v>
      </c>
      <c r="C1095" s="17"/>
      <c r="D1095" s="17"/>
      <c r="E1095" s="17"/>
      <c r="F1095" s="17"/>
      <c r="G1095" s="38" t="s">
        <v>2112</v>
      </c>
      <c r="H1095" s="38" t="s">
        <v>866</v>
      </c>
      <c r="I1095" s="239" t="str">
        <f>IF(ISBLANK(continental!I142),"",continental!I142)</f>
        <v/>
      </c>
      <c r="K1095" s="262" t="s">
        <v>4241</v>
      </c>
      <c r="O1095" s="262" t="s">
        <v>4241</v>
      </c>
    </row>
    <row r="1096" spans="1:15" ht="12.75" customHeight="1" x14ac:dyDescent="0.3">
      <c r="A1096" s="38"/>
      <c r="B1096" s="17"/>
      <c r="C1096" s="17" t="s">
        <v>1215</v>
      </c>
      <c r="D1096" s="17"/>
      <c r="E1096" s="17"/>
      <c r="F1096" s="17"/>
      <c r="G1096" s="38" t="s">
        <v>2113</v>
      </c>
      <c r="H1096" s="38" t="s">
        <v>866</v>
      </c>
      <c r="I1096" s="239" t="str">
        <f>IF(ISBLANK(continental!I143),"",continental!I143)</f>
        <v/>
      </c>
      <c r="K1096" s="262" t="s">
        <v>4241</v>
      </c>
      <c r="O1096" s="262" t="s">
        <v>4241</v>
      </c>
    </row>
    <row r="1097" spans="1:15" ht="12.75" customHeight="1" x14ac:dyDescent="0.3">
      <c r="A1097" s="38"/>
      <c r="B1097" s="17"/>
      <c r="C1097" s="17" t="s">
        <v>1217</v>
      </c>
      <c r="D1097" s="17"/>
      <c r="E1097" s="17"/>
      <c r="F1097" s="17"/>
      <c r="G1097" s="38" t="s">
        <v>2114</v>
      </c>
      <c r="H1097" s="38" t="s">
        <v>866</v>
      </c>
      <c r="I1097" s="239" t="str">
        <f>IF(ISBLANK(continental!I144),"",continental!I144)</f>
        <v/>
      </c>
      <c r="K1097" s="262" t="s">
        <v>4241</v>
      </c>
      <c r="O1097" s="262" t="s">
        <v>4241</v>
      </c>
    </row>
    <row r="1098" spans="1:15" ht="12.75" customHeight="1" x14ac:dyDescent="0.3">
      <c r="A1098" s="38"/>
      <c r="B1098" s="17" t="s">
        <v>2115</v>
      </c>
      <c r="C1098" s="17"/>
      <c r="D1098" s="17"/>
      <c r="E1098" s="17"/>
      <c r="F1098" s="17"/>
      <c r="G1098" s="38" t="s">
        <v>2116</v>
      </c>
      <c r="H1098" s="38" t="s">
        <v>866</v>
      </c>
      <c r="I1098" s="239" t="str">
        <f>IF(ISBLANK(continental!I145),"",continental!I145)</f>
        <v/>
      </c>
      <c r="K1098" s="262" t="s">
        <v>4241</v>
      </c>
      <c r="O1098" s="262" t="s">
        <v>4241</v>
      </c>
    </row>
    <row r="1099" spans="1:15" ht="12.75" customHeight="1" x14ac:dyDescent="0.3">
      <c r="A1099" s="38"/>
      <c r="B1099" s="17" t="s">
        <v>2117</v>
      </c>
      <c r="C1099" s="17"/>
      <c r="D1099" s="17"/>
      <c r="E1099" s="17"/>
      <c r="F1099" s="17"/>
      <c r="G1099" s="38" t="s">
        <v>2118</v>
      </c>
      <c r="H1099" s="38" t="s">
        <v>866</v>
      </c>
      <c r="I1099" s="239" t="str">
        <f>IF(ISBLANK(continental!I146),"",continental!I146)</f>
        <v/>
      </c>
      <c r="K1099" s="262" t="s">
        <v>4241</v>
      </c>
      <c r="O1099" s="262" t="s">
        <v>4241</v>
      </c>
    </row>
    <row r="1100" spans="1:15" ht="12.75" customHeight="1" x14ac:dyDescent="0.3">
      <c r="A1100" s="38"/>
      <c r="B1100" s="17" t="s">
        <v>2119</v>
      </c>
      <c r="C1100" s="17"/>
      <c r="D1100" s="17"/>
      <c r="E1100" s="17"/>
      <c r="F1100" s="17"/>
      <c r="G1100" s="38" t="s">
        <v>2120</v>
      </c>
      <c r="H1100" s="38" t="s">
        <v>866</v>
      </c>
      <c r="I1100" s="239" t="str">
        <f>IF(ISBLANK(continental!I147),"",continental!I147)</f>
        <v/>
      </c>
      <c r="K1100" s="262" t="s">
        <v>4241</v>
      </c>
      <c r="O1100" s="262" t="s">
        <v>4241</v>
      </c>
    </row>
    <row r="1101" spans="1:15" ht="12.75" customHeight="1" x14ac:dyDescent="0.3">
      <c r="A1101" s="38"/>
      <c r="B1101" s="17"/>
      <c r="C1101" s="17" t="s">
        <v>1225</v>
      </c>
      <c r="D1101" s="17"/>
      <c r="E1101" s="17"/>
      <c r="F1101" s="17"/>
      <c r="G1101" s="38" t="s">
        <v>2121</v>
      </c>
      <c r="H1101" s="38" t="s">
        <v>866</v>
      </c>
      <c r="I1101" s="239" t="str">
        <f>IF(ISBLANK(continental!I148),"",continental!I148)</f>
        <v/>
      </c>
      <c r="J1101" s="545"/>
      <c r="K1101" s="262" t="s">
        <v>4241</v>
      </c>
      <c r="O1101" s="262" t="s">
        <v>4241</v>
      </c>
    </row>
    <row r="1102" spans="1:15" ht="12.75" customHeight="1" x14ac:dyDescent="0.3">
      <c r="A1102" s="38"/>
      <c r="B1102" s="17"/>
      <c r="C1102" s="17" t="s">
        <v>1227</v>
      </c>
      <c r="D1102" s="17"/>
      <c r="E1102" s="17"/>
      <c r="F1102" s="17"/>
      <c r="G1102" s="38" t="s">
        <v>2122</v>
      </c>
      <c r="H1102" s="38" t="s">
        <v>866</v>
      </c>
      <c r="I1102" s="239" t="str">
        <f>IF(ISBLANK(continental!I149),"",continental!I149)</f>
        <v/>
      </c>
      <c r="J1102" s="228"/>
      <c r="K1102" s="262" t="s">
        <v>4241</v>
      </c>
      <c r="O1102" s="262" t="s">
        <v>4241</v>
      </c>
    </row>
    <row r="1103" spans="1:15" ht="12.75" customHeight="1" x14ac:dyDescent="0.3">
      <c r="A1103" s="38"/>
      <c r="B1103" s="17"/>
      <c r="C1103" s="17" t="s">
        <v>1229</v>
      </c>
      <c r="D1103" s="17"/>
      <c r="E1103" s="17"/>
      <c r="F1103" s="17"/>
      <c r="G1103" s="38" t="s">
        <v>2124</v>
      </c>
      <c r="H1103" s="38" t="s">
        <v>291</v>
      </c>
      <c r="I1103" s="239" t="str">
        <f>IF(ISBLANK(continental!I150),"",continental!I150)</f>
        <v/>
      </c>
      <c r="J1103" s="228"/>
      <c r="K1103" s="262" t="s">
        <v>4241</v>
      </c>
      <c r="O1103" s="262" t="s">
        <v>4241</v>
      </c>
    </row>
    <row r="1104" spans="1:15" ht="12.75" customHeight="1" x14ac:dyDescent="0.3">
      <c r="A1104" s="38"/>
      <c r="B1104" s="17"/>
      <c r="C1104" s="17" t="s">
        <v>1229</v>
      </c>
      <c r="D1104" s="17"/>
      <c r="E1104" s="17"/>
      <c r="F1104" s="17"/>
      <c r="G1104" s="38" t="s">
        <v>2125</v>
      </c>
      <c r="H1104" s="38" t="s">
        <v>291</v>
      </c>
      <c r="I1104" s="239" t="str">
        <f>IF(ISBLANK(continental!I151),"",continental!I151)</f>
        <v/>
      </c>
      <c r="J1104" s="228"/>
      <c r="K1104" s="262" t="s">
        <v>4241</v>
      </c>
      <c r="O1104" s="262" t="s">
        <v>4241</v>
      </c>
    </row>
    <row r="1105" spans="1:15" ht="12.75" customHeight="1" x14ac:dyDescent="0.3">
      <c r="A1105" s="38"/>
      <c r="B1105" s="17"/>
      <c r="C1105" s="17" t="s">
        <v>1229</v>
      </c>
      <c r="D1105" s="17"/>
      <c r="E1105" s="17"/>
      <c r="F1105" s="17"/>
      <c r="G1105" s="38" t="s">
        <v>2126</v>
      </c>
      <c r="H1105" s="38" t="s">
        <v>291</v>
      </c>
      <c r="I1105" s="239" t="str">
        <f>IF(ISBLANK(continental!I152),"",continental!I152)</f>
        <v/>
      </c>
      <c r="J1105" s="228"/>
      <c r="K1105" s="262" t="s">
        <v>4241</v>
      </c>
      <c r="O1105" s="262" t="s">
        <v>4241</v>
      </c>
    </row>
    <row r="1106" spans="1:15" ht="12.75" customHeight="1" x14ac:dyDescent="0.3">
      <c r="A1106" s="38"/>
      <c r="B1106" s="17"/>
      <c r="C1106" s="38"/>
      <c r="D1106" s="146"/>
      <c r="E1106" s="146"/>
      <c r="F1106" s="17"/>
      <c r="G1106" s="146"/>
      <c r="H1106" s="146"/>
      <c r="I1106" s="239" t="str">
        <f>IF(ISBLANK(continental!I153),"",continental!I153)</f>
        <v/>
      </c>
      <c r="J1106" s="411"/>
      <c r="K1106" s="262" t="s">
        <v>4241</v>
      </c>
      <c r="O1106" s="262" t="s">
        <v>4241</v>
      </c>
    </row>
    <row r="1107" spans="1:15" ht="12.75" customHeight="1" x14ac:dyDescent="0.3">
      <c r="A1107" s="567" t="s">
        <v>1234</v>
      </c>
      <c r="B1107" s="566"/>
      <c r="C1107" s="566"/>
      <c r="D1107" s="566"/>
      <c r="E1107" s="566"/>
      <c r="F1107" s="566"/>
      <c r="G1107" s="567" t="s">
        <v>2127</v>
      </c>
      <c r="H1107" s="567" t="s">
        <v>617</v>
      </c>
      <c r="I1107" s="239" t="str">
        <f>IF(ISBLANK(continental!I154),"",continental!I154)</f>
        <v/>
      </c>
      <c r="J1107" s="228"/>
      <c r="K1107" s="262" t="s">
        <v>4241</v>
      </c>
      <c r="O1107" s="262" t="s">
        <v>4241</v>
      </c>
    </row>
    <row r="1108" spans="1:15" ht="12.75" customHeight="1" x14ac:dyDescent="0.3">
      <c r="A1108" s="38" t="s">
        <v>1237</v>
      </c>
      <c r="B1108" s="17"/>
      <c r="C1108" s="17"/>
      <c r="D1108" s="17"/>
      <c r="E1108" s="17"/>
      <c r="F1108" s="17"/>
      <c r="G1108" s="38" t="s">
        <v>2128</v>
      </c>
      <c r="H1108" s="38" t="s">
        <v>617</v>
      </c>
      <c r="I1108" s="239" t="str">
        <f>IF(ISBLANK(continental!I155),"",continental!I155)</f>
        <v/>
      </c>
      <c r="K1108" s="262" t="s">
        <v>4241</v>
      </c>
      <c r="O1108" s="262" t="s">
        <v>4241</v>
      </c>
    </row>
    <row r="1109" spans="1:15" ht="12.75" customHeight="1" x14ac:dyDescent="0.3">
      <c r="A1109" s="38" t="s">
        <v>1239</v>
      </c>
      <c r="B1109" s="17"/>
      <c r="C1109" s="17"/>
      <c r="D1109" s="17"/>
      <c r="E1109" s="17"/>
      <c r="F1109" s="17"/>
      <c r="G1109" s="38" t="s">
        <v>2129</v>
      </c>
      <c r="H1109" s="38" t="s">
        <v>617</v>
      </c>
      <c r="I1109" s="239" t="str">
        <f>IF(ISBLANK(continental!I156),"",continental!I156)</f>
        <v/>
      </c>
      <c r="K1109" s="262" t="s">
        <v>4241</v>
      </c>
      <c r="O1109" s="262" t="s">
        <v>4241</v>
      </c>
    </row>
    <row r="1110" spans="1:15" ht="12.75" customHeight="1" x14ac:dyDescent="0.3">
      <c r="A1110" s="567" t="s">
        <v>1241</v>
      </c>
      <c r="B1110" s="566"/>
      <c r="C1110" s="566"/>
      <c r="D1110" s="566"/>
      <c r="E1110" s="566"/>
      <c r="F1110" s="566"/>
      <c r="G1110" s="567" t="s">
        <v>2130</v>
      </c>
      <c r="H1110" s="567" t="s">
        <v>617</v>
      </c>
      <c r="I1110" s="239" t="str">
        <f>IF(ISBLANK(continental!I157),"",continental!I157)</f>
        <v/>
      </c>
      <c r="K1110" s="262" t="s">
        <v>4241</v>
      </c>
      <c r="O1110" s="262" t="s">
        <v>4241</v>
      </c>
    </row>
    <row r="1111" spans="1:15" ht="12.75" customHeight="1" x14ac:dyDescent="0.3">
      <c r="A1111" s="38" t="s">
        <v>1244</v>
      </c>
      <c r="B1111" s="17"/>
      <c r="C1111" s="17"/>
      <c r="D1111" s="17"/>
      <c r="E1111" s="17"/>
      <c r="F1111" s="17"/>
      <c r="G1111" s="38" t="s">
        <v>2131</v>
      </c>
      <c r="H1111" s="38" t="s">
        <v>617</v>
      </c>
      <c r="I1111" s="239" t="str">
        <f>IF(ISBLANK(continental!I158),"",continental!I158)</f>
        <v/>
      </c>
      <c r="K1111" s="262" t="s">
        <v>4241</v>
      </c>
      <c r="O1111" s="262" t="s">
        <v>4241</v>
      </c>
    </row>
    <row r="1112" spans="1:15" ht="12.75" customHeight="1" x14ac:dyDescent="0.3">
      <c r="A1112" s="38" t="s">
        <v>1246</v>
      </c>
      <c r="B1112" s="17"/>
      <c r="C1112" s="17"/>
      <c r="D1112" s="17"/>
      <c r="E1112" s="17"/>
      <c r="F1112" s="17"/>
      <c r="G1112" s="38" t="s">
        <v>2132</v>
      </c>
      <c r="H1112" s="38" t="s">
        <v>617</v>
      </c>
      <c r="I1112" s="239" t="str">
        <f>IF(ISBLANK(continental!I159),"",continental!I159)</f>
        <v/>
      </c>
      <c r="K1112" s="262" t="s">
        <v>4241</v>
      </c>
      <c r="O1112" s="262" t="s">
        <v>4241</v>
      </c>
    </row>
    <row r="1113" spans="1:15" ht="12.75" customHeight="1" x14ac:dyDescent="0.3">
      <c r="A1113" s="567"/>
      <c r="B1113" s="566" t="s">
        <v>1248</v>
      </c>
      <c r="C1113" s="566"/>
      <c r="D1113" s="566"/>
      <c r="E1113" s="566"/>
      <c r="F1113" s="566"/>
      <c r="G1113" s="567" t="s">
        <v>2133</v>
      </c>
      <c r="H1113" s="567" t="s">
        <v>866</v>
      </c>
      <c r="I1113" s="239" t="str">
        <f>IF(ISBLANK(continental!I160),"",continental!I160)</f>
        <v/>
      </c>
      <c r="K1113" s="262" t="s">
        <v>4241</v>
      </c>
      <c r="O1113" s="262" t="s">
        <v>4241</v>
      </c>
    </row>
    <row r="1114" spans="1:15" ht="12.75" customHeight="1" x14ac:dyDescent="0.3">
      <c r="A1114" s="567"/>
      <c r="B1114" s="566" t="s">
        <v>1251</v>
      </c>
      <c r="C1114" s="566"/>
      <c r="D1114" s="566"/>
      <c r="E1114" s="566"/>
      <c r="F1114" s="566"/>
      <c r="G1114" s="567" t="s">
        <v>2134</v>
      </c>
      <c r="H1114" s="567" t="s">
        <v>866</v>
      </c>
      <c r="I1114" s="239" t="str">
        <f>IF(ISBLANK(continental!I161),"",continental!I161)</f>
        <v/>
      </c>
      <c r="K1114" s="262" t="s">
        <v>4241</v>
      </c>
      <c r="O1114" s="262" t="s">
        <v>4241</v>
      </c>
    </row>
    <row r="1115" spans="1:15" ht="12.75" customHeight="1" x14ac:dyDescent="0.3">
      <c r="A1115" s="216"/>
      <c r="B1115" s="216" t="s">
        <v>1248</v>
      </c>
      <c r="C1115" s="228"/>
      <c r="D1115" s="228"/>
      <c r="E1115" s="228"/>
      <c r="F1115" s="228"/>
      <c r="G1115" s="641" t="s">
        <v>2135</v>
      </c>
      <c r="H1115" s="216" t="s">
        <v>1210</v>
      </c>
      <c r="I1115" s="239" t="str">
        <f>IF(ISBLANK(continental!I162),"",continental!I162)</f>
        <v/>
      </c>
      <c r="K1115" s="262" t="s">
        <v>4241</v>
      </c>
      <c r="O1115" s="262" t="s">
        <v>4241</v>
      </c>
    </row>
    <row r="1116" spans="1:15" ht="12.75" customHeight="1" x14ac:dyDescent="0.3">
      <c r="A1116" s="216"/>
      <c r="B1116" s="216" t="s">
        <v>1251</v>
      </c>
      <c r="C1116" s="228"/>
      <c r="D1116" s="228"/>
      <c r="E1116" s="228"/>
      <c r="F1116" s="228"/>
      <c r="G1116" s="641" t="s">
        <v>2136</v>
      </c>
      <c r="H1116" s="216" t="s">
        <v>1210</v>
      </c>
      <c r="I1116" s="239" t="str">
        <f>IF(ISBLANK(continental!I163),"",continental!I163)</f>
        <v/>
      </c>
      <c r="K1116" s="262" t="s">
        <v>4241</v>
      </c>
      <c r="O1116" s="262" t="s">
        <v>4241</v>
      </c>
    </row>
    <row r="1117" spans="1:15" ht="12.75" customHeight="1" x14ac:dyDescent="0.3">
      <c r="A1117" s="216"/>
      <c r="B1117" s="216" t="s">
        <v>1255</v>
      </c>
      <c r="C1117" s="228"/>
      <c r="D1117" s="228"/>
      <c r="E1117" s="228"/>
      <c r="F1117" s="228"/>
      <c r="G1117" s="641" t="s">
        <v>2137</v>
      </c>
      <c r="H1117" s="216" t="s">
        <v>1210</v>
      </c>
      <c r="I1117" s="239" t="str">
        <f>IF(ISBLANK(continental!I164),"",continental!I164)</f>
        <v/>
      </c>
      <c r="K1117" s="262" t="s">
        <v>4241</v>
      </c>
      <c r="O1117" s="262" t="s">
        <v>4241</v>
      </c>
    </row>
    <row r="1118" spans="1:15" ht="12.75" customHeight="1" x14ac:dyDescent="0.3">
      <c r="A1118" s="216"/>
      <c r="B1118" s="216" t="s">
        <v>1257</v>
      </c>
      <c r="C1118" s="228"/>
      <c r="D1118" s="228"/>
      <c r="E1118" s="228"/>
      <c r="F1118" s="228"/>
      <c r="G1118" s="641" t="s">
        <v>2138</v>
      </c>
      <c r="H1118" s="216" t="s">
        <v>1210</v>
      </c>
      <c r="I1118" s="239" t="str">
        <f>IF(ISBLANK(continental!I165),"",continental!I165)</f>
        <v/>
      </c>
      <c r="K1118" s="262" t="s">
        <v>4241</v>
      </c>
      <c r="O1118" s="262" t="s">
        <v>4241</v>
      </c>
    </row>
    <row r="1119" spans="1:15" ht="12.75" customHeight="1" x14ac:dyDescent="0.3">
      <c r="A1119" s="567"/>
      <c r="B1119" s="567"/>
      <c r="C1119" s="567" t="s">
        <v>1259</v>
      </c>
      <c r="D1119" s="566"/>
      <c r="E1119" s="566"/>
      <c r="F1119" s="566"/>
      <c r="G1119" s="752" t="s">
        <v>2139</v>
      </c>
      <c r="H1119" s="679" t="s">
        <v>1195</v>
      </c>
      <c r="I1119" s="239" t="str">
        <f>IF(ISBLANK(continental!I166),"",continental!I166)</f>
        <v/>
      </c>
      <c r="K1119" s="262" t="s">
        <v>4241</v>
      </c>
      <c r="O1119" s="262" t="s">
        <v>4241</v>
      </c>
    </row>
    <row r="1120" spans="1:15" ht="12.75" customHeight="1" x14ac:dyDescent="0.3">
      <c r="A1120" s="216"/>
      <c r="B1120" s="216"/>
      <c r="C1120" s="216" t="s">
        <v>1261</v>
      </c>
      <c r="D1120" s="228"/>
      <c r="E1120" s="228"/>
      <c r="F1120" s="228"/>
      <c r="G1120" s="701" t="s">
        <v>2140</v>
      </c>
      <c r="H1120" s="578" t="s">
        <v>1195</v>
      </c>
      <c r="I1120" s="239" t="str">
        <f>IF(ISBLANK(continental!I167),"",continental!I167)</f>
        <v/>
      </c>
      <c r="K1120" s="262" t="s">
        <v>4241</v>
      </c>
      <c r="O1120" s="262" t="s">
        <v>4241</v>
      </c>
    </row>
    <row r="1121" spans="1:15" ht="12.75" customHeight="1" x14ac:dyDescent="0.3">
      <c r="A1121" s="216"/>
      <c r="B1121" s="216"/>
      <c r="C1121" s="216" t="s">
        <v>1263</v>
      </c>
      <c r="D1121" s="228"/>
      <c r="E1121" s="228"/>
      <c r="F1121" s="228"/>
      <c r="G1121" s="701" t="s">
        <v>2141</v>
      </c>
      <c r="H1121" s="578" t="s">
        <v>1195</v>
      </c>
      <c r="I1121" s="239" t="str">
        <f>IF(ISBLANK(continental!I168),"",continental!I168)</f>
        <v/>
      </c>
      <c r="K1121" s="262" t="s">
        <v>4241</v>
      </c>
      <c r="O1121" s="262" t="s">
        <v>4241</v>
      </c>
    </row>
    <row r="1122" spans="1:15" ht="12.75" customHeight="1" x14ac:dyDescent="0.3">
      <c r="A1122" s="216"/>
      <c r="B1122" s="216"/>
      <c r="C1122" s="228"/>
      <c r="D1122" s="216" t="s">
        <v>1265</v>
      </c>
      <c r="E1122" s="578"/>
      <c r="F1122" s="578"/>
      <c r="G1122" s="701" t="s">
        <v>2142</v>
      </c>
      <c r="H1122" s="578" t="s">
        <v>1195</v>
      </c>
      <c r="I1122" s="239" t="str">
        <f>IF(ISBLANK(continental!I169),"",continental!I169)</f>
        <v/>
      </c>
      <c r="K1122" s="262" t="s">
        <v>4241</v>
      </c>
      <c r="O1122" s="262" t="s">
        <v>4241</v>
      </c>
    </row>
    <row r="1123" spans="1:15" ht="12.75" customHeight="1" x14ac:dyDescent="0.3">
      <c r="A1123" s="567"/>
      <c r="B1123" s="567"/>
      <c r="C1123" s="566"/>
      <c r="D1123" s="567" t="s">
        <v>1268</v>
      </c>
      <c r="E1123" s="679"/>
      <c r="F1123" s="679"/>
      <c r="G1123" s="752" t="s">
        <v>2143</v>
      </c>
      <c r="H1123" s="679" t="s">
        <v>1195</v>
      </c>
      <c r="I1123" s="239" t="str">
        <f>IF(ISBLANK(continental!I170),"",continental!I170)</f>
        <v/>
      </c>
      <c r="K1123" s="262" t="s">
        <v>4241</v>
      </c>
      <c r="O1123" s="262" t="s">
        <v>4241</v>
      </c>
    </row>
    <row r="1124" spans="1:15" ht="12.75" customHeight="1" x14ac:dyDescent="0.3">
      <c r="A1124" s="216"/>
      <c r="B1124" s="216"/>
      <c r="C1124" s="228"/>
      <c r="D1124" s="216" t="s">
        <v>1270</v>
      </c>
      <c r="E1124" s="578"/>
      <c r="F1124" s="578"/>
      <c r="G1124" s="701" t="s">
        <v>2144</v>
      </c>
      <c r="H1124" s="578" t="s">
        <v>1195</v>
      </c>
      <c r="I1124" s="239" t="str">
        <f>IF(ISBLANK(continental!I171),"",continental!I171)</f>
        <v/>
      </c>
      <c r="K1124" s="262" t="s">
        <v>4241</v>
      </c>
      <c r="O1124" s="262" t="s">
        <v>4241</v>
      </c>
    </row>
    <row r="1125" spans="1:15" ht="12.75" customHeight="1" x14ac:dyDescent="0.3">
      <c r="A1125" s="216"/>
      <c r="B1125" s="216"/>
      <c r="C1125" s="228"/>
      <c r="D1125" s="216" t="s">
        <v>1273</v>
      </c>
      <c r="E1125" s="578"/>
      <c r="F1125" s="578"/>
      <c r="G1125" s="701" t="s">
        <v>2145</v>
      </c>
      <c r="H1125" s="578" t="s">
        <v>1195</v>
      </c>
      <c r="I1125" s="239" t="str">
        <f>IF(ISBLANK(continental!I172),"",continental!I172)</f>
        <v/>
      </c>
      <c r="K1125" s="262" t="s">
        <v>4241</v>
      </c>
      <c r="O1125" s="262" t="s">
        <v>4241</v>
      </c>
    </row>
    <row r="1126" spans="1:15" ht="12.75" customHeight="1" x14ac:dyDescent="0.3">
      <c r="A1126" s="216"/>
      <c r="B1126" s="216"/>
      <c r="C1126" s="228"/>
      <c r="D1126" s="228"/>
      <c r="E1126" s="216" t="s">
        <v>1275</v>
      </c>
      <c r="F1126" s="216"/>
      <c r="G1126" s="701" t="s">
        <v>2146</v>
      </c>
      <c r="H1126" s="216" t="s">
        <v>1277</v>
      </c>
      <c r="I1126" s="239" t="str">
        <f>IF(ISBLANK(continental!I173),"",continental!I173)</f>
        <v/>
      </c>
      <c r="K1126" s="262" t="s">
        <v>4241</v>
      </c>
      <c r="O1126" s="262" t="s">
        <v>4241</v>
      </c>
    </row>
    <row r="1127" spans="1:15" ht="12.75" customHeight="1" x14ac:dyDescent="0.3">
      <c r="A1127" s="216"/>
      <c r="B1127" s="216"/>
      <c r="C1127" s="228"/>
      <c r="D1127" s="228"/>
      <c r="E1127" s="216" t="s">
        <v>1279</v>
      </c>
      <c r="F1127" s="216"/>
      <c r="G1127" s="701" t="s">
        <v>2147</v>
      </c>
      <c r="H1127" s="216" t="s">
        <v>1277</v>
      </c>
      <c r="I1127" s="239" t="str">
        <f>IF(ISBLANK(continental!I174),"",continental!I174)</f>
        <v/>
      </c>
      <c r="K1127" s="262" t="s">
        <v>4241</v>
      </c>
      <c r="O1127" s="262" t="s">
        <v>4241</v>
      </c>
    </row>
    <row r="1128" spans="1:15" ht="12.75" customHeight="1" x14ac:dyDescent="0.3">
      <c r="A1128" s="228"/>
      <c r="B1128" s="228" t="s">
        <v>1281</v>
      </c>
      <c r="C1128" s="578"/>
      <c r="D1128" s="578"/>
      <c r="E1128" s="228"/>
      <c r="F1128" s="228"/>
      <c r="G1128" s="641" t="s">
        <v>2148</v>
      </c>
      <c r="H1128" s="216" t="s">
        <v>1210</v>
      </c>
      <c r="I1128" s="239" t="str">
        <f>IF(ISBLANK(continental!I175),"",continental!I175)</f>
        <v/>
      </c>
      <c r="K1128" s="262" t="s">
        <v>4241</v>
      </c>
      <c r="O1128" s="262" t="s">
        <v>4241</v>
      </c>
    </row>
    <row r="1129" spans="1:15" ht="12.75" customHeight="1" x14ac:dyDescent="0.3">
      <c r="A1129" s="228"/>
      <c r="B1129" s="228" t="s">
        <v>1283</v>
      </c>
      <c r="C1129" s="578"/>
      <c r="D1129" s="578"/>
      <c r="E1129" s="228"/>
      <c r="F1129" s="228"/>
      <c r="G1129" s="641" t="s">
        <v>2149</v>
      </c>
      <c r="H1129" s="216" t="s">
        <v>1210</v>
      </c>
      <c r="I1129" s="239" t="str">
        <f>IF(ISBLANK(continental!I176),"",continental!I176)</f>
        <v/>
      </c>
      <c r="K1129" s="262" t="s">
        <v>4241</v>
      </c>
      <c r="O1129" s="262" t="s">
        <v>4241</v>
      </c>
    </row>
    <row r="1130" spans="1:15" ht="12.75" customHeight="1" x14ac:dyDescent="0.3">
      <c r="A1130" s="228"/>
      <c r="B1130" s="228" t="s">
        <v>1285</v>
      </c>
      <c r="C1130" s="578"/>
      <c r="D1130" s="578"/>
      <c r="E1130" s="228"/>
      <c r="F1130" s="578"/>
      <c r="G1130" s="641" t="s">
        <v>2150</v>
      </c>
      <c r="H1130" s="216" t="s">
        <v>1210</v>
      </c>
      <c r="I1130" s="239" t="str">
        <f>IF(ISBLANK(continental!I177),"",continental!I177)</f>
        <v/>
      </c>
      <c r="K1130" s="262" t="s">
        <v>4241</v>
      </c>
      <c r="O1130" s="262" t="s">
        <v>4241</v>
      </c>
    </row>
    <row r="1131" spans="1:15" ht="12.75" customHeight="1" x14ac:dyDescent="0.3">
      <c r="A1131" s="228"/>
      <c r="B1131" s="228" t="s">
        <v>1287</v>
      </c>
      <c r="C1131" s="578"/>
      <c r="D1131" s="578"/>
      <c r="E1131" s="228"/>
      <c r="F1131" s="578"/>
      <c r="G1131" s="641" t="s">
        <v>2151</v>
      </c>
      <c r="H1131" s="216" t="s">
        <v>1210</v>
      </c>
      <c r="I1131" s="239" t="str">
        <f>IF(ISBLANK(continental!I178),"",continental!I178)</f>
        <v/>
      </c>
      <c r="K1131" s="262" t="s">
        <v>4241</v>
      </c>
      <c r="O1131" s="262" t="s">
        <v>4241</v>
      </c>
    </row>
    <row r="1132" spans="1:15" ht="12.75" customHeight="1" x14ac:dyDescent="0.3">
      <c r="A1132" s="216"/>
      <c r="B1132" s="216"/>
      <c r="C1132" s="228" t="s">
        <v>1289</v>
      </c>
      <c r="D1132" s="228"/>
      <c r="E1132" s="578"/>
      <c r="F1132" s="578"/>
      <c r="G1132" s="228" t="s">
        <v>2152</v>
      </c>
      <c r="H1132" s="578" t="s">
        <v>1195</v>
      </c>
      <c r="I1132" s="239" t="str">
        <f>IF(ISBLANK(continental!I179),"",continental!I179)</f>
        <v/>
      </c>
      <c r="K1132" s="262" t="s">
        <v>4241</v>
      </c>
      <c r="O1132" s="262" t="s">
        <v>4241</v>
      </c>
    </row>
    <row r="1133" spans="1:15" ht="12.75" customHeight="1" x14ac:dyDescent="0.3">
      <c r="A1133" s="216"/>
      <c r="B1133" s="216"/>
      <c r="C1133" s="228" t="s">
        <v>1291</v>
      </c>
      <c r="D1133" s="228"/>
      <c r="E1133" s="578"/>
      <c r="F1133" s="578"/>
      <c r="G1133" s="228" t="s">
        <v>2153</v>
      </c>
      <c r="H1133" s="578" t="s">
        <v>1195</v>
      </c>
      <c r="I1133" s="239" t="str">
        <f>IF(ISBLANK(continental!I180),"",continental!I180)</f>
        <v/>
      </c>
      <c r="K1133" s="262" t="s">
        <v>4241</v>
      </c>
      <c r="O1133" s="262" t="s">
        <v>4241</v>
      </c>
    </row>
    <row r="1134" spans="1:15" ht="12.75" customHeight="1" x14ac:dyDescent="0.3">
      <c r="A1134" s="38"/>
      <c r="B1134" s="17"/>
      <c r="C1134" s="38"/>
      <c r="D1134" s="146"/>
      <c r="E1134" s="146"/>
      <c r="F1134" s="17"/>
      <c r="G1134" s="146"/>
      <c r="H1134" s="146"/>
      <c r="I1134" s="239" t="str">
        <f>IF(ISBLANK(continental!I181),"",continental!I181)</f>
        <v/>
      </c>
      <c r="K1134" s="262" t="s">
        <v>4241</v>
      </c>
      <c r="O1134" s="262" t="s">
        <v>4241</v>
      </c>
    </row>
    <row r="1135" spans="1:15" ht="12.75" customHeight="1" x14ac:dyDescent="0.3">
      <c r="A1135" s="38" t="s">
        <v>2154</v>
      </c>
      <c r="B1135" s="17"/>
      <c r="C1135" s="17"/>
      <c r="D1135" s="17"/>
      <c r="E1135" s="17"/>
      <c r="F1135" s="17"/>
      <c r="G1135" s="38" t="s">
        <v>4751</v>
      </c>
      <c r="H1135" s="38" t="s">
        <v>617</v>
      </c>
      <c r="I1135" s="239" t="str">
        <f>IF(ISBLANK(continental!I182),"",continental!I182)</f>
        <v/>
      </c>
      <c r="K1135" s="262" t="s">
        <v>4241</v>
      </c>
      <c r="O1135" s="262" t="s">
        <v>4241</v>
      </c>
    </row>
    <row r="1136" spans="1:15" ht="12.75" customHeight="1" x14ac:dyDescent="0.3">
      <c r="A1136" s="38" t="s">
        <v>2156</v>
      </c>
      <c r="B1136" s="17"/>
      <c r="C1136" s="17"/>
      <c r="D1136" s="17"/>
      <c r="E1136" s="17"/>
      <c r="F1136" s="17"/>
      <c r="G1136" s="38" t="s">
        <v>4752</v>
      </c>
      <c r="H1136" s="38" t="s">
        <v>617</v>
      </c>
      <c r="I1136" s="239" t="str">
        <f>IF(ISBLANK(continental!I183),"",continental!I183)</f>
        <v/>
      </c>
      <c r="K1136" s="262" t="s">
        <v>4241</v>
      </c>
      <c r="O1136" s="262" t="s">
        <v>4241</v>
      </c>
    </row>
    <row r="1137" spans="1:15" ht="12.75" customHeight="1" x14ac:dyDescent="0.3">
      <c r="A1137" s="38" t="s">
        <v>2158</v>
      </c>
      <c r="B1137" s="17"/>
      <c r="C1137" s="17"/>
      <c r="D1137" s="17"/>
      <c r="E1137" s="17"/>
      <c r="F1137" s="17"/>
      <c r="G1137" s="38" t="s">
        <v>4753</v>
      </c>
      <c r="H1137" s="38" t="s">
        <v>617</v>
      </c>
      <c r="I1137" s="239" t="str">
        <f>IF(ISBLANK(continental!I184),"",continental!I184)</f>
        <v/>
      </c>
      <c r="K1137" s="262" t="s">
        <v>4241</v>
      </c>
      <c r="O1137" s="262" t="s">
        <v>4241</v>
      </c>
    </row>
    <row r="1138" spans="1:15" ht="12.75" customHeight="1" x14ac:dyDescent="0.3">
      <c r="A1138" s="38" t="s">
        <v>2154</v>
      </c>
      <c r="B1138" s="17"/>
      <c r="C1138" s="17"/>
      <c r="D1138" s="17"/>
      <c r="E1138" s="17"/>
      <c r="F1138" s="17"/>
      <c r="G1138" s="38" t="s">
        <v>4754</v>
      </c>
      <c r="H1138" s="38" t="s">
        <v>335</v>
      </c>
      <c r="I1138" s="239" t="str">
        <f>IF(ISBLANK(continental!I185),"",continental!I185)</f>
        <v/>
      </c>
    </row>
    <row r="1139" spans="1:15" ht="12.75" customHeight="1" x14ac:dyDescent="0.3">
      <c r="A1139" s="38" t="s">
        <v>2156</v>
      </c>
      <c r="B1139" s="17"/>
      <c r="C1139" s="17"/>
      <c r="D1139" s="17"/>
      <c r="E1139" s="17"/>
      <c r="F1139" s="17"/>
      <c r="G1139" s="38" t="s">
        <v>4755</v>
      </c>
      <c r="H1139" s="38" t="s">
        <v>335</v>
      </c>
      <c r="I1139" s="239" t="str">
        <f>IF(ISBLANK(continental!I186),"",continental!I186)</f>
        <v/>
      </c>
    </row>
    <row r="1140" spans="1:15" ht="12.75" customHeight="1" x14ac:dyDescent="0.3">
      <c r="A1140" s="38" t="s">
        <v>2158</v>
      </c>
      <c r="B1140" s="17"/>
      <c r="C1140" s="17"/>
      <c r="D1140" s="17"/>
      <c r="E1140" s="17"/>
      <c r="F1140" s="17"/>
      <c r="G1140" s="38" t="s">
        <v>4756</v>
      </c>
      <c r="H1140" s="38" t="s">
        <v>335</v>
      </c>
      <c r="I1140" s="239" t="str">
        <f>IF(ISBLANK(continental!I187),"",continental!I187)</f>
        <v/>
      </c>
    </row>
    <row r="1141" spans="1:15" ht="12.75" customHeight="1" x14ac:dyDescent="0.3">
      <c r="A1141" s="38"/>
      <c r="B1141" s="146" t="s">
        <v>1299</v>
      </c>
      <c r="C1141" s="17"/>
      <c r="D1141" s="146"/>
      <c r="E1141" s="146"/>
      <c r="F1141" s="146"/>
      <c r="G1141" s="539" t="s">
        <v>2160</v>
      </c>
      <c r="H1141" s="146" t="s">
        <v>1195</v>
      </c>
      <c r="I1141" s="239" t="str">
        <f>IF(ISBLANK(continental!I188),"",continental!I188)</f>
        <v/>
      </c>
      <c r="K1141" s="262" t="s">
        <v>4241</v>
      </c>
      <c r="O1141" s="262" t="s">
        <v>4241</v>
      </c>
    </row>
    <row r="1142" spans="1:15" ht="12.75" customHeight="1" x14ac:dyDescent="0.3">
      <c r="A1142" s="38"/>
      <c r="B1142" s="146" t="s">
        <v>1301</v>
      </c>
      <c r="C1142" s="17"/>
      <c r="D1142" s="146"/>
      <c r="E1142" s="146"/>
      <c r="F1142" s="146"/>
      <c r="G1142" s="539" t="s">
        <v>2161</v>
      </c>
      <c r="H1142" s="146" t="s">
        <v>1195</v>
      </c>
      <c r="I1142" s="239" t="str">
        <f>IF(ISBLANK(continental!I189),"",continental!I189)</f>
        <v/>
      </c>
      <c r="K1142" s="262" t="s">
        <v>4241</v>
      </c>
      <c r="O1142" s="262" t="s">
        <v>4241</v>
      </c>
    </row>
    <row r="1143" spans="1:15" ht="12.75" customHeight="1" x14ac:dyDescent="0.3">
      <c r="A1143" s="38"/>
      <c r="B1143" s="146" t="s">
        <v>1303</v>
      </c>
      <c r="C1143" s="17"/>
      <c r="D1143" s="146"/>
      <c r="E1143" s="146"/>
      <c r="F1143" s="146"/>
      <c r="G1143" s="539" t="s">
        <v>2162</v>
      </c>
      <c r="H1143" s="146" t="s">
        <v>1195</v>
      </c>
      <c r="I1143" s="239" t="str">
        <f>IF(ISBLANK(continental!I190),"",continental!I190)</f>
        <v/>
      </c>
      <c r="K1143" s="262" t="s">
        <v>4241</v>
      </c>
      <c r="O1143" s="262" t="s">
        <v>4241</v>
      </c>
    </row>
    <row r="1144" spans="1:15" ht="12.75" customHeight="1" x14ac:dyDescent="0.3">
      <c r="A1144" s="38"/>
      <c r="B1144" s="38" t="s">
        <v>1305</v>
      </c>
      <c r="C1144" s="17"/>
      <c r="D1144" s="146"/>
      <c r="E1144" s="146"/>
      <c r="F1144" s="146"/>
      <c r="G1144" s="539" t="s">
        <v>2163</v>
      </c>
      <c r="H1144" s="38" t="s">
        <v>291</v>
      </c>
      <c r="I1144" s="239" t="str">
        <f>IF(ISBLANK(continental!I191),"",continental!I191)</f>
        <v/>
      </c>
      <c r="J1144" s="228"/>
      <c r="K1144" s="262" t="s">
        <v>4241</v>
      </c>
      <c r="O1144" s="262" t="s">
        <v>4241</v>
      </c>
    </row>
    <row r="1145" spans="1:15" ht="12.75" customHeight="1" x14ac:dyDescent="0.3">
      <c r="A1145" s="38"/>
      <c r="B1145" s="38" t="s">
        <v>1307</v>
      </c>
      <c r="C1145" s="17"/>
      <c r="D1145" s="146"/>
      <c r="E1145" s="146"/>
      <c r="F1145" s="146"/>
      <c r="G1145" s="539" t="s">
        <v>2164</v>
      </c>
      <c r="H1145" s="38" t="s">
        <v>291</v>
      </c>
      <c r="I1145" s="239" t="str">
        <f>IF(ISBLANK(continental!I192),"",continental!I192)</f>
        <v/>
      </c>
      <c r="J1145" s="411"/>
      <c r="K1145" s="262" t="s">
        <v>4241</v>
      </c>
      <c r="O1145" s="262" t="s">
        <v>4241</v>
      </c>
    </row>
    <row r="1146" spans="1:15" ht="12.75" customHeight="1" x14ac:dyDescent="0.3">
      <c r="A1146" s="38"/>
      <c r="B1146" s="38" t="s">
        <v>1309</v>
      </c>
      <c r="C1146" s="17"/>
      <c r="D1146" s="146"/>
      <c r="E1146" s="146"/>
      <c r="F1146" s="146"/>
      <c r="G1146" s="539" t="s">
        <v>2165</v>
      </c>
      <c r="H1146" s="38" t="s">
        <v>291</v>
      </c>
      <c r="I1146" s="239" t="str">
        <f>IF(ISBLANK(continental!I193),"",continental!I193)</f>
        <v/>
      </c>
      <c r="J1146" s="228"/>
      <c r="K1146" s="262" t="s">
        <v>4241</v>
      </c>
      <c r="O1146" s="262" t="s">
        <v>4241</v>
      </c>
    </row>
    <row r="1147" spans="1:15" ht="12.75" customHeight="1" x14ac:dyDescent="0.3">
      <c r="A1147" s="38"/>
      <c r="B1147" s="17" t="s">
        <v>1229</v>
      </c>
      <c r="C1147" s="17"/>
      <c r="D1147" s="146"/>
      <c r="E1147" s="146"/>
      <c r="F1147" s="146"/>
      <c r="G1147" s="540" t="s">
        <v>2166</v>
      </c>
      <c r="H1147" s="17" t="s">
        <v>291</v>
      </c>
      <c r="I1147" s="239" t="str">
        <f>IF(ISBLANK(continental!I194),"",continental!I194)</f>
        <v/>
      </c>
      <c r="K1147" s="262" t="s">
        <v>4241</v>
      </c>
      <c r="O1147" s="262" t="s">
        <v>4241</v>
      </c>
    </row>
    <row r="1148" spans="1:15" ht="12.75" customHeight="1" x14ac:dyDescent="0.3">
      <c r="A1148" s="38"/>
      <c r="B1148" s="17" t="s">
        <v>1229</v>
      </c>
      <c r="C1148" s="17"/>
      <c r="D1148" s="146"/>
      <c r="E1148" s="146"/>
      <c r="F1148" s="146"/>
      <c r="G1148" s="540" t="s">
        <v>2167</v>
      </c>
      <c r="H1148" s="17" t="s">
        <v>291</v>
      </c>
      <c r="I1148" s="239" t="str">
        <f>IF(ISBLANK(continental!I195),"",continental!I195)</f>
        <v/>
      </c>
      <c r="K1148" s="262" t="s">
        <v>4241</v>
      </c>
      <c r="O1148" s="262" t="s">
        <v>4241</v>
      </c>
    </row>
    <row r="1149" spans="1:15" ht="12.75" customHeight="1" x14ac:dyDescent="0.3">
      <c r="A1149" s="38"/>
      <c r="B1149" s="17" t="s">
        <v>1229</v>
      </c>
      <c r="C1149" s="17"/>
      <c r="D1149" s="146"/>
      <c r="E1149" s="146"/>
      <c r="F1149" s="146"/>
      <c r="G1149" s="540" t="s">
        <v>2168</v>
      </c>
      <c r="H1149" s="17" t="s">
        <v>291</v>
      </c>
      <c r="I1149" s="239" t="str">
        <f>IF(ISBLANK(continental!I196),"",continental!I196)</f>
        <v/>
      </c>
      <c r="K1149" s="262" t="s">
        <v>4241</v>
      </c>
      <c r="O1149" s="262" t="s">
        <v>4241</v>
      </c>
    </row>
    <row r="1150" spans="1:15" ht="12.75" customHeight="1" x14ac:dyDescent="0.3">
      <c r="A1150" s="17"/>
      <c r="B1150" s="17"/>
      <c r="C1150" s="17"/>
      <c r="D1150" s="17"/>
      <c r="E1150" s="17"/>
      <c r="F1150" s="17"/>
      <c r="G1150" s="17"/>
      <c r="H1150" s="17"/>
      <c r="I1150" s="239" t="str">
        <f>IF(ISBLANK(continental!I197),"",continental!I197)</f>
        <v/>
      </c>
      <c r="K1150" s="262" t="s">
        <v>4241</v>
      </c>
      <c r="O1150" s="262" t="s">
        <v>4241</v>
      </c>
    </row>
    <row r="1151" spans="1:15" ht="12.75" customHeight="1" x14ac:dyDescent="0.3">
      <c r="A1151" s="148" t="s">
        <v>1314</v>
      </c>
      <c r="B1151" s="147"/>
      <c r="C1151" s="147"/>
      <c r="D1151" s="147"/>
      <c r="E1151" s="147"/>
      <c r="F1151" s="147"/>
      <c r="G1151" s="148" t="s">
        <v>258</v>
      </c>
      <c r="H1151" s="148" t="s">
        <v>274</v>
      </c>
      <c r="I1151" s="239" t="str">
        <f>IF(ISBLANK(continental!I198),"",continental!I198)</f>
        <v>User input</v>
      </c>
      <c r="K1151" s="262" t="s">
        <v>259</v>
      </c>
      <c r="O1151" s="262" t="s">
        <v>259</v>
      </c>
    </row>
    <row r="1152" spans="1:15" ht="12.75" customHeight="1" x14ac:dyDescent="0.3">
      <c r="A1152" s="38"/>
      <c r="B1152" s="17"/>
      <c r="C1152" s="17"/>
      <c r="D1152" s="17"/>
      <c r="E1152" s="17"/>
      <c r="F1152" s="17"/>
      <c r="G1152" s="17"/>
      <c r="H1152" s="17"/>
      <c r="I1152" s="239" t="str">
        <f>IF(ISBLANK(continental!I199),"",continental!I199)</f>
        <v/>
      </c>
      <c r="K1152" s="262" t="s">
        <v>4241</v>
      </c>
      <c r="O1152" s="262" t="s">
        <v>4241</v>
      </c>
    </row>
    <row r="1153" spans="1:15" ht="12.75" customHeight="1" x14ac:dyDescent="0.3">
      <c r="A1153" s="38" t="s">
        <v>1315</v>
      </c>
      <c r="B1153" s="17"/>
      <c r="C1153" s="17"/>
      <c r="D1153" s="17"/>
      <c r="E1153" s="17"/>
      <c r="F1153" s="17"/>
      <c r="G1153" s="38" t="s">
        <v>2169</v>
      </c>
      <c r="H1153" s="38" t="s">
        <v>617</v>
      </c>
      <c r="I1153" s="239" t="str">
        <f>IF(ISBLANK(continental!I200),"",continental!I200)</f>
        <v/>
      </c>
      <c r="K1153" s="262" t="s">
        <v>4241</v>
      </c>
      <c r="O1153" s="262" t="s">
        <v>4241</v>
      </c>
    </row>
    <row r="1154" spans="1:15" ht="12.75" customHeight="1" x14ac:dyDescent="0.3">
      <c r="A1154" s="38" t="s">
        <v>1317</v>
      </c>
      <c r="B1154" s="17"/>
      <c r="C1154" s="17"/>
      <c r="D1154" s="17"/>
      <c r="E1154" s="17"/>
      <c r="F1154" s="17"/>
      <c r="G1154" s="38" t="s">
        <v>2170</v>
      </c>
      <c r="H1154" s="38" t="s">
        <v>617</v>
      </c>
      <c r="I1154" s="239" t="str">
        <f>IF(ISBLANK(continental!I201),"",continental!I201)</f>
        <v/>
      </c>
      <c r="K1154" s="262" t="s">
        <v>4241</v>
      </c>
      <c r="O1154" s="262" t="s">
        <v>4241</v>
      </c>
    </row>
    <row r="1155" spans="1:15" ht="12.75" customHeight="1" x14ac:dyDescent="0.3">
      <c r="A1155" s="38" t="s">
        <v>1319</v>
      </c>
      <c r="B1155" s="17"/>
      <c r="C1155" s="17"/>
      <c r="D1155" s="17"/>
      <c r="E1155" s="17"/>
      <c r="F1155" s="17"/>
      <c r="G1155" s="38" t="s">
        <v>2171</v>
      </c>
      <c r="H1155" s="38" t="s">
        <v>617</v>
      </c>
      <c r="I1155" s="239" t="str">
        <f>IF(ISBLANK(continental!I202),"",continental!I202)</f>
        <v/>
      </c>
      <c r="K1155" s="262" t="s">
        <v>4241</v>
      </c>
      <c r="O1155" s="262" t="s">
        <v>4241</v>
      </c>
    </row>
    <row r="1156" spans="1:15" ht="12.75" customHeight="1" x14ac:dyDescent="0.3">
      <c r="A1156" s="38" t="s">
        <v>1321</v>
      </c>
      <c r="B1156" s="17"/>
      <c r="C1156" s="17"/>
      <c r="D1156" s="17"/>
      <c r="E1156" s="17"/>
      <c r="F1156" s="17"/>
      <c r="G1156" s="38" t="s">
        <v>2172</v>
      </c>
      <c r="H1156" s="38" t="s">
        <v>617</v>
      </c>
      <c r="I1156" s="239" t="str">
        <f>IF(ISBLANK(continental!I203),"",continental!I203)</f>
        <v/>
      </c>
      <c r="K1156" s="262" t="s">
        <v>4241</v>
      </c>
      <c r="O1156" s="262" t="s">
        <v>4241</v>
      </c>
    </row>
    <row r="1157" spans="1:15" ht="12.75" customHeight="1" x14ac:dyDescent="0.3">
      <c r="A1157" s="38" t="s">
        <v>1323</v>
      </c>
      <c r="B1157" s="17"/>
      <c r="C1157" s="17"/>
      <c r="D1157" s="17"/>
      <c r="E1157" s="17"/>
      <c r="F1157" s="17"/>
      <c r="G1157" s="38" t="s">
        <v>2173</v>
      </c>
      <c r="H1157" s="38" t="s">
        <v>617</v>
      </c>
      <c r="I1157" s="239" t="str">
        <f>IF(ISBLANK(continental!I204),"",continental!I204)</f>
        <v/>
      </c>
      <c r="K1157" s="262" t="s">
        <v>4241</v>
      </c>
      <c r="O1157" s="262" t="s">
        <v>4241</v>
      </c>
    </row>
    <row r="1158" spans="1:15" ht="12.75" customHeight="1" x14ac:dyDescent="0.3">
      <c r="A1158" s="38" t="s">
        <v>1325</v>
      </c>
      <c r="B1158" s="17"/>
      <c r="C1158" s="17"/>
      <c r="D1158" s="17"/>
      <c r="E1158" s="17"/>
      <c r="F1158" s="17"/>
      <c r="G1158" s="38" t="s">
        <v>2174</v>
      </c>
      <c r="H1158" s="38" t="s">
        <v>617</v>
      </c>
      <c r="I1158" s="239" t="str">
        <f>IF(ISBLANK(continental!I205),"",continental!I205)</f>
        <v/>
      </c>
      <c r="K1158" s="262" t="s">
        <v>4241</v>
      </c>
      <c r="O1158" s="262" t="s">
        <v>4241</v>
      </c>
    </row>
    <row r="1159" spans="1:15" ht="12.75" customHeight="1" x14ac:dyDescent="0.3">
      <c r="A1159" s="38" t="s">
        <v>1327</v>
      </c>
      <c r="B1159" s="17"/>
      <c r="C1159" s="17"/>
      <c r="D1159" s="17"/>
      <c r="E1159" s="17"/>
      <c r="F1159" s="17"/>
      <c r="G1159" s="38" t="s">
        <v>2175</v>
      </c>
      <c r="H1159" s="38" t="s">
        <v>617</v>
      </c>
      <c r="I1159" s="239" t="str">
        <f>IF(ISBLANK(continental!I206),"",continental!I206)</f>
        <v/>
      </c>
      <c r="K1159" s="262" t="s">
        <v>4241</v>
      </c>
      <c r="O1159" s="262" t="s">
        <v>4241</v>
      </c>
    </row>
    <row r="1160" spans="1:15" ht="12.75" customHeight="1" x14ac:dyDescent="0.3">
      <c r="A1160" s="38" t="s">
        <v>1329</v>
      </c>
      <c r="B1160" s="17"/>
      <c r="C1160" s="17"/>
      <c r="D1160" s="17"/>
      <c r="E1160" s="17"/>
      <c r="F1160" s="17"/>
      <c r="G1160" s="38" t="s">
        <v>2176</v>
      </c>
      <c r="H1160" s="38" t="s">
        <v>617</v>
      </c>
      <c r="I1160" s="239" t="str">
        <f>IF(ISBLANK(continental!I207),"",continental!I207)</f>
        <v/>
      </c>
      <c r="K1160" s="262" t="s">
        <v>4241</v>
      </c>
      <c r="O1160" s="262" t="s">
        <v>4241</v>
      </c>
    </row>
    <row r="1161" spans="1:15" ht="12.75" customHeight="1" x14ac:dyDescent="0.3">
      <c r="A1161" s="38" t="s">
        <v>1329</v>
      </c>
      <c r="B1161" s="17"/>
      <c r="C1161" s="17"/>
      <c r="D1161" s="17"/>
      <c r="E1161" s="17"/>
      <c r="F1161" s="17"/>
      <c r="G1161" s="38" t="s">
        <v>2177</v>
      </c>
      <c r="H1161" s="38" t="s">
        <v>617</v>
      </c>
      <c r="I1161" s="239" t="str">
        <f>IF(ISBLANK(continental!I208),"",continental!I208)</f>
        <v/>
      </c>
      <c r="K1161" s="262" t="s">
        <v>4241</v>
      </c>
      <c r="O1161" s="262" t="s">
        <v>4241</v>
      </c>
    </row>
    <row r="1162" spans="1:15" ht="12.75" customHeight="1" x14ac:dyDescent="0.3">
      <c r="A1162" s="38" t="s">
        <v>1329</v>
      </c>
      <c r="B1162" s="17"/>
      <c r="C1162" s="17"/>
      <c r="D1162" s="17"/>
      <c r="E1162" s="17"/>
      <c r="F1162" s="17"/>
      <c r="G1162" s="38" t="s">
        <v>2178</v>
      </c>
      <c r="H1162" s="38" t="s">
        <v>617</v>
      </c>
      <c r="I1162" s="239" t="str">
        <f>IF(ISBLANK(continental!I209),"",continental!I209)</f>
        <v/>
      </c>
      <c r="K1162" s="262" t="s">
        <v>4241</v>
      </c>
      <c r="O1162" s="262" t="s">
        <v>4241</v>
      </c>
    </row>
    <row r="1163" spans="1:15" ht="12.75" customHeight="1" x14ac:dyDescent="0.3">
      <c r="A1163" s="38"/>
      <c r="B1163" s="38" t="s">
        <v>1335</v>
      </c>
      <c r="C1163" s="146"/>
      <c r="D1163" s="17"/>
      <c r="E1163" s="17"/>
      <c r="F1163" s="17"/>
      <c r="G1163" s="146" t="s">
        <v>2179</v>
      </c>
      <c r="H1163" s="38" t="s">
        <v>617</v>
      </c>
      <c r="I1163" s="239" t="str">
        <f>IF(ISBLANK(continental!I210),"",continental!I210)</f>
        <v/>
      </c>
      <c r="K1163" s="262" t="s">
        <v>4241</v>
      </c>
      <c r="O1163" s="262" t="s">
        <v>4241</v>
      </c>
    </row>
    <row r="1164" spans="1:15" ht="12.75" customHeight="1" x14ac:dyDescent="0.3">
      <c r="A1164" s="38"/>
      <c r="B1164" s="38" t="s">
        <v>1337</v>
      </c>
      <c r="C1164" s="17"/>
      <c r="D1164" s="17"/>
      <c r="E1164" s="17"/>
      <c r="F1164" s="17"/>
      <c r="G1164" s="38" t="s">
        <v>2180</v>
      </c>
      <c r="H1164" s="38" t="s">
        <v>617</v>
      </c>
      <c r="I1164" s="239" t="str">
        <f>IF(ISBLANK(continental!I211),"",continental!I211)</f>
        <v/>
      </c>
      <c r="K1164" s="262" t="s">
        <v>4241</v>
      </c>
      <c r="O1164" s="262" t="s">
        <v>4241</v>
      </c>
    </row>
    <row r="1165" spans="1:15" ht="12.75" customHeight="1" x14ac:dyDescent="0.3">
      <c r="A1165" s="146"/>
      <c r="B1165" s="146"/>
      <c r="C1165" s="38" t="s">
        <v>2181</v>
      </c>
      <c r="D1165" s="17"/>
      <c r="E1165" s="17"/>
      <c r="F1165" s="17"/>
      <c r="G1165" s="38" t="s">
        <v>2182</v>
      </c>
      <c r="H1165" s="38" t="s">
        <v>620</v>
      </c>
      <c r="I1165" s="239" t="str">
        <f>IF(ISBLANK(continental!I212),"",continental!I212)</f>
        <v/>
      </c>
      <c r="K1165" s="262" t="s">
        <v>4241</v>
      </c>
      <c r="O1165" s="262" t="s">
        <v>4241</v>
      </c>
    </row>
    <row r="1166" spans="1:15" ht="12.75" customHeight="1" x14ac:dyDescent="0.3">
      <c r="A1166" s="146"/>
      <c r="B1166" s="146"/>
      <c r="C1166" s="38" t="s">
        <v>2183</v>
      </c>
      <c r="D1166" s="17"/>
      <c r="E1166" s="17"/>
      <c r="F1166" s="17"/>
      <c r="G1166" s="38" t="s">
        <v>2184</v>
      </c>
      <c r="H1166" s="38" t="s">
        <v>291</v>
      </c>
      <c r="I1166" s="239" t="str">
        <f>IF(ISBLANK(continental!I213),"",continental!I213)</f>
        <v/>
      </c>
      <c r="K1166" s="262" t="s">
        <v>4241</v>
      </c>
      <c r="O1166" s="262" t="s">
        <v>4241</v>
      </c>
    </row>
    <row r="1167" spans="1:15" ht="12.75" customHeight="1" x14ac:dyDescent="0.3">
      <c r="A1167" s="38"/>
      <c r="B1167" s="38" t="s">
        <v>1344</v>
      </c>
      <c r="C1167" s="17"/>
      <c r="D1167" s="17"/>
      <c r="E1167" s="17"/>
      <c r="F1167" s="17"/>
      <c r="G1167" s="38" t="s">
        <v>2185</v>
      </c>
      <c r="H1167" s="38" t="s">
        <v>617</v>
      </c>
      <c r="I1167" s="239" t="str">
        <f>IF(ISBLANK(continental!I214),"",continental!I214)</f>
        <v/>
      </c>
      <c r="K1167" s="262" t="s">
        <v>4241</v>
      </c>
      <c r="O1167" s="262" t="s">
        <v>4241</v>
      </c>
    </row>
    <row r="1168" spans="1:15" ht="12.75" customHeight="1" x14ac:dyDescent="0.3">
      <c r="A1168" s="38"/>
      <c r="B1168" s="38" t="s">
        <v>1346</v>
      </c>
      <c r="C1168" s="17"/>
      <c r="D1168" s="17"/>
      <c r="E1168" s="17"/>
      <c r="F1168" s="17"/>
      <c r="G1168" s="38" t="s">
        <v>2186</v>
      </c>
      <c r="H1168" s="38" t="s">
        <v>617</v>
      </c>
      <c r="I1168" s="239" t="str">
        <f>IF(ISBLANK(continental!I215),"",continental!I215)</f>
        <v/>
      </c>
      <c r="K1168" s="262" t="s">
        <v>4241</v>
      </c>
      <c r="O1168" s="262" t="s">
        <v>4241</v>
      </c>
    </row>
    <row r="1169" spans="1:15" ht="12.75" customHeight="1" x14ac:dyDescent="0.3">
      <c r="A1169" s="38"/>
      <c r="B1169" s="38" t="s">
        <v>1348</v>
      </c>
      <c r="C1169" s="17"/>
      <c r="D1169" s="17"/>
      <c r="E1169" s="17"/>
      <c r="F1169" s="17"/>
      <c r="G1169" s="38" t="s">
        <v>2187</v>
      </c>
      <c r="H1169" s="38" t="s">
        <v>617</v>
      </c>
      <c r="I1169" s="239" t="str">
        <f>IF(ISBLANK(continental!I216),"",continental!I216)</f>
        <v/>
      </c>
      <c r="K1169" s="262" t="s">
        <v>4241</v>
      </c>
      <c r="O1169" s="262" t="s">
        <v>4241</v>
      </c>
    </row>
    <row r="1170" spans="1:15" ht="12.75" customHeight="1" x14ac:dyDescent="0.3">
      <c r="A1170" s="38"/>
      <c r="B1170" s="38"/>
      <c r="C1170" s="38" t="s">
        <v>1350</v>
      </c>
      <c r="D1170" s="17"/>
      <c r="E1170" s="17"/>
      <c r="F1170" s="17"/>
      <c r="G1170" s="146" t="s">
        <v>2188</v>
      </c>
      <c r="H1170" s="38" t="s">
        <v>1352</v>
      </c>
      <c r="I1170" s="239" t="str">
        <f>IF(ISBLANK(continental!I217),"",continental!I217)</f>
        <v/>
      </c>
      <c r="K1170" s="262" t="s">
        <v>4241</v>
      </c>
      <c r="O1170" s="262" t="s">
        <v>4241</v>
      </c>
    </row>
    <row r="1171" spans="1:15" ht="12.75" customHeight="1" x14ac:dyDescent="0.3">
      <c r="A1171" s="38"/>
      <c r="B1171" s="38"/>
      <c r="C1171" s="38" t="s">
        <v>1354</v>
      </c>
      <c r="D1171" s="17"/>
      <c r="E1171" s="17"/>
      <c r="F1171" s="17"/>
      <c r="G1171" s="146" t="s">
        <v>2189</v>
      </c>
      <c r="H1171" s="38" t="s">
        <v>1352</v>
      </c>
      <c r="I1171" s="239" t="str">
        <f>IF(ISBLANK(continental!I218),"",continental!I218)</f>
        <v/>
      </c>
      <c r="K1171" s="262" t="s">
        <v>4241</v>
      </c>
      <c r="O1171" s="262" t="s">
        <v>4241</v>
      </c>
    </row>
    <row r="1172" spans="1:15" ht="12.75" customHeight="1" x14ac:dyDescent="0.3">
      <c r="A1172" s="38"/>
      <c r="B1172" s="38"/>
      <c r="C1172" s="38" t="s">
        <v>1356</v>
      </c>
      <c r="D1172" s="17"/>
      <c r="E1172" s="17"/>
      <c r="F1172" s="17"/>
      <c r="G1172" s="146" t="s">
        <v>2190</v>
      </c>
      <c r="H1172" s="38" t="s">
        <v>1352</v>
      </c>
      <c r="I1172" s="239" t="str">
        <f>IF(ISBLANK(continental!I219),"",continental!I219)</f>
        <v/>
      </c>
      <c r="K1172" s="262" t="s">
        <v>4241</v>
      </c>
      <c r="O1172" s="262" t="s">
        <v>4241</v>
      </c>
    </row>
    <row r="1173" spans="1:15" ht="12.75" customHeight="1" x14ac:dyDescent="0.3">
      <c r="A1173" s="146"/>
      <c r="B1173" s="146"/>
      <c r="C1173" s="38" t="s">
        <v>1358</v>
      </c>
      <c r="D1173" s="17"/>
      <c r="E1173" s="17"/>
      <c r="F1173" s="17"/>
      <c r="G1173" s="38" t="s">
        <v>2191</v>
      </c>
      <c r="H1173" s="38" t="s">
        <v>291</v>
      </c>
      <c r="I1173" s="239" t="str">
        <f>IF(ISBLANK(continental!I220),"",continental!I220)</f>
        <v/>
      </c>
      <c r="K1173" s="262" t="s">
        <v>4241</v>
      </c>
      <c r="O1173" s="262" t="s">
        <v>4241</v>
      </c>
    </row>
    <row r="1174" spans="1:15" ht="12.75" customHeight="1" x14ac:dyDescent="0.3">
      <c r="A1174" s="146"/>
      <c r="B1174" s="38" t="s">
        <v>2192</v>
      </c>
      <c r="C1174" s="17"/>
      <c r="D1174" s="17"/>
      <c r="E1174" s="17"/>
      <c r="F1174" s="17"/>
      <c r="G1174" s="38" t="s">
        <v>2193</v>
      </c>
      <c r="H1174" s="38" t="s">
        <v>617</v>
      </c>
      <c r="I1174" s="239" t="str">
        <f>IF(ISBLANK(continental!I221),"",continental!I221)</f>
        <v/>
      </c>
      <c r="K1174" s="262" t="s">
        <v>4241</v>
      </c>
      <c r="O1174" s="262" t="s">
        <v>4241</v>
      </c>
    </row>
    <row r="1175" spans="1:15" ht="12.75" customHeight="1" x14ac:dyDescent="0.3">
      <c r="A1175" s="38"/>
      <c r="B1175" s="38" t="s">
        <v>1362</v>
      </c>
      <c r="C1175" s="17"/>
      <c r="D1175" s="17"/>
      <c r="E1175" s="17"/>
      <c r="F1175" s="17"/>
      <c r="G1175" s="38" t="s">
        <v>2194</v>
      </c>
      <c r="H1175" s="38" t="s">
        <v>617</v>
      </c>
      <c r="I1175" s="239" t="str">
        <f>IF(ISBLANK(continental!I222),"",continental!I222)</f>
        <v/>
      </c>
      <c r="K1175" s="262" t="s">
        <v>4241</v>
      </c>
      <c r="O1175" s="262" t="s">
        <v>4241</v>
      </c>
    </row>
    <row r="1176" spans="1:15" ht="12.75" customHeight="1" x14ac:dyDescent="0.3">
      <c r="A1176" s="38"/>
      <c r="B1176" s="38" t="s">
        <v>1364</v>
      </c>
      <c r="C1176" s="17"/>
      <c r="D1176" s="17"/>
      <c r="E1176" s="17"/>
      <c r="F1176" s="17"/>
      <c r="G1176" s="38" t="s">
        <v>2195</v>
      </c>
      <c r="H1176" s="38" t="s">
        <v>617</v>
      </c>
      <c r="I1176" s="239" t="str">
        <f>IF(ISBLANK(continental!I223),"",continental!I223)</f>
        <v/>
      </c>
      <c r="K1176" s="262" t="s">
        <v>4241</v>
      </c>
      <c r="O1176" s="262" t="s">
        <v>4241</v>
      </c>
    </row>
    <row r="1177" spans="1:15" ht="12.75" customHeight="1" x14ac:dyDescent="0.3">
      <c r="A1177" s="38"/>
      <c r="B1177" s="38" t="s">
        <v>1366</v>
      </c>
      <c r="C1177" s="17"/>
      <c r="D1177" s="17"/>
      <c r="E1177" s="17"/>
      <c r="F1177" s="17"/>
      <c r="G1177" s="38" t="s">
        <v>2196</v>
      </c>
      <c r="H1177" s="38" t="s">
        <v>617</v>
      </c>
      <c r="I1177" s="239" t="str">
        <f>IF(ISBLANK(continental!I224),"",continental!I224)</f>
        <v/>
      </c>
      <c r="K1177" s="262" t="s">
        <v>4241</v>
      </c>
      <c r="O1177" s="262" t="s">
        <v>4241</v>
      </c>
    </row>
    <row r="1178" spans="1:15" ht="12.75" customHeight="1" x14ac:dyDescent="0.3">
      <c r="A1178" s="38"/>
      <c r="B1178" s="38" t="s">
        <v>1368</v>
      </c>
      <c r="C1178" s="17"/>
      <c r="D1178" s="17"/>
      <c r="E1178" s="17"/>
      <c r="F1178" s="17"/>
      <c r="G1178" s="38" t="s">
        <v>2197</v>
      </c>
      <c r="H1178" s="38" t="s">
        <v>617</v>
      </c>
      <c r="I1178" s="239" t="str">
        <f>IF(ISBLANK(continental!I225),"",continental!I225)</f>
        <v/>
      </c>
      <c r="J1178" s="228"/>
      <c r="K1178" s="262" t="s">
        <v>4241</v>
      </c>
      <c r="O1178" s="262" t="s">
        <v>4241</v>
      </c>
    </row>
    <row r="1179" spans="1:15" ht="12.75" customHeight="1" x14ac:dyDescent="0.3">
      <c r="A1179" s="38"/>
      <c r="B1179" s="38" t="s">
        <v>1370</v>
      </c>
      <c r="C1179" s="17"/>
      <c r="D1179" s="17"/>
      <c r="E1179" s="17"/>
      <c r="F1179" s="17"/>
      <c r="G1179" s="38" t="s">
        <v>2198</v>
      </c>
      <c r="H1179" s="38" t="s">
        <v>617</v>
      </c>
      <c r="I1179" s="239" t="str">
        <f>IF(ISBLANK(continental!I226),"",continental!I226)</f>
        <v/>
      </c>
      <c r="J1179" s="411"/>
      <c r="K1179" s="262" t="s">
        <v>4241</v>
      </c>
      <c r="O1179" s="262" t="s">
        <v>4241</v>
      </c>
    </row>
    <row r="1180" spans="1:15" ht="12.75" customHeight="1" x14ac:dyDescent="0.3">
      <c r="A1180" s="38"/>
      <c r="B1180" s="38"/>
      <c r="C1180" s="38" t="s">
        <v>1372</v>
      </c>
      <c r="D1180" s="17"/>
      <c r="E1180" s="17"/>
      <c r="F1180" s="17"/>
      <c r="G1180" s="146" t="s">
        <v>2199</v>
      </c>
      <c r="H1180" s="38" t="s">
        <v>291</v>
      </c>
      <c r="I1180" s="239" t="str">
        <f>IF(ISBLANK(continental!I227),"",continental!I227)</f>
        <v/>
      </c>
      <c r="J1180" s="228"/>
      <c r="K1180" s="262" t="s">
        <v>4241</v>
      </c>
      <c r="O1180" s="262" t="s">
        <v>4241</v>
      </c>
    </row>
    <row r="1181" spans="1:15" ht="12.75" customHeight="1" x14ac:dyDescent="0.3">
      <c r="A1181" s="38"/>
      <c r="B1181" s="38"/>
      <c r="C1181" s="38" t="s">
        <v>1374</v>
      </c>
      <c r="D1181" s="17"/>
      <c r="E1181" s="17"/>
      <c r="F1181" s="17"/>
      <c r="G1181" s="146" t="s">
        <v>2200</v>
      </c>
      <c r="H1181" s="38" t="s">
        <v>291</v>
      </c>
      <c r="I1181" s="239" t="str">
        <f>IF(ISBLANK(continental!I228),"",continental!I228)</f>
        <v/>
      </c>
      <c r="K1181" s="262" t="s">
        <v>4241</v>
      </c>
      <c r="O1181" s="262" t="s">
        <v>4241</v>
      </c>
    </row>
    <row r="1182" spans="1:15" ht="12.75" customHeight="1" x14ac:dyDescent="0.3">
      <c r="A1182" s="17"/>
      <c r="B1182" s="17"/>
      <c r="C1182" s="38" t="s">
        <v>1376</v>
      </c>
      <c r="D1182" s="17"/>
      <c r="E1182" s="17"/>
      <c r="F1182" s="17"/>
      <c r="G1182" s="146" t="s">
        <v>2201</v>
      </c>
      <c r="H1182" s="38" t="s">
        <v>291</v>
      </c>
      <c r="I1182" s="239" t="str">
        <f>IF(ISBLANK(continental!I229),"",continental!I229)</f>
        <v/>
      </c>
      <c r="K1182" s="262" t="s">
        <v>4241</v>
      </c>
      <c r="O1182" s="262" t="s">
        <v>4241</v>
      </c>
    </row>
    <row r="1183" spans="1:15" ht="12.75" customHeight="1" x14ac:dyDescent="0.3">
      <c r="A1183" s="38"/>
      <c r="B1183" s="38"/>
      <c r="C1183" s="17" t="s">
        <v>1229</v>
      </c>
      <c r="D1183" s="17"/>
      <c r="E1183" s="146"/>
      <c r="F1183" s="146"/>
      <c r="G1183" s="38" t="s">
        <v>2202</v>
      </c>
      <c r="H1183" s="17" t="s">
        <v>291</v>
      </c>
      <c r="I1183" s="239" t="str">
        <f>IF(ISBLANK(continental!I230),"",continental!I230)</f>
        <v/>
      </c>
      <c r="K1183" s="262" t="s">
        <v>4241</v>
      </c>
      <c r="O1183" s="262" t="s">
        <v>4241</v>
      </c>
    </row>
    <row r="1184" spans="1:15" ht="12.75" customHeight="1" x14ac:dyDescent="0.3">
      <c r="A1184" s="38"/>
      <c r="B1184" s="38"/>
      <c r="C1184" s="17" t="s">
        <v>1229</v>
      </c>
      <c r="D1184" s="17"/>
      <c r="E1184" s="146"/>
      <c r="F1184" s="146"/>
      <c r="G1184" s="38" t="s">
        <v>2203</v>
      </c>
      <c r="H1184" s="17" t="s">
        <v>291</v>
      </c>
      <c r="I1184" s="239" t="str">
        <f>IF(ISBLANK(continental!I231),"",continental!I231)</f>
        <v/>
      </c>
      <c r="K1184" s="262" t="s">
        <v>4241</v>
      </c>
      <c r="O1184" s="262" t="s">
        <v>4241</v>
      </c>
    </row>
    <row r="1185" spans="1:15" ht="12.75" customHeight="1" x14ac:dyDescent="0.3">
      <c r="A1185" s="38"/>
      <c r="B1185" s="38"/>
      <c r="C1185" s="17" t="s">
        <v>1229</v>
      </c>
      <c r="D1185" s="17"/>
      <c r="E1185" s="146"/>
      <c r="F1185" s="146"/>
      <c r="G1185" s="38" t="s">
        <v>2204</v>
      </c>
      <c r="H1185" s="17" t="s">
        <v>291</v>
      </c>
      <c r="I1185" s="239" t="str">
        <f>IF(ISBLANK(continental!I232),"",continental!I232)</f>
        <v/>
      </c>
      <c r="K1185" s="262" t="s">
        <v>4241</v>
      </c>
      <c r="O1185" s="262" t="s">
        <v>4241</v>
      </c>
    </row>
    <row r="1186" spans="1:15" ht="12.75" customHeight="1" x14ac:dyDescent="0.3">
      <c r="A1186" s="168"/>
      <c r="B1186" s="168"/>
      <c r="C1186" s="168"/>
      <c r="D1186" s="168"/>
      <c r="E1186" s="168"/>
      <c r="F1186" s="168"/>
      <c r="G1186" s="168"/>
      <c r="H1186" s="168"/>
      <c r="I1186" s="239" t="str">
        <f>IF(ISBLANK(continental!I233),"",continental!I233)</f>
        <v/>
      </c>
      <c r="K1186" s="262" t="s">
        <v>4241</v>
      </c>
      <c r="O1186" s="262" t="s">
        <v>4241</v>
      </c>
    </row>
    <row r="1187" spans="1:15" ht="12.75" customHeight="1" x14ac:dyDescent="0.3">
      <c r="G1187"/>
      <c r="H1187"/>
      <c r="I1187" s="239" t="str">
        <f>IF(ISBLANK(continental!I234),"",continental!I234)</f>
        <v/>
      </c>
      <c r="K1187" s="262" t="s">
        <v>4241</v>
      </c>
      <c r="O1187" s="262" t="s">
        <v>4241</v>
      </c>
    </row>
    <row r="1188" spans="1:15" ht="12.75" customHeight="1" x14ac:dyDescent="0.3">
      <c r="A1188" s="630" t="s">
        <v>1382</v>
      </c>
      <c r="B1188" s="413"/>
      <c r="C1188" s="413"/>
      <c r="D1188" s="413"/>
      <c r="E1188" s="413"/>
      <c r="F1188" s="413"/>
      <c r="G1188" s="630" t="s">
        <v>258</v>
      </c>
      <c r="H1188" s="630" t="s">
        <v>274</v>
      </c>
      <c r="I1188" s="239" t="str">
        <f>IF(ISBLANK(continental!I235),"",continental!I235)</f>
        <v>User input</v>
      </c>
      <c r="K1188" s="262" t="s">
        <v>259</v>
      </c>
      <c r="O1188" s="262" t="s">
        <v>259</v>
      </c>
    </row>
    <row r="1189" spans="1:15" ht="12.75" customHeight="1" x14ac:dyDescent="0.3">
      <c r="A1189" s="410" t="s">
        <v>1385</v>
      </c>
      <c r="B1189" s="410"/>
      <c r="C1189" s="410"/>
      <c r="D1189" s="410"/>
      <c r="E1189" s="410"/>
      <c r="F1189" s="410"/>
      <c r="G1189" s="654"/>
      <c r="H1189" s="654"/>
      <c r="I1189" s="239" t="str">
        <f>IF(ISBLANK(continental!I236),"",continental!I236)</f>
        <v/>
      </c>
      <c r="K1189" s="262" t="s">
        <v>4241</v>
      </c>
      <c r="O1189" s="262" t="s">
        <v>4241</v>
      </c>
    </row>
    <row r="1190" spans="1:15" ht="12.75" customHeight="1" x14ac:dyDescent="0.3">
      <c r="A1190" s="566" t="s">
        <v>1386</v>
      </c>
      <c r="B1190" s="566"/>
      <c r="C1190" s="566"/>
      <c r="D1190" s="566"/>
      <c r="E1190" s="566"/>
      <c r="F1190" s="566"/>
      <c r="G1190" s="566" t="s">
        <v>2205</v>
      </c>
      <c r="H1190" s="567" t="s">
        <v>335</v>
      </c>
      <c r="I1190" s="239" t="str">
        <f>IF(ISBLANK(continental!I237),"",continental!I237)</f>
        <v/>
      </c>
      <c r="K1190" s="262" t="s">
        <v>4241</v>
      </c>
      <c r="O1190" s="262" t="s">
        <v>4241</v>
      </c>
    </row>
    <row r="1191" spans="1:15" ht="12.75" customHeight="1" x14ac:dyDescent="0.3">
      <c r="A1191" s="566"/>
      <c r="B1191" s="566" t="s">
        <v>1389</v>
      </c>
      <c r="C1191" s="566"/>
      <c r="D1191" s="566"/>
      <c r="E1191" s="566"/>
      <c r="F1191" s="566"/>
      <c r="G1191" s="566" t="s">
        <v>2206</v>
      </c>
      <c r="H1191" s="566" t="s">
        <v>335</v>
      </c>
      <c r="I1191" s="239" t="str">
        <f>IF(ISBLANK(continental!I238),"",continental!I238)</f>
        <v/>
      </c>
      <c r="K1191" s="262" t="s">
        <v>4241</v>
      </c>
      <c r="O1191" s="262" t="s">
        <v>4241</v>
      </c>
    </row>
    <row r="1192" spans="1:15" ht="12.75" customHeight="1" x14ac:dyDescent="0.3">
      <c r="A1192" s="566"/>
      <c r="B1192" s="566"/>
      <c r="C1192" s="566" t="s">
        <v>706</v>
      </c>
      <c r="D1192" s="566"/>
      <c r="E1192" s="566"/>
      <c r="F1192" s="566"/>
      <c r="G1192" s="566" t="s">
        <v>749</v>
      </c>
      <c r="H1192" s="567" t="s">
        <v>708</v>
      </c>
      <c r="I1192" s="239" t="str">
        <f>IF(ISBLANK(input!I305),"",input!I305)</f>
        <v/>
      </c>
      <c r="K1192" s="262" t="s">
        <v>4241</v>
      </c>
      <c r="O1192" s="262" t="s">
        <v>4241</v>
      </c>
    </row>
    <row r="1193" spans="1:15" ht="12.75" customHeight="1" x14ac:dyDescent="0.3">
      <c r="A1193" s="566"/>
      <c r="B1193" s="566"/>
      <c r="C1193" s="566" t="s">
        <v>1396</v>
      </c>
      <c r="D1193" s="566"/>
      <c r="E1193" s="566"/>
      <c r="F1193" s="566"/>
      <c r="G1193" s="567" t="s">
        <v>2207</v>
      </c>
      <c r="H1193" s="567" t="s">
        <v>866</v>
      </c>
      <c r="I1193" s="239" t="str">
        <f>IF(ISBLANK(continental!I239),"",continental!I239)</f>
        <v/>
      </c>
      <c r="K1193" s="262" t="s">
        <v>4241</v>
      </c>
      <c r="O1193" s="262" t="s">
        <v>4241</v>
      </c>
    </row>
    <row r="1194" spans="1:15" ht="12.75" customHeight="1" x14ac:dyDescent="0.3">
      <c r="A1194" s="566"/>
      <c r="B1194" s="566"/>
      <c r="C1194" s="566" t="s">
        <v>1394</v>
      </c>
      <c r="D1194" s="566"/>
      <c r="E1194" s="566"/>
      <c r="F1194" s="566"/>
      <c r="G1194" s="566" t="s">
        <v>2208</v>
      </c>
      <c r="H1194" s="566" t="s">
        <v>900</v>
      </c>
      <c r="I1194" s="239" t="str">
        <f>IF(ISBLANK(continental!I240),"",continental!I240)</f>
        <v/>
      </c>
      <c r="K1194" s="262" t="s">
        <v>4241</v>
      </c>
      <c r="O1194" s="262" t="s">
        <v>4241</v>
      </c>
    </row>
    <row r="1195" spans="1:15" ht="12.75" customHeight="1" x14ac:dyDescent="0.3">
      <c r="A1195" s="566"/>
      <c r="B1195" s="566"/>
      <c r="C1195" s="566" t="s">
        <v>1391</v>
      </c>
      <c r="D1195" s="566"/>
      <c r="E1195" s="566"/>
      <c r="F1195" s="566"/>
      <c r="G1195" s="567" t="s">
        <v>2209</v>
      </c>
      <c r="H1195" s="567" t="s">
        <v>291</v>
      </c>
      <c r="I1195" s="239" t="str">
        <f>IF(ISBLANK(continental!I241),"",continental!I241)</f>
        <v/>
      </c>
      <c r="K1195" s="262" t="s">
        <v>4241</v>
      </c>
      <c r="O1195" s="262" t="s">
        <v>4241</v>
      </c>
    </row>
    <row r="1196" spans="1:15" ht="12.75" customHeight="1" x14ac:dyDescent="0.3">
      <c r="A1196" s="566" t="s">
        <v>1398</v>
      </c>
      <c r="B1196" s="566"/>
      <c r="C1196" s="566"/>
      <c r="D1196" s="566"/>
      <c r="E1196" s="566"/>
      <c r="F1196" s="566"/>
      <c r="G1196" s="566" t="s">
        <v>2210</v>
      </c>
      <c r="H1196" s="566" t="s">
        <v>335</v>
      </c>
      <c r="I1196" s="239" t="str">
        <f>IF(ISBLANK(continental!I242),"",continental!I242)</f>
        <v/>
      </c>
      <c r="K1196" s="262" t="s">
        <v>4241</v>
      </c>
      <c r="O1196" s="262" t="s">
        <v>4241</v>
      </c>
    </row>
    <row r="1197" spans="1:15" ht="12.75" customHeight="1" x14ac:dyDescent="0.3">
      <c r="A1197" s="566"/>
      <c r="B1197" s="566"/>
      <c r="C1197" s="566" t="s">
        <v>710</v>
      </c>
      <c r="D1197" s="566"/>
      <c r="E1197" s="566"/>
      <c r="F1197" s="566"/>
      <c r="G1197" s="566" t="s">
        <v>750</v>
      </c>
      <c r="H1197" s="567" t="s">
        <v>708</v>
      </c>
      <c r="I1197" s="239" t="str">
        <f>IF(ISBLANK(input!I306),"",input!I306)</f>
        <v/>
      </c>
      <c r="K1197" s="262" t="s">
        <v>4241</v>
      </c>
      <c r="O1197" s="262" t="s">
        <v>4241</v>
      </c>
    </row>
    <row r="1198" spans="1:15" ht="12.75" customHeight="1" x14ac:dyDescent="0.3">
      <c r="A1198" s="566"/>
      <c r="B1198" s="566"/>
      <c r="C1198" s="566" t="s">
        <v>1400</v>
      </c>
      <c r="D1198" s="566"/>
      <c r="E1198" s="566"/>
      <c r="F1198" s="566"/>
      <c r="G1198" s="567" t="s">
        <v>2211</v>
      </c>
      <c r="H1198" s="567" t="s">
        <v>866</v>
      </c>
      <c r="I1198" s="239" t="str">
        <f>IF(ISBLANK(continental!I243),"",continental!I243)</f>
        <v/>
      </c>
      <c r="K1198" s="262" t="s">
        <v>4241</v>
      </c>
      <c r="O1198" s="262" t="s">
        <v>4241</v>
      </c>
    </row>
    <row r="1199" spans="1:15" ht="12.75" customHeight="1" x14ac:dyDescent="0.3">
      <c r="A1199" s="566"/>
      <c r="B1199" s="566"/>
      <c r="C1199" s="566" t="s">
        <v>1402</v>
      </c>
      <c r="D1199" s="566"/>
      <c r="E1199" s="566"/>
      <c r="F1199" s="566"/>
      <c r="G1199" s="566" t="s">
        <v>2212</v>
      </c>
      <c r="H1199" s="566" t="s">
        <v>900</v>
      </c>
      <c r="I1199" s="239" t="str">
        <f>IF(ISBLANK(continental!I244),"",continental!I244)</f>
        <v/>
      </c>
      <c r="K1199" s="262" t="s">
        <v>4241</v>
      </c>
      <c r="O1199" s="262" t="s">
        <v>4241</v>
      </c>
    </row>
    <row r="1200" spans="1:15" ht="12.75" customHeight="1" x14ac:dyDescent="0.3">
      <c r="A1200" s="566"/>
      <c r="B1200" s="566"/>
      <c r="C1200" s="566" t="s">
        <v>1404</v>
      </c>
      <c r="D1200" s="566"/>
      <c r="E1200" s="566"/>
      <c r="F1200" s="566"/>
      <c r="G1200" s="567" t="s">
        <v>2213</v>
      </c>
      <c r="H1200" s="567" t="s">
        <v>291</v>
      </c>
      <c r="I1200" s="239" t="str">
        <f>IF(ISBLANK(continental!I245),"",continental!I245)</f>
        <v/>
      </c>
      <c r="K1200" s="262" t="s">
        <v>4241</v>
      </c>
      <c r="O1200" s="262" t="s">
        <v>4241</v>
      </c>
    </row>
    <row r="1201" spans="1:15" ht="12.75" customHeight="1" x14ac:dyDescent="0.3">
      <c r="A1201" s="566" t="s">
        <v>1406</v>
      </c>
      <c r="B1201" s="566"/>
      <c r="C1201" s="566"/>
      <c r="D1201" s="566"/>
      <c r="E1201" s="566"/>
      <c r="F1201" s="566"/>
      <c r="G1201" s="567" t="s">
        <v>2214</v>
      </c>
      <c r="H1201" s="567" t="s">
        <v>335</v>
      </c>
      <c r="I1201" s="239" t="str">
        <f>IF(ISBLANK(continental!I246),"",continental!I246)</f>
        <v/>
      </c>
      <c r="K1201" s="262" t="s">
        <v>4241</v>
      </c>
      <c r="O1201" s="262" t="s">
        <v>4241</v>
      </c>
    </row>
    <row r="1202" spans="1:15" ht="12.75" customHeight="1" x14ac:dyDescent="0.3">
      <c r="A1202" s="566"/>
      <c r="B1202" s="566" t="s">
        <v>712</v>
      </c>
      <c r="C1202" s="566"/>
      <c r="D1202" s="566"/>
      <c r="E1202" s="566"/>
      <c r="F1202" s="566"/>
      <c r="G1202" s="566" t="s">
        <v>751</v>
      </c>
      <c r="H1202" s="567" t="s">
        <v>708</v>
      </c>
      <c r="I1202" s="239" t="str">
        <f>IF(ISBLANK(input!I307),"",input!I307)</f>
        <v/>
      </c>
      <c r="K1202" s="262" t="s">
        <v>4241</v>
      </c>
      <c r="O1202" s="262" t="s">
        <v>4241</v>
      </c>
    </row>
    <row r="1203" spans="1:15" ht="12.75" customHeight="1" x14ac:dyDescent="0.3">
      <c r="A1203" s="566"/>
      <c r="B1203" s="566" t="s">
        <v>1408</v>
      </c>
      <c r="C1203" s="566"/>
      <c r="D1203" s="566"/>
      <c r="E1203" s="566"/>
      <c r="F1203" s="566"/>
      <c r="G1203" s="567" t="s">
        <v>2215</v>
      </c>
      <c r="H1203" s="567" t="s">
        <v>866</v>
      </c>
      <c r="I1203" s="239" t="str">
        <f>IF(ISBLANK(continental!I247),"",continental!I247)</f>
        <v/>
      </c>
      <c r="K1203" s="262" t="s">
        <v>4241</v>
      </c>
      <c r="O1203" s="262" t="s">
        <v>4241</v>
      </c>
    </row>
    <row r="1204" spans="1:15" ht="12.75" customHeight="1" x14ac:dyDescent="0.3">
      <c r="A1204" s="566"/>
      <c r="B1204" s="566" t="s">
        <v>1410</v>
      </c>
      <c r="C1204" s="566"/>
      <c r="D1204" s="566"/>
      <c r="E1204" s="566"/>
      <c r="F1204" s="566"/>
      <c r="G1204" s="566" t="s">
        <v>2216</v>
      </c>
      <c r="H1204" s="566" t="s">
        <v>900</v>
      </c>
      <c r="I1204" s="239" t="str">
        <f>IF(ISBLANK(continental!I248),"",continental!I248)</f>
        <v/>
      </c>
      <c r="K1204" s="262" t="s">
        <v>4241</v>
      </c>
      <c r="O1204" s="262" t="s">
        <v>4241</v>
      </c>
    </row>
    <row r="1205" spans="1:15" ht="12.75" customHeight="1" x14ac:dyDescent="0.3">
      <c r="A1205" s="566"/>
      <c r="B1205" s="566" t="s">
        <v>1412</v>
      </c>
      <c r="C1205" s="566"/>
      <c r="D1205" s="566"/>
      <c r="E1205" s="566"/>
      <c r="F1205" s="566"/>
      <c r="G1205" s="567" t="s">
        <v>2217</v>
      </c>
      <c r="H1205" s="567" t="s">
        <v>291</v>
      </c>
      <c r="I1205" s="239" t="str">
        <f>IF(ISBLANK(continental!I249),"",continental!I249)</f>
        <v/>
      </c>
      <c r="K1205" s="262" t="s">
        <v>4241</v>
      </c>
      <c r="O1205" s="262" t="s">
        <v>4241</v>
      </c>
    </row>
    <row r="1206" spans="1:15" ht="12.75" customHeight="1" x14ac:dyDescent="0.3">
      <c r="A1206" s="410" t="s">
        <v>1414</v>
      </c>
      <c r="B1206" s="410"/>
      <c r="C1206" s="410"/>
      <c r="D1206" s="410"/>
      <c r="E1206" s="410"/>
      <c r="F1206" s="410"/>
      <c r="G1206" s="654"/>
      <c r="H1206" s="654"/>
      <c r="I1206" s="239" t="str">
        <f>IF(ISBLANK(continental!I250),"",continental!I250)</f>
        <v/>
      </c>
      <c r="K1206" s="262" t="s">
        <v>4241</v>
      </c>
      <c r="O1206" s="262" t="s">
        <v>4241</v>
      </c>
    </row>
    <row r="1207" spans="1:15" ht="12.75" customHeight="1" x14ac:dyDescent="0.3">
      <c r="A1207" s="566" t="s">
        <v>1415</v>
      </c>
      <c r="B1207" s="566"/>
      <c r="C1207" s="566"/>
      <c r="D1207" s="566"/>
      <c r="E1207" s="566"/>
      <c r="F1207" s="566"/>
      <c r="G1207" s="566" t="s">
        <v>2218</v>
      </c>
      <c r="H1207" s="566" t="s">
        <v>335</v>
      </c>
      <c r="I1207" s="239" t="str">
        <f>IF(ISBLANK(continental!I251),"",continental!I251)</f>
        <v/>
      </c>
      <c r="K1207" s="262" t="s">
        <v>4241</v>
      </c>
      <c r="O1207" s="262" t="s">
        <v>4241</v>
      </c>
    </row>
    <row r="1208" spans="1:15" ht="12.75" customHeight="1" x14ac:dyDescent="0.3">
      <c r="A1208" s="566"/>
      <c r="B1208" s="566" t="s">
        <v>1417</v>
      </c>
      <c r="C1208" s="566"/>
      <c r="D1208" s="566"/>
      <c r="E1208" s="566"/>
      <c r="F1208" s="566"/>
      <c r="G1208" s="566" t="s">
        <v>2219</v>
      </c>
      <c r="H1208" s="566" t="s">
        <v>708</v>
      </c>
      <c r="I1208" s="239" t="str">
        <f>IF(ISBLANK(continental!I252),"",continental!I252)</f>
        <v/>
      </c>
      <c r="K1208" s="262" t="s">
        <v>4241</v>
      </c>
      <c r="O1208" s="262" t="s">
        <v>4241</v>
      </c>
    </row>
    <row r="1209" spans="1:15" ht="12.75" customHeight="1" x14ac:dyDescent="0.3">
      <c r="A1209" s="566"/>
      <c r="B1209" s="566" t="s">
        <v>1419</v>
      </c>
      <c r="C1209" s="566"/>
      <c r="D1209" s="566"/>
      <c r="E1209" s="566"/>
      <c r="F1209" s="566"/>
      <c r="G1209" s="566" t="s">
        <v>2220</v>
      </c>
      <c r="H1209" s="566" t="s">
        <v>335</v>
      </c>
      <c r="I1209" s="239" t="str">
        <f>IF(ISBLANK(continental!I253),"",continental!I253)</f>
        <v/>
      </c>
      <c r="K1209" s="262" t="s">
        <v>4241</v>
      </c>
      <c r="O1209" s="262" t="s">
        <v>4241</v>
      </c>
    </row>
    <row r="1210" spans="1:15" ht="12.75" customHeight="1" x14ac:dyDescent="0.3">
      <c r="A1210" s="566"/>
      <c r="B1210" s="566"/>
      <c r="C1210" s="566" t="s">
        <v>1421</v>
      </c>
      <c r="D1210" s="566"/>
      <c r="E1210" s="566"/>
      <c r="F1210" s="566"/>
      <c r="G1210" s="567" t="s">
        <v>2221</v>
      </c>
      <c r="H1210" s="567" t="s">
        <v>335</v>
      </c>
      <c r="I1210" s="239" t="str">
        <f>IF(ISBLANK(continental!I254),"",continental!I254)</f>
        <v/>
      </c>
      <c r="K1210" s="262" t="s">
        <v>4241</v>
      </c>
      <c r="O1210" s="262" t="s">
        <v>4241</v>
      </c>
    </row>
    <row r="1211" spans="1:15" ht="12.75" customHeight="1" x14ac:dyDescent="0.3">
      <c r="A1211" s="566"/>
      <c r="B1211" s="566"/>
      <c r="C1211" s="566"/>
      <c r="D1211" s="566" t="s">
        <v>1423</v>
      </c>
      <c r="E1211" s="566"/>
      <c r="F1211" s="566"/>
      <c r="G1211" s="566" t="s">
        <v>2222</v>
      </c>
      <c r="H1211" s="566" t="s">
        <v>335</v>
      </c>
      <c r="I1211" s="239" t="str">
        <f>IF(ISBLANK(continental!I255),"",continental!I255)</f>
        <v/>
      </c>
      <c r="K1211" s="262" t="s">
        <v>4241</v>
      </c>
      <c r="O1211" s="262" t="s">
        <v>4241</v>
      </c>
    </row>
    <row r="1212" spans="1:15" ht="12.75" customHeight="1" x14ac:dyDescent="0.3">
      <c r="A1212" s="566" t="s">
        <v>1426</v>
      </c>
      <c r="B1212" s="566"/>
      <c r="C1212" s="566"/>
      <c r="D1212" s="566"/>
      <c r="E1212" s="566"/>
      <c r="F1212" s="566"/>
      <c r="G1212" s="567" t="s">
        <v>2223</v>
      </c>
      <c r="H1212" s="567" t="s">
        <v>335</v>
      </c>
      <c r="I1212" s="239" t="str">
        <f>IF(ISBLANK(continental!I256),"",continental!I256)</f>
        <v/>
      </c>
      <c r="K1212" s="262" t="s">
        <v>4241</v>
      </c>
      <c r="O1212" s="262" t="s">
        <v>4241</v>
      </c>
    </row>
    <row r="1213" spans="1:15" ht="12.75" customHeight="1" x14ac:dyDescent="0.3">
      <c r="A1213" s="566"/>
      <c r="B1213" s="566" t="s">
        <v>1428</v>
      </c>
      <c r="C1213" s="566"/>
      <c r="D1213" s="566"/>
      <c r="E1213" s="566"/>
      <c r="F1213" s="566"/>
      <c r="G1213" s="567" t="s">
        <v>2224</v>
      </c>
      <c r="H1213" s="567" t="s">
        <v>708</v>
      </c>
      <c r="I1213" s="239" t="str">
        <f>IF(ISBLANK(continental!I257),"",continental!I257)</f>
        <v/>
      </c>
      <c r="K1213" s="262" t="s">
        <v>4241</v>
      </c>
      <c r="O1213" s="262" t="s">
        <v>4241</v>
      </c>
    </row>
    <row r="1214" spans="1:15" ht="12.75" customHeight="1" x14ac:dyDescent="0.3">
      <c r="A1214" s="566"/>
      <c r="B1214" s="566" t="s">
        <v>1431</v>
      </c>
      <c r="C1214" s="566"/>
      <c r="D1214" s="566"/>
      <c r="E1214" s="566"/>
      <c r="F1214" s="566"/>
      <c r="G1214" s="567" t="s">
        <v>2225</v>
      </c>
      <c r="H1214" s="567" t="s">
        <v>335</v>
      </c>
      <c r="I1214" s="239" t="str">
        <f>IF(ISBLANK(continental!I258),"",continental!I258)</f>
        <v/>
      </c>
      <c r="K1214" s="262" t="s">
        <v>4241</v>
      </c>
      <c r="O1214" s="262" t="s">
        <v>4241</v>
      </c>
    </row>
    <row r="1215" spans="1:15" ht="12.75" customHeight="1" x14ac:dyDescent="0.3">
      <c r="A1215" s="566"/>
      <c r="B1215" s="566"/>
      <c r="C1215" s="566" t="s">
        <v>1421</v>
      </c>
      <c r="D1215" s="566"/>
      <c r="E1215" s="566"/>
      <c r="F1215" s="566"/>
      <c r="G1215" s="567" t="s">
        <v>2226</v>
      </c>
      <c r="H1215" s="567" t="s">
        <v>335</v>
      </c>
      <c r="I1215" s="239" t="str">
        <f>IF(ISBLANK(continental!I259),"",continental!I259)</f>
        <v/>
      </c>
      <c r="K1215" s="262" t="s">
        <v>4241</v>
      </c>
      <c r="O1215" s="262" t="s">
        <v>4241</v>
      </c>
    </row>
    <row r="1216" spans="1:15" ht="12.75" customHeight="1" x14ac:dyDescent="0.3">
      <c r="A1216" s="566"/>
      <c r="B1216" s="566"/>
      <c r="C1216" s="566"/>
      <c r="D1216" s="566" t="s">
        <v>1434</v>
      </c>
      <c r="E1216" s="566"/>
      <c r="F1216" s="566"/>
      <c r="G1216" s="567" t="s">
        <v>2227</v>
      </c>
      <c r="H1216" s="567" t="s">
        <v>335</v>
      </c>
      <c r="I1216" s="239" t="str">
        <f>IF(ISBLANK(continental!I260),"",continental!I260)</f>
        <v/>
      </c>
      <c r="K1216" s="262" t="s">
        <v>4241</v>
      </c>
      <c r="O1216" s="262" t="s">
        <v>4241</v>
      </c>
    </row>
    <row r="1217" spans="1:15" ht="12.75" customHeight="1" x14ac:dyDescent="0.3">
      <c r="A1217" s="566" t="s">
        <v>1437</v>
      </c>
      <c r="B1217" s="566"/>
      <c r="C1217" s="566"/>
      <c r="D1217" s="566"/>
      <c r="E1217" s="566"/>
      <c r="F1217" s="566"/>
      <c r="G1217" s="567" t="s">
        <v>2228</v>
      </c>
      <c r="H1217" s="567" t="s">
        <v>335</v>
      </c>
      <c r="I1217" s="239" t="str">
        <f>IF(ISBLANK(continental!I261),"",continental!I261)</f>
        <v/>
      </c>
      <c r="K1217" s="262" t="s">
        <v>4241</v>
      </c>
      <c r="O1217" s="262" t="s">
        <v>4241</v>
      </c>
    </row>
    <row r="1218" spans="1:15" ht="12.75" customHeight="1" x14ac:dyDescent="0.3">
      <c r="A1218" s="566"/>
      <c r="B1218" s="566" t="s">
        <v>1439</v>
      </c>
      <c r="C1218" s="566"/>
      <c r="D1218" s="566"/>
      <c r="E1218" s="566"/>
      <c r="F1218" s="566"/>
      <c r="G1218" s="567" t="s">
        <v>2229</v>
      </c>
      <c r="H1218" s="567" t="s">
        <v>708</v>
      </c>
      <c r="I1218" s="239" t="str">
        <f>IF(ISBLANK(continental!I262),"",continental!I262)</f>
        <v/>
      </c>
      <c r="K1218" s="262" t="s">
        <v>4241</v>
      </c>
      <c r="O1218" s="262" t="s">
        <v>4241</v>
      </c>
    </row>
    <row r="1219" spans="1:15" ht="12.75" customHeight="1" x14ac:dyDescent="0.3">
      <c r="A1219" s="566"/>
      <c r="B1219" s="566" t="s">
        <v>1442</v>
      </c>
      <c r="C1219" s="566"/>
      <c r="D1219" s="566"/>
      <c r="E1219" s="566"/>
      <c r="F1219" s="566"/>
      <c r="G1219" s="567" t="s">
        <v>2230</v>
      </c>
      <c r="H1219" s="567" t="s">
        <v>335</v>
      </c>
      <c r="I1219" s="239" t="str">
        <f>IF(ISBLANK(continental!I263),"",continental!I263)</f>
        <v/>
      </c>
      <c r="K1219" s="262" t="s">
        <v>4241</v>
      </c>
      <c r="O1219" s="262" t="s">
        <v>4241</v>
      </c>
    </row>
    <row r="1220" spans="1:15" ht="12.75" customHeight="1" x14ac:dyDescent="0.3">
      <c r="A1220" s="566"/>
      <c r="B1220" s="566"/>
      <c r="C1220" s="566" t="s">
        <v>1421</v>
      </c>
      <c r="D1220" s="566"/>
      <c r="E1220" s="566"/>
      <c r="F1220" s="566"/>
      <c r="G1220" s="567" t="s">
        <v>2231</v>
      </c>
      <c r="H1220" s="567" t="s">
        <v>335</v>
      </c>
      <c r="I1220" s="239" t="str">
        <f>IF(ISBLANK(continental!I264),"",continental!I264)</f>
        <v/>
      </c>
      <c r="K1220" s="262" t="s">
        <v>4241</v>
      </c>
      <c r="O1220" s="262" t="s">
        <v>4241</v>
      </c>
    </row>
    <row r="1221" spans="1:15" ht="12.75" customHeight="1" x14ac:dyDescent="0.3">
      <c r="A1221" s="566"/>
      <c r="B1221" s="566"/>
      <c r="C1221" s="566"/>
      <c r="D1221" s="566" t="s">
        <v>1445</v>
      </c>
      <c r="E1221" s="566"/>
      <c r="F1221" s="566"/>
      <c r="G1221" s="567" t="s">
        <v>2232</v>
      </c>
      <c r="H1221" s="567" t="s">
        <v>335</v>
      </c>
      <c r="I1221" s="239" t="str">
        <f>IF(ISBLANK(continental!I265),"",continental!I265)</f>
        <v/>
      </c>
      <c r="K1221" s="262" t="s">
        <v>4241</v>
      </c>
      <c r="O1221" s="262" t="s">
        <v>4241</v>
      </c>
    </row>
    <row r="1222" spans="1:15" ht="12.75" customHeight="1" x14ac:dyDescent="0.3">
      <c r="A1222" s="566"/>
      <c r="B1222" s="566"/>
      <c r="C1222" s="566" t="s">
        <v>1447</v>
      </c>
      <c r="D1222" s="566"/>
      <c r="E1222" s="566"/>
      <c r="F1222" s="566"/>
      <c r="G1222" s="566" t="s">
        <v>2233</v>
      </c>
      <c r="H1222" s="566" t="s">
        <v>335</v>
      </c>
      <c r="I1222" s="239" t="str">
        <f>IF(ISBLANK(continental!I266),"",continental!I266)</f>
        <v/>
      </c>
      <c r="K1222" s="262" t="s">
        <v>4241</v>
      </c>
      <c r="O1222" s="262" t="s">
        <v>4241</v>
      </c>
    </row>
    <row r="1223" spans="1:15" ht="12.75" customHeight="1" x14ac:dyDescent="0.3">
      <c r="A1223" s="566"/>
      <c r="B1223" s="566"/>
      <c r="C1223" s="566" t="s">
        <v>1449</v>
      </c>
      <c r="D1223" s="566"/>
      <c r="E1223" s="566"/>
      <c r="F1223" s="566"/>
      <c r="G1223" s="567" t="s">
        <v>2234</v>
      </c>
      <c r="H1223" s="567" t="s">
        <v>335</v>
      </c>
      <c r="I1223" s="239" t="str">
        <f>IF(ISBLANK(continental!I267),"",continental!I267)</f>
        <v/>
      </c>
      <c r="K1223" s="262" t="s">
        <v>4241</v>
      </c>
      <c r="O1223" s="262" t="s">
        <v>4241</v>
      </c>
    </row>
    <row r="1224" spans="1:15" ht="12.75" customHeight="1" x14ac:dyDescent="0.3">
      <c r="A1224" s="410" t="s">
        <v>1451</v>
      </c>
      <c r="B1224" s="410"/>
      <c r="C1224" s="410"/>
      <c r="D1224" s="410"/>
      <c r="E1224" s="410"/>
      <c r="F1224" s="410"/>
      <c r="G1224" s="654"/>
      <c r="H1224" s="654"/>
      <c r="I1224" s="239" t="str">
        <f>IF(ISBLANK(continental!I268),"",continental!I268)</f>
        <v/>
      </c>
      <c r="K1224" s="262" t="s">
        <v>4241</v>
      </c>
      <c r="O1224" s="262" t="s">
        <v>4241</v>
      </c>
    </row>
    <row r="1225" spans="1:15" ht="12.75" customHeight="1" x14ac:dyDescent="0.3">
      <c r="A1225" s="566" t="s">
        <v>1452</v>
      </c>
      <c r="B1225" s="566"/>
      <c r="C1225" s="566"/>
      <c r="D1225" s="566"/>
      <c r="E1225" s="566"/>
      <c r="F1225" s="566"/>
      <c r="G1225" s="567" t="s">
        <v>2235</v>
      </c>
      <c r="H1225" s="567" t="s">
        <v>335</v>
      </c>
      <c r="I1225" s="239" t="str">
        <f>IF(ISBLANK(continental!I269),"",continental!I269)</f>
        <v/>
      </c>
      <c r="K1225" s="262" t="s">
        <v>4241</v>
      </c>
      <c r="O1225" s="262" t="s">
        <v>4241</v>
      </c>
    </row>
    <row r="1226" spans="1:15" ht="12.75" customHeight="1" x14ac:dyDescent="0.3">
      <c r="A1226" s="566"/>
      <c r="B1226" s="566" t="s">
        <v>1454</v>
      </c>
      <c r="C1226" s="566"/>
      <c r="D1226" s="566"/>
      <c r="E1226" s="566"/>
      <c r="F1226" s="566"/>
      <c r="G1226" s="567" t="s">
        <v>2236</v>
      </c>
      <c r="H1226" s="567" t="s">
        <v>708</v>
      </c>
      <c r="I1226" s="239" t="str">
        <f>IF(ISBLANK(continental!I270),"",continental!I270)</f>
        <v/>
      </c>
      <c r="K1226" s="262" t="s">
        <v>4241</v>
      </c>
      <c r="O1226" s="262" t="s">
        <v>4241</v>
      </c>
    </row>
    <row r="1227" spans="1:15" ht="12.75" customHeight="1" x14ac:dyDescent="0.3">
      <c r="A1227" s="566"/>
      <c r="B1227" s="566" t="s">
        <v>1457</v>
      </c>
      <c r="C1227" s="566"/>
      <c r="D1227" s="566"/>
      <c r="E1227" s="566"/>
      <c r="F1227" s="566"/>
      <c r="G1227" s="567" t="s">
        <v>2237</v>
      </c>
      <c r="H1227" s="566" t="s">
        <v>335</v>
      </c>
      <c r="I1227" s="239" t="str">
        <f>IF(ISBLANK(continental!I271),"",continental!I271)</f>
        <v/>
      </c>
      <c r="K1227" s="262" t="s">
        <v>4241</v>
      </c>
      <c r="O1227" s="262" t="s">
        <v>4241</v>
      </c>
    </row>
    <row r="1228" spans="1:15" ht="12.75" customHeight="1" x14ac:dyDescent="0.3">
      <c r="A1228" s="566"/>
      <c r="B1228" s="566"/>
      <c r="C1228" s="566" t="s">
        <v>1459</v>
      </c>
      <c r="D1228" s="566"/>
      <c r="E1228" s="566"/>
      <c r="F1228" s="566"/>
      <c r="G1228" s="567" t="s">
        <v>2238</v>
      </c>
      <c r="H1228" s="567" t="s">
        <v>335</v>
      </c>
      <c r="I1228" s="239" t="str">
        <f>IF(ISBLANK(continental!I272),"",continental!I272)</f>
        <v/>
      </c>
      <c r="K1228" s="262" t="s">
        <v>4241</v>
      </c>
      <c r="O1228" s="262" t="s">
        <v>4241</v>
      </c>
    </row>
    <row r="1229" spans="1:15" ht="12.75" customHeight="1" x14ac:dyDescent="0.3">
      <c r="A1229" s="566" t="s">
        <v>1461</v>
      </c>
      <c r="B1229" s="566"/>
      <c r="C1229" s="566"/>
      <c r="D1229" s="566"/>
      <c r="E1229" s="566"/>
      <c r="F1229" s="566"/>
      <c r="G1229" s="567" t="s">
        <v>2239</v>
      </c>
      <c r="H1229" s="567" t="s">
        <v>335</v>
      </c>
      <c r="I1229" s="239" t="str">
        <f>IF(ISBLANK(continental!I273),"",continental!I273)</f>
        <v/>
      </c>
      <c r="K1229" s="262" t="s">
        <v>4241</v>
      </c>
      <c r="O1229" s="262" t="s">
        <v>4241</v>
      </c>
    </row>
    <row r="1230" spans="1:15" ht="12.75" customHeight="1" x14ac:dyDescent="0.3">
      <c r="A1230" s="566"/>
      <c r="B1230" s="566" t="s">
        <v>1463</v>
      </c>
      <c r="C1230" s="566"/>
      <c r="D1230" s="566"/>
      <c r="E1230" s="566"/>
      <c r="F1230" s="566"/>
      <c r="G1230" s="567" t="s">
        <v>2240</v>
      </c>
      <c r="H1230" s="567" t="s">
        <v>708</v>
      </c>
      <c r="I1230" s="239" t="str">
        <f>IF(ISBLANK(continental!I274),"",continental!I274)</f>
        <v/>
      </c>
      <c r="K1230" s="262" t="s">
        <v>4241</v>
      </c>
      <c r="O1230" s="262" t="s">
        <v>4241</v>
      </c>
    </row>
    <row r="1231" spans="1:15" ht="12.75" customHeight="1" x14ac:dyDescent="0.3">
      <c r="A1231" s="566"/>
      <c r="B1231" s="566" t="s">
        <v>1466</v>
      </c>
      <c r="C1231" s="566"/>
      <c r="D1231" s="566"/>
      <c r="E1231" s="566"/>
      <c r="F1231" s="566"/>
      <c r="G1231" s="567" t="s">
        <v>2241</v>
      </c>
      <c r="H1231" s="566" t="s">
        <v>335</v>
      </c>
      <c r="I1231" s="239" t="str">
        <f>IF(ISBLANK(continental!I275),"",continental!I275)</f>
        <v/>
      </c>
      <c r="K1231" s="262" t="s">
        <v>4241</v>
      </c>
      <c r="O1231" s="262" t="s">
        <v>4241</v>
      </c>
    </row>
    <row r="1232" spans="1:15" ht="12.75" customHeight="1" x14ac:dyDescent="0.3">
      <c r="A1232" s="566"/>
      <c r="B1232" s="566"/>
      <c r="C1232" s="566" t="s">
        <v>1459</v>
      </c>
      <c r="D1232" s="566"/>
      <c r="E1232" s="566"/>
      <c r="F1232" s="566"/>
      <c r="G1232" s="567" t="s">
        <v>2242</v>
      </c>
      <c r="H1232" s="567" t="s">
        <v>335</v>
      </c>
      <c r="I1232" s="239" t="str">
        <f>IF(ISBLANK(continental!I276),"",continental!I276)</f>
        <v/>
      </c>
      <c r="J1232" s="228"/>
      <c r="K1232" s="262" t="s">
        <v>4241</v>
      </c>
      <c r="O1232" s="262" t="s">
        <v>4241</v>
      </c>
    </row>
    <row r="1233" spans="1:15" ht="12.75" customHeight="1" x14ac:dyDescent="0.3">
      <c r="A1233" s="566" t="s">
        <v>1469</v>
      </c>
      <c r="B1233" s="566"/>
      <c r="C1233" s="566"/>
      <c r="D1233" s="566"/>
      <c r="E1233" s="566"/>
      <c r="F1233" s="566"/>
      <c r="G1233" s="567" t="s">
        <v>2243</v>
      </c>
      <c r="H1233" s="567" t="s">
        <v>335</v>
      </c>
      <c r="I1233" s="239" t="str">
        <f>IF(ISBLANK(continental!I277),"",continental!I277)</f>
        <v/>
      </c>
      <c r="J1233" s="411"/>
      <c r="K1233" s="262" t="s">
        <v>4241</v>
      </c>
      <c r="O1233" s="262" t="s">
        <v>4241</v>
      </c>
    </row>
    <row r="1234" spans="1:15" ht="12.75" customHeight="1" x14ac:dyDescent="0.3">
      <c r="A1234" s="566"/>
      <c r="B1234" s="566" t="s">
        <v>1463</v>
      </c>
      <c r="C1234" s="566"/>
      <c r="D1234" s="566"/>
      <c r="E1234" s="566"/>
      <c r="F1234" s="566"/>
      <c r="G1234" s="567" t="s">
        <v>2244</v>
      </c>
      <c r="H1234" s="567" t="s">
        <v>708</v>
      </c>
      <c r="I1234" s="239" t="str">
        <f>IF(ISBLANK(continental!I278),"",continental!I278)</f>
        <v/>
      </c>
      <c r="J1234" s="228"/>
      <c r="K1234" s="262" t="s">
        <v>4241</v>
      </c>
      <c r="O1234" s="262" t="s">
        <v>4241</v>
      </c>
    </row>
    <row r="1235" spans="1:15" ht="12.75" customHeight="1" x14ac:dyDescent="0.3">
      <c r="A1235" s="566"/>
      <c r="B1235" s="566" t="s">
        <v>1474</v>
      </c>
      <c r="C1235" s="566"/>
      <c r="D1235" s="566"/>
      <c r="E1235" s="566"/>
      <c r="F1235" s="566"/>
      <c r="G1235" s="567" t="s">
        <v>2245</v>
      </c>
      <c r="H1235" s="566" t="s">
        <v>335</v>
      </c>
      <c r="I1235" s="239" t="str">
        <f>IF(ISBLANK(continental!I279),"",continental!I279)</f>
        <v/>
      </c>
      <c r="K1235" s="262" t="s">
        <v>4241</v>
      </c>
      <c r="O1235" s="262" t="s">
        <v>4241</v>
      </c>
    </row>
    <row r="1236" spans="1:15" ht="12.75" customHeight="1" x14ac:dyDescent="0.3">
      <c r="A1236" s="566"/>
      <c r="B1236" s="566"/>
      <c r="C1236" s="566" t="s">
        <v>1459</v>
      </c>
      <c r="D1236" s="566"/>
      <c r="E1236" s="566"/>
      <c r="F1236" s="566"/>
      <c r="G1236" s="567" t="s">
        <v>2246</v>
      </c>
      <c r="H1236" s="567" t="s">
        <v>335</v>
      </c>
      <c r="I1236" s="239" t="str">
        <f>IF(ISBLANK(continental!I280),"",continental!I280)</f>
        <v/>
      </c>
      <c r="K1236" s="262" t="s">
        <v>4241</v>
      </c>
      <c r="O1236" s="262" t="s">
        <v>4241</v>
      </c>
    </row>
    <row r="1237" spans="1:15" ht="12.75" customHeight="1" x14ac:dyDescent="0.3">
      <c r="A1237" s="566"/>
      <c r="B1237" s="566"/>
      <c r="C1237" s="566" t="s">
        <v>1477</v>
      </c>
      <c r="D1237" s="566"/>
      <c r="E1237" s="566"/>
      <c r="F1237" s="566"/>
      <c r="G1237" s="567" t="s">
        <v>2247</v>
      </c>
      <c r="H1237" s="567" t="s">
        <v>335</v>
      </c>
      <c r="I1237" s="239" t="str">
        <f>IF(ISBLANK(continental!I281),"",continental!I281)</f>
        <v/>
      </c>
      <c r="K1237" s="262" t="s">
        <v>4241</v>
      </c>
      <c r="O1237" s="262" t="s">
        <v>4241</v>
      </c>
    </row>
    <row r="1238" spans="1:15" ht="12.75" customHeight="1" x14ac:dyDescent="0.3">
      <c r="A1238" s="566"/>
      <c r="B1238" s="566"/>
      <c r="C1238" s="566" t="s">
        <v>2248</v>
      </c>
      <c r="D1238" s="566"/>
      <c r="E1238" s="566"/>
      <c r="F1238" s="566"/>
      <c r="G1238" s="567" t="s">
        <v>2249</v>
      </c>
      <c r="H1238" s="567" t="s">
        <v>335</v>
      </c>
      <c r="I1238" s="239" t="str">
        <f>IF(ISBLANK(continental!I282),"",continental!I282)</f>
        <v/>
      </c>
      <c r="K1238" s="262" t="s">
        <v>4241</v>
      </c>
      <c r="O1238" s="262" t="s">
        <v>4241</v>
      </c>
    </row>
    <row r="1239" spans="1:15" ht="12.75" customHeight="1" x14ac:dyDescent="0.3">
      <c r="A1239" s="410" t="s">
        <v>1481</v>
      </c>
      <c r="I1239" s="239" t="str">
        <f>IF(ISBLANK(continental!I283),"",continental!I283)</f>
        <v/>
      </c>
      <c r="K1239" s="262" t="s">
        <v>4241</v>
      </c>
      <c r="O1239" s="262" t="s">
        <v>4241</v>
      </c>
    </row>
    <row r="1240" spans="1:15" ht="12.75" customHeight="1" x14ac:dyDescent="0.3">
      <c r="A1240" s="566" t="s">
        <v>1482</v>
      </c>
      <c r="B1240" s="566"/>
      <c r="C1240" s="566"/>
      <c r="D1240" s="566"/>
      <c r="E1240" s="566"/>
      <c r="F1240" s="566"/>
      <c r="G1240" s="567" t="s">
        <v>2250</v>
      </c>
      <c r="H1240" s="567" t="s">
        <v>335</v>
      </c>
      <c r="I1240" s="239" t="str">
        <f>IF(ISBLANK(continental!I284),"",continental!I284)</f>
        <v/>
      </c>
      <c r="K1240" s="262" t="s">
        <v>4241</v>
      </c>
      <c r="O1240" s="262" t="s">
        <v>4241</v>
      </c>
    </row>
    <row r="1241" spans="1:15" ht="12.75" customHeight="1" x14ac:dyDescent="0.3">
      <c r="A1241" s="566"/>
      <c r="B1241" s="566" t="s">
        <v>1484</v>
      </c>
      <c r="C1241" s="566"/>
      <c r="D1241" s="566"/>
      <c r="E1241" s="566"/>
      <c r="F1241" s="566"/>
      <c r="G1241" s="566" t="s">
        <v>2252</v>
      </c>
      <c r="H1241" s="566" t="s">
        <v>708</v>
      </c>
      <c r="I1241" s="239" t="str">
        <f>IF(ISBLANK(continental!I285),"",continental!I285)</f>
        <v/>
      </c>
      <c r="K1241" s="262" t="s">
        <v>4241</v>
      </c>
      <c r="O1241" s="262" t="s">
        <v>4241</v>
      </c>
    </row>
    <row r="1242" spans="1:15" ht="12.75" customHeight="1" x14ac:dyDescent="0.3">
      <c r="A1242" s="566" t="s">
        <v>1487</v>
      </c>
      <c r="B1242" s="566"/>
      <c r="C1242" s="566"/>
      <c r="D1242" s="566"/>
      <c r="E1242" s="566"/>
      <c r="F1242" s="566"/>
      <c r="G1242" s="567" t="s">
        <v>2254</v>
      </c>
      <c r="H1242" s="567" t="s">
        <v>335</v>
      </c>
      <c r="I1242" s="239" t="str">
        <f>IF(ISBLANK(continental!I286),"",continental!I286)</f>
        <v/>
      </c>
      <c r="K1242" s="262" t="s">
        <v>4241</v>
      </c>
      <c r="O1242" s="262" t="s">
        <v>4241</v>
      </c>
    </row>
    <row r="1243" spans="1:15" ht="12.75" customHeight="1" x14ac:dyDescent="0.3">
      <c r="A1243" s="566"/>
      <c r="B1243" s="566" t="s">
        <v>1489</v>
      </c>
      <c r="C1243" s="566"/>
      <c r="D1243" s="566"/>
      <c r="E1243" s="566"/>
      <c r="F1243" s="566"/>
      <c r="G1243" s="567" t="s">
        <v>2255</v>
      </c>
      <c r="H1243" s="567" t="s">
        <v>708</v>
      </c>
      <c r="I1243" s="239" t="str">
        <f>IF(ISBLANK(continental!I287),"",continental!I287)</f>
        <v/>
      </c>
      <c r="K1243" s="262" t="s">
        <v>4241</v>
      </c>
      <c r="O1243" s="262" t="s">
        <v>4241</v>
      </c>
    </row>
    <row r="1244" spans="1:15" ht="12.75" customHeight="1" x14ac:dyDescent="0.3">
      <c r="A1244" s="566" t="s">
        <v>1491</v>
      </c>
      <c r="B1244" s="566"/>
      <c r="C1244" s="566"/>
      <c r="D1244" s="566"/>
      <c r="E1244" s="566"/>
      <c r="F1244" s="566"/>
      <c r="G1244" s="567" t="s">
        <v>2256</v>
      </c>
      <c r="H1244" s="567" t="s">
        <v>335</v>
      </c>
      <c r="I1244" s="239" t="str">
        <f>IF(ISBLANK(continental!I288),"",continental!I288)</f>
        <v/>
      </c>
      <c r="K1244" s="262" t="s">
        <v>4241</v>
      </c>
      <c r="O1244" s="262" t="s">
        <v>4241</v>
      </c>
    </row>
    <row r="1245" spans="1:15" ht="12.75" customHeight="1" x14ac:dyDescent="0.3">
      <c r="A1245" s="566"/>
      <c r="B1245" s="566" t="s">
        <v>1493</v>
      </c>
      <c r="C1245" s="566"/>
      <c r="D1245" s="566"/>
      <c r="E1245" s="566"/>
      <c r="F1245" s="566"/>
      <c r="G1245" s="567" t="s">
        <v>2257</v>
      </c>
      <c r="H1245" s="567" t="s">
        <v>708</v>
      </c>
      <c r="I1245" s="239" t="str">
        <f>IF(ISBLANK(continental!I289),"",continental!I289)</f>
        <v/>
      </c>
      <c r="K1245" s="262" t="s">
        <v>4241</v>
      </c>
      <c r="O1245" s="262" t="s">
        <v>4241</v>
      </c>
    </row>
    <row r="1246" spans="1:15" ht="12.75" customHeight="1" x14ac:dyDescent="0.3">
      <c r="A1246" s="566"/>
      <c r="B1246" s="566"/>
      <c r="C1246" s="566" t="s">
        <v>1447</v>
      </c>
      <c r="D1246" s="566"/>
      <c r="E1246" s="566"/>
      <c r="F1246" s="566"/>
      <c r="G1246" s="566" t="s">
        <v>2258</v>
      </c>
      <c r="H1246" s="566" t="s">
        <v>335</v>
      </c>
      <c r="I1246" s="239" t="str">
        <f>IF(ISBLANK(continental!I290),"",continental!I290)</f>
        <v/>
      </c>
      <c r="K1246" s="262" t="s">
        <v>4241</v>
      </c>
      <c r="O1246" s="262" t="s">
        <v>4241</v>
      </c>
    </row>
    <row r="1247" spans="1:15" ht="12.75" customHeight="1" x14ac:dyDescent="0.3">
      <c r="A1247" s="566"/>
      <c r="B1247" s="566"/>
      <c r="C1247" s="566" t="s">
        <v>1449</v>
      </c>
      <c r="D1247" s="566"/>
      <c r="E1247" s="566"/>
      <c r="F1247" s="566"/>
      <c r="G1247" s="567" t="s">
        <v>2259</v>
      </c>
      <c r="H1247" s="567" t="s">
        <v>335</v>
      </c>
      <c r="I1247" s="239" t="str">
        <f>IF(ISBLANK(continental!I291),"",continental!I291)</f>
        <v/>
      </c>
      <c r="K1247" s="262" t="s">
        <v>4241</v>
      </c>
      <c r="O1247" s="262" t="s">
        <v>4241</v>
      </c>
    </row>
    <row r="1248" spans="1:15" ht="12.75" customHeight="1" x14ac:dyDescent="0.3">
      <c r="A1248" s="410" t="s">
        <v>1497</v>
      </c>
      <c r="I1248" s="239" t="str">
        <f>IF(ISBLANK(continental!I292),"",continental!I292)</f>
        <v/>
      </c>
      <c r="K1248" s="262" t="s">
        <v>4241</v>
      </c>
      <c r="O1248" s="262" t="s">
        <v>4241</v>
      </c>
    </row>
    <row r="1249" spans="1:15" ht="12.75" customHeight="1" x14ac:dyDescent="0.3">
      <c r="A1249" s="566" t="s">
        <v>2260</v>
      </c>
      <c r="B1249" s="566"/>
      <c r="C1249" s="566"/>
      <c r="D1249" s="566"/>
      <c r="E1249" s="566"/>
      <c r="F1249" s="566"/>
      <c r="G1249" s="567" t="s">
        <v>2261</v>
      </c>
      <c r="H1249" s="567" t="s">
        <v>335</v>
      </c>
      <c r="I1249" s="239" t="str">
        <f>IF(ISBLANK(continental!I293),"",continental!I293)</f>
        <v/>
      </c>
      <c r="K1249" s="262" t="s">
        <v>4241</v>
      </c>
      <c r="O1249" s="262" t="s">
        <v>4241</v>
      </c>
    </row>
    <row r="1250" spans="1:15" ht="12.75" customHeight="1" x14ac:dyDescent="0.3">
      <c r="A1250" s="566" t="s">
        <v>2262</v>
      </c>
      <c r="B1250" s="566"/>
      <c r="C1250" s="566"/>
      <c r="D1250" s="566"/>
      <c r="E1250" s="566"/>
      <c r="F1250" s="566"/>
      <c r="G1250" s="567" t="s">
        <v>2263</v>
      </c>
      <c r="H1250" s="567" t="s">
        <v>335</v>
      </c>
      <c r="I1250" s="239" t="str">
        <f>IF(ISBLANK(continental!I294),"",continental!I294)</f>
        <v/>
      </c>
      <c r="K1250" s="262" t="s">
        <v>4241</v>
      </c>
      <c r="O1250" s="262" t="s">
        <v>4241</v>
      </c>
    </row>
    <row r="1251" spans="1:15" ht="12.75" customHeight="1" x14ac:dyDescent="0.3">
      <c r="A1251" s="566" t="s">
        <v>2264</v>
      </c>
      <c r="B1251" s="566"/>
      <c r="C1251" s="566"/>
      <c r="D1251" s="566"/>
      <c r="E1251" s="566"/>
      <c r="F1251" s="566"/>
      <c r="G1251" s="567" t="s">
        <v>2265</v>
      </c>
      <c r="H1251" s="567" t="s">
        <v>335</v>
      </c>
      <c r="I1251" s="239" t="str">
        <f>IF(ISBLANK(continental!I295),"",continental!I295)</f>
        <v/>
      </c>
      <c r="K1251" s="262" t="s">
        <v>4241</v>
      </c>
      <c r="O1251" s="262" t="s">
        <v>4241</v>
      </c>
    </row>
    <row r="1252" spans="1:15" ht="12.75" customHeight="1" x14ac:dyDescent="0.3">
      <c r="A1252" s="566"/>
      <c r="B1252" s="566" t="s">
        <v>1504</v>
      </c>
      <c r="C1252" s="566"/>
      <c r="D1252" s="566"/>
      <c r="E1252" s="566"/>
      <c r="F1252" s="566"/>
      <c r="G1252" s="567" t="s">
        <v>2266</v>
      </c>
      <c r="H1252" s="567" t="s">
        <v>1506</v>
      </c>
      <c r="I1252" s="239" t="str">
        <f>IF(ISBLANK(continental!I296),"",continental!I296)</f>
        <v/>
      </c>
      <c r="K1252" s="262" t="s">
        <v>4241</v>
      </c>
      <c r="O1252" s="262" t="s">
        <v>4241</v>
      </c>
    </row>
    <row r="1253" spans="1:15" ht="12.75" customHeight="1" x14ac:dyDescent="0.3">
      <c r="A1253" s="566"/>
      <c r="B1253" s="566" t="s">
        <v>1507</v>
      </c>
      <c r="C1253" s="566"/>
      <c r="D1253" s="566"/>
      <c r="E1253" s="566"/>
      <c r="F1253" s="566"/>
      <c r="G1253" s="566" t="s">
        <v>2267</v>
      </c>
      <c r="H1253" s="567" t="s">
        <v>866</v>
      </c>
      <c r="I1253" s="239" t="str">
        <f>IF(ISBLANK(continental!I297),"",continental!I297)</f>
        <v/>
      </c>
      <c r="K1253" s="262" t="s">
        <v>4241</v>
      </c>
      <c r="O1253" s="262" t="s">
        <v>4241</v>
      </c>
    </row>
    <row r="1254" spans="1:15" ht="12.75" customHeight="1" x14ac:dyDescent="0.3">
      <c r="A1254" s="566"/>
      <c r="B1254" s="566" t="s">
        <v>1510</v>
      </c>
      <c r="C1254" s="566"/>
      <c r="D1254" s="566"/>
      <c r="E1254" s="566"/>
      <c r="F1254" s="566"/>
      <c r="G1254" s="567" t="s">
        <v>2268</v>
      </c>
      <c r="H1254" s="567" t="s">
        <v>291</v>
      </c>
      <c r="I1254" s="239" t="str">
        <f>IF(ISBLANK(continental!I298),"",continental!I298)</f>
        <v/>
      </c>
      <c r="K1254" s="262" t="s">
        <v>4241</v>
      </c>
      <c r="O1254" s="262" t="s">
        <v>4241</v>
      </c>
    </row>
    <row r="1255" spans="1:15" ht="12.75" customHeight="1" x14ac:dyDescent="0.3">
      <c r="A1255" s="566"/>
      <c r="B1255" s="566"/>
      <c r="C1255" s="566" t="s">
        <v>1512</v>
      </c>
      <c r="D1255" s="566"/>
      <c r="E1255" s="566"/>
      <c r="F1255" s="566"/>
      <c r="G1255" s="567" t="s">
        <v>2269</v>
      </c>
      <c r="H1255" s="567" t="s">
        <v>291</v>
      </c>
      <c r="I1255" s="239" t="str">
        <f>IF(ISBLANK(continental!I299),"",continental!I299)</f>
        <v/>
      </c>
      <c r="K1255" s="262" t="s">
        <v>4241</v>
      </c>
      <c r="O1255" s="262" t="s">
        <v>4241</v>
      </c>
    </row>
    <row r="1256" spans="1:15" ht="12.75" customHeight="1" x14ac:dyDescent="0.3">
      <c r="A1256" s="566"/>
      <c r="B1256" s="566"/>
      <c r="C1256" s="566"/>
      <c r="D1256" s="566" t="s">
        <v>1514</v>
      </c>
      <c r="E1256" s="566"/>
      <c r="F1256" s="566"/>
      <c r="G1256" s="566" t="s">
        <v>2270</v>
      </c>
      <c r="H1256" s="567" t="s">
        <v>291</v>
      </c>
      <c r="I1256" s="239" t="str">
        <f>IF(ISBLANK(continental!I300),"",continental!I300)</f>
        <v/>
      </c>
      <c r="K1256" s="262" t="s">
        <v>4241</v>
      </c>
      <c r="O1256" s="262" t="s">
        <v>4241</v>
      </c>
    </row>
    <row r="1257" spans="1:15" ht="12.75" customHeight="1" x14ac:dyDescent="0.3">
      <c r="A1257" s="566"/>
      <c r="B1257" s="566"/>
      <c r="C1257" s="566"/>
      <c r="D1257" s="566"/>
      <c r="E1257" s="566" t="s">
        <v>1516</v>
      </c>
      <c r="F1257" s="566"/>
      <c r="G1257" s="566" t="s">
        <v>2271</v>
      </c>
      <c r="H1257" s="567" t="s">
        <v>291</v>
      </c>
      <c r="I1257" s="239" t="str">
        <f>IF(ISBLANK(continental!I301),"",continental!I301)</f>
        <v/>
      </c>
      <c r="K1257" s="262" t="s">
        <v>4241</v>
      </c>
      <c r="O1257" s="262" t="s">
        <v>4241</v>
      </c>
    </row>
    <row r="1258" spans="1:15" ht="12.75" customHeight="1" x14ac:dyDescent="0.3">
      <c r="A1258" s="566"/>
      <c r="B1258" s="566"/>
      <c r="C1258" s="566"/>
      <c r="D1258" s="566"/>
      <c r="E1258" s="566"/>
      <c r="F1258" s="566" t="s">
        <v>1518</v>
      </c>
      <c r="G1258" s="566" t="s">
        <v>2272</v>
      </c>
      <c r="H1258" s="567" t="s">
        <v>1520</v>
      </c>
      <c r="I1258" s="239" t="str">
        <f>IF(ISBLANK(continental!I302),"",continental!I302)</f>
        <v/>
      </c>
      <c r="K1258" s="262" t="s">
        <v>4241</v>
      </c>
      <c r="O1258" s="262" t="s">
        <v>4241</v>
      </c>
    </row>
    <row r="1259" spans="1:15" ht="12.75" customHeight="1" x14ac:dyDescent="0.3">
      <c r="A1259" s="566"/>
      <c r="B1259" s="566"/>
      <c r="C1259" s="566" t="s">
        <v>1522</v>
      </c>
      <c r="D1259" s="566"/>
      <c r="E1259" s="566"/>
      <c r="F1259" s="566"/>
      <c r="G1259" s="567" t="s">
        <v>2273</v>
      </c>
      <c r="H1259" s="567" t="s">
        <v>291</v>
      </c>
      <c r="I1259" s="239" t="str">
        <f>IF(ISBLANK(continental!I303),"",continental!I303)</f>
        <v/>
      </c>
      <c r="K1259" s="262" t="s">
        <v>4241</v>
      </c>
      <c r="O1259" s="262" t="s">
        <v>4241</v>
      </c>
    </row>
    <row r="1260" spans="1:15" ht="12.75" customHeight="1" x14ac:dyDescent="0.3">
      <c r="A1260" s="566"/>
      <c r="B1260" s="566"/>
      <c r="C1260" s="566" t="s">
        <v>1524</v>
      </c>
      <c r="D1260" s="566"/>
      <c r="E1260" s="566"/>
      <c r="F1260" s="566"/>
      <c r="G1260" s="567" t="s">
        <v>2274</v>
      </c>
      <c r="H1260" s="567" t="s">
        <v>291</v>
      </c>
      <c r="I1260" s="239" t="str">
        <f>IF(ISBLANK(continental!I304),"",continental!I304)</f>
        <v/>
      </c>
      <c r="K1260" s="262" t="s">
        <v>4241</v>
      </c>
      <c r="O1260" s="262" t="s">
        <v>4241</v>
      </c>
    </row>
    <row r="1261" spans="1:15" ht="12.75" customHeight="1" x14ac:dyDescent="0.3">
      <c r="A1261" s="566"/>
      <c r="B1261" s="566"/>
      <c r="C1261" s="566"/>
      <c r="D1261" s="566" t="s">
        <v>1526</v>
      </c>
      <c r="E1261" s="566"/>
      <c r="F1261" s="566"/>
      <c r="G1261" s="566" t="s">
        <v>2275</v>
      </c>
      <c r="H1261" s="567" t="s">
        <v>291</v>
      </c>
      <c r="I1261" s="239" t="str">
        <f>IF(ISBLANK(continental!I305),"",continental!I305)</f>
        <v/>
      </c>
      <c r="K1261" s="262" t="s">
        <v>4241</v>
      </c>
      <c r="O1261" s="262" t="s">
        <v>4241</v>
      </c>
    </row>
    <row r="1262" spans="1:15" ht="12.75" customHeight="1" x14ac:dyDescent="0.3">
      <c r="A1262" s="566"/>
      <c r="B1262" s="566"/>
      <c r="C1262" s="566"/>
      <c r="D1262" s="566" t="s">
        <v>1528</v>
      </c>
      <c r="E1262" s="566"/>
      <c r="F1262" s="566"/>
      <c r="G1262" s="566" t="s">
        <v>2276</v>
      </c>
      <c r="H1262" s="567" t="s">
        <v>1530</v>
      </c>
      <c r="I1262" s="239" t="str">
        <f>IF(ISBLANK(continental!I306),"",continental!I306)</f>
        <v/>
      </c>
      <c r="K1262" s="262" t="s">
        <v>4241</v>
      </c>
      <c r="O1262" s="262" t="s">
        <v>4241</v>
      </c>
    </row>
    <row r="1263" spans="1:15" ht="12.75" customHeight="1" x14ac:dyDescent="0.3">
      <c r="A1263" s="566"/>
      <c r="B1263" s="566"/>
      <c r="C1263" s="566"/>
      <c r="D1263" s="566" t="s">
        <v>1531</v>
      </c>
      <c r="E1263" s="566"/>
      <c r="F1263" s="566"/>
      <c r="G1263" s="566" t="s">
        <v>2277</v>
      </c>
      <c r="H1263" s="567" t="s">
        <v>291</v>
      </c>
      <c r="I1263" s="239" t="str">
        <f>IF(ISBLANK(continental!I307),"",continental!I307)</f>
        <v/>
      </c>
      <c r="K1263" s="262" t="s">
        <v>4241</v>
      </c>
      <c r="O1263" s="262" t="s">
        <v>4241</v>
      </c>
    </row>
    <row r="1264" spans="1:15" ht="12.75" customHeight="1" x14ac:dyDescent="0.3">
      <c r="A1264" s="566"/>
      <c r="B1264" s="566"/>
      <c r="C1264" s="566"/>
      <c r="D1264" s="566" t="s">
        <v>1533</v>
      </c>
      <c r="E1264" s="566"/>
      <c r="F1264" s="566"/>
      <c r="G1264" s="567" t="s">
        <v>2278</v>
      </c>
      <c r="H1264" s="567" t="s">
        <v>291</v>
      </c>
      <c r="I1264" s="239" t="str">
        <f>IF(ISBLANK(continental!I308),"",continental!I308)</f>
        <v/>
      </c>
      <c r="K1264" s="262" t="s">
        <v>4241</v>
      </c>
      <c r="O1264" s="262" t="s">
        <v>4241</v>
      </c>
    </row>
    <row r="1265" spans="1:15" ht="12.75" customHeight="1" x14ac:dyDescent="0.3">
      <c r="A1265" s="410" t="s">
        <v>1535</v>
      </c>
      <c r="I1265" s="239" t="str">
        <f>IF(ISBLANK(continental!I309),"",continental!I309)</f>
        <v/>
      </c>
      <c r="K1265" s="262" t="s">
        <v>4241</v>
      </c>
      <c r="O1265" s="262" t="s">
        <v>4241</v>
      </c>
    </row>
    <row r="1266" spans="1:15" ht="12.75" customHeight="1" x14ac:dyDescent="0.3">
      <c r="A1266" s="566" t="s">
        <v>1536</v>
      </c>
      <c r="B1266" s="566"/>
      <c r="C1266" s="566"/>
      <c r="D1266" s="566"/>
      <c r="E1266" s="566"/>
      <c r="F1266" s="566"/>
      <c r="G1266" s="567" t="s">
        <v>2279</v>
      </c>
      <c r="H1266" s="567" t="s">
        <v>335</v>
      </c>
      <c r="I1266" s="239" t="str">
        <f>IF(ISBLANK(continental!I310),"",continental!I310)</f>
        <v/>
      </c>
      <c r="K1266" s="262" t="s">
        <v>4241</v>
      </c>
      <c r="O1266" s="262" t="s">
        <v>4241</v>
      </c>
    </row>
    <row r="1267" spans="1:15" ht="12.75" customHeight="1" x14ac:dyDescent="0.3">
      <c r="A1267" s="566" t="s">
        <v>1538</v>
      </c>
      <c r="B1267" s="566"/>
      <c r="C1267" s="566"/>
      <c r="D1267" s="566"/>
      <c r="E1267" s="566"/>
      <c r="F1267" s="566"/>
      <c r="G1267" s="567" t="s">
        <v>2280</v>
      </c>
      <c r="H1267" s="567" t="s">
        <v>335</v>
      </c>
      <c r="I1267" s="239" t="str">
        <f>IF(ISBLANK(continental!I311),"",continental!I311)</f>
        <v/>
      </c>
      <c r="K1267" s="262" t="s">
        <v>4241</v>
      </c>
      <c r="O1267" s="262" t="s">
        <v>4241</v>
      </c>
    </row>
    <row r="1268" spans="1:15" ht="12.75" customHeight="1" x14ac:dyDescent="0.3">
      <c r="A1268" s="566" t="s">
        <v>1540</v>
      </c>
      <c r="B1268" s="566"/>
      <c r="C1268" s="566"/>
      <c r="D1268" s="566"/>
      <c r="E1268" s="566"/>
      <c r="F1268" s="566"/>
      <c r="G1268" s="567" t="s">
        <v>2281</v>
      </c>
      <c r="H1268" s="567" t="s">
        <v>335</v>
      </c>
      <c r="I1268" s="239" t="str">
        <f>IF(ISBLANK(continental!I312),"",continental!I312)</f>
        <v/>
      </c>
      <c r="K1268" s="262" t="s">
        <v>4241</v>
      </c>
      <c r="O1268" s="262" t="s">
        <v>4241</v>
      </c>
    </row>
    <row r="1269" spans="1:15" ht="12.75" customHeight="1" x14ac:dyDescent="0.3">
      <c r="A1269" s="566"/>
      <c r="B1269" s="566" t="s">
        <v>1542</v>
      </c>
      <c r="C1269" s="566"/>
      <c r="D1269" s="566"/>
      <c r="E1269" s="566"/>
      <c r="F1269" s="566"/>
      <c r="G1269" s="567" t="s">
        <v>2282</v>
      </c>
      <c r="H1269" s="567" t="s">
        <v>708</v>
      </c>
      <c r="I1269" s="239" t="str">
        <f>IF(ISBLANK(continental!I313),"",continental!I313)</f>
        <v/>
      </c>
      <c r="K1269" s="262" t="s">
        <v>4241</v>
      </c>
      <c r="O1269" s="262" t="s">
        <v>4241</v>
      </c>
    </row>
    <row r="1270" spans="1:15" ht="12.75" customHeight="1" x14ac:dyDescent="0.3">
      <c r="A1270" s="566"/>
      <c r="B1270" s="566" t="s">
        <v>727</v>
      </c>
      <c r="C1270" s="566"/>
      <c r="D1270" s="566"/>
      <c r="E1270" s="566"/>
      <c r="F1270" s="566"/>
      <c r="G1270" s="567" t="s">
        <v>758</v>
      </c>
      <c r="H1270" s="567" t="s">
        <v>729</v>
      </c>
      <c r="I1270" s="239" t="str">
        <f>IF(ISBLANK(input!I314),"",input!I314)</f>
        <v/>
      </c>
      <c r="K1270" s="262" t="s">
        <v>4241</v>
      </c>
      <c r="O1270" s="262" t="s">
        <v>4241</v>
      </c>
    </row>
    <row r="1271" spans="1:15" ht="12.75" customHeight="1" x14ac:dyDescent="0.3">
      <c r="A1271" s="566"/>
      <c r="B1271" s="566" t="s">
        <v>1447</v>
      </c>
      <c r="C1271" s="566"/>
      <c r="D1271" s="566"/>
      <c r="E1271" s="566"/>
      <c r="F1271" s="566"/>
      <c r="G1271" s="567" t="s">
        <v>2283</v>
      </c>
      <c r="H1271" s="567" t="s">
        <v>335</v>
      </c>
      <c r="I1271" s="239" t="str">
        <f>IF(ISBLANK(continental!I314),"",continental!I314)</f>
        <v/>
      </c>
      <c r="K1271" s="262" t="s">
        <v>4241</v>
      </c>
      <c r="O1271" s="262" t="s">
        <v>4241</v>
      </c>
    </row>
    <row r="1272" spans="1:15" ht="12.75" customHeight="1" x14ac:dyDescent="0.3">
      <c r="A1272" s="566"/>
      <c r="B1272" s="566" t="s">
        <v>1449</v>
      </c>
      <c r="C1272" s="566"/>
      <c r="D1272" s="566"/>
      <c r="E1272" s="566"/>
      <c r="F1272" s="566"/>
      <c r="G1272" s="567" t="s">
        <v>2284</v>
      </c>
      <c r="H1272" s="567" t="s">
        <v>335</v>
      </c>
      <c r="I1272" s="239" t="str">
        <f>IF(ISBLANK(continental!I315),"",continental!I315)</f>
        <v/>
      </c>
      <c r="K1272" s="262" t="s">
        <v>4241</v>
      </c>
      <c r="O1272" s="262" t="s">
        <v>4241</v>
      </c>
    </row>
    <row r="1273" spans="1:15" ht="12.75" customHeight="1" x14ac:dyDescent="0.3">
      <c r="A1273" s="410" t="s">
        <v>1546</v>
      </c>
      <c r="I1273" s="239" t="str">
        <f>IF(ISBLANK(continental!I316),"",continental!I316)</f>
        <v/>
      </c>
      <c r="K1273" s="262" t="s">
        <v>4241</v>
      </c>
      <c r="O1273" s="262" t="s">
        <v>4241</v>
      </c>
    </row>
    <row r="1274" spans="1:15" ht="12.75" customHeight="1" x14ac:dyDescent="0.3">
      <c r="A1274" s="566" t="s">
        <v>1547</v>
      </c>
      <c r="B1274" s="566"/>
      <c r="C1274" s="566"/>
      <c r="D1274" s="566"/>
      <c r="E1274" s="566"/>
      <c r="F1274" s="566"/>
      <c r="G1274" s="567" t="s">
        <v>2285</v>
      </c>
      <c r="H1274" s="567" t="s">
        <v>335</v>
      </c>
      <c r="I1274" s="239" t="str">
        <f>IF(ISBLANK(continental!I317),"",continental!I317)</f>
        <v/>
      </c>
      <c r="K1274" s="262" t="s">
        <v>4241</v>
      </c>
      <c r="O1274" s="262" t="s">
        <v>4241</v>
      </c>
    </row>
    <row r="1275" spans="1:15" ht="12.75" customHeight="1" x14ac:dyDescent="0.3">
      <c r="A1275" s="566"/>
      <c r="B1275" s="566" t="s">
        <v>1549</v>
      </c>
      <c r="C1275" s="566"/>
      <c r="D1275" s="566"/>
      <c r="E1275" s="566"/>
      <c r="F1275" s="566"/>
      <c r="G1275" s="567" t="s">
        <v>2286</v>
      </c>
      <c r="H1275" s="567" t="s">
        <v>1506</v>
      </c>
      <c r="I1275" s="239" t="str">
        <f>IF(ISBLANK(continental!I318),"",continental!I318)</f>
        <v/>
      </c>
      <c r="K1275" s="262" t="s">
        <v>4241</v>
      </c>
      <c r="O1275" s="262" t="s">
        <v>4241</v>
      </c>
    </row>
    <row r="1276" spans="1:15" ht="12.75" customHeight="1" x14ac:dyDescent="0.3">
      <c r="A1276" s="566"/>
      <c r="B1276" s="566" t="s">
        <v>1551</v>
      </c>
      <c r="C1276" s="566"/>
      <c r="D1276" s="566"/>
      <c r="E1276" s="566"/>
      <c r="F1276" s="566"/>
      <c r="G1276" s="566" t="s">
        <v>2287</v>
      </c>
      <c r="H1276" s="567" t="s">
        <v>866</v>
      </c>
      <c r="I1276" s="239" t="str">
        <f>IF(ISBLANK(continental!I319),"",continental!I319)</f>
        <v/>
      </c>
      <c r="K1276" s="262" t="s">
        <v>4241</v>
      </c>
      <c r="O1276" s="262" t="s">
        <v>4241</v>
      </c>
    </row>
    <row r="1277" spans="1:15" ht="12.75" customHeight="1" x14ac:dyDescent="0.3">
      <c r="A1277" s="566"/>
      <c r="B1277" s="566" t="s">
        <v>1510</v>
      </c>
      <c r="C1277" s="566"/>
      <c r="D1277" s="566"/>
      <c r="E1277" s="566"/>
      <c r="F1277" s="566"/>
      <c r="G1277" s="567" t="s">
        <v>2288</v>
      </c>
      <c r="H1277" s="567" t="s">
        <v>291</v>
      </c>
      <c r="I1277" s="239" t="str">
        <f>IF(ISBLANK(continental!I320),"",continental!I320)</f>
        <v/>
      </c>
      <c r="K1277" s="262" t="s">
        <v>4241</v>
      </c>
      <c r="O1277" s="262" t="s">
        <v>4241</v>
      </c>
    </row>
    <row r="1278" spans="1:15" ht="12.75" customHeight="1" x14ac:dyDescent="0.3">
      <c r="A1278" s="566"/>
      <c r="B1278" s="566"/>
      <c r="C1278" s="566" t="s">
        <v>1512</v>
      </c>
      <c r="D1278" s="566"/>
      <c r="E1278" s="566"/>
      <c r="F1278" s="566"/>
      <c r="G1278" s="567" t="s">
        <v>2289</v>
      </c>
      <c r="H1278" s="567" t="s">
        <v>291</v>
      </c>
      <c r="I1278" s="239" t="str">
        <f>IF(ISBLANK(continental!I321),"",continental!I321)</f>
        <v/>
      </c>
      <c r="K1278" s="262" t="s">
        <v>4241</v>
      </c>
      <c r="O1278" s="262" t="s">
        <v>4241</v>
      </c>
    </row>
    <row r="1279" spans="1:15" ht="12.75" customHeight="1" x14ac:dyDescent="0.3">
      <c r="A1279" s="566"/>
      <c r="B1279" s="566"/>
      <c r="C1279" s="566"/>
      <c r="D1279" s="566" t="s">
        <v>1514</v>
      </c>
      <c r="E1279" s="566"/>
      <c r="F1279" s="566"/>
      <c r="G1279" s="566" t="s">
        <v>2290</v>
      </c>
      <c r="H1279" s="567" t="s">
        <v>291</v>
      </c>
      <c r="I1279" s="239" t="str">
        <f>IF(ISBLANK(continental!I322),"",continental!I322)</f>
        <v/>
      </c>
      <c r="K1279" s="262" t="s">
        <v>4241</v>
      </c>
      <c r="O1279" s="262" t="s">
        <v>4241</v>
      </c>
    </row>
    <row r="1280" spans="1:15" ht="12.75" customHeight="1" x14ac:dyDescent="0.3">
      <c r="A1280" s="566"/>
      <c r="B1280" s="566"/>
      <c r="C1280" s="566"/>
      <c r="D1280" s="566"/>
      <c r="E1280" s="566" t="s">
        <v>1556</v>
      </c>
      <c r="F1280" s="566"/>
      <c r="G1280" s="566" t="s">
        <v>2291</v>
      </c>
      <c r="H1280" s="567" t="s">
        <v>291</v>
      </c>
      <c r="I1280" s="239" t="str">
        <f>IF(ISBLANK(continental!I323),"",continental!I323)</f>
        <v/>
      </c>
      <c r="K1280" s="262" t="s">
        <v>4241</v>
      </c>
      <c r="O1280" s="262" t="s">
        <v>4241</v>
      </c>
    </row>
    <row r="1281" spans="1:15" ht="12.75" customHeight="1" x14ac:dyDescent="0.3">
      <c r="A1281" s="566"/>
      <c r="B1281" s="566"/>
      <c r="C1281" s="566"/>
      <c r="D1281" s="566"/>
      <c r="E1281" s="566"/>
      <c r="F1281" s="566" t="s">
        <v>1558</v>
      </c>
      <c r="G1281" s="566" t="s">
        <v>2292</v>
      </c>
      <c r="H1281" s="567" t="s">
        <v>1520</v>
      </c>
      <c r="I1281" s="239" t="str">
        <f>IF(ISBLANK(continental!I324),"",continental!I324)</f>
        <v/>
      </c>
      <c r="K1281" s="262" t="s">
        <v>4241</v>
      </c>
      <c r="O1281" s="262" t="s">
        <v>4241</v>
      </c>
    </row>
    <row r="1282" spans="1:15" ht="12.75" customHeight="1" x14ac:dyDescent="0.3">
      <c r="A1282" s="566"/>
      <c r="B1282" s="566"/>
      <c r="C1282" s="566" t="s">
        <v>1522</v>
      </c>
      <c r="D1282" s="566"/>
      <c r="E1282" s="566"/>
      <c r="F1282" s="566"/>
      <c r="G1282" s="567" t="s">
        <v>2293</v>
      </c>
      <c r="H1282" s="567" t="s">
        <v>291</v>
      </c>
      <c r="I1282" s="239" t="str">
        <f>IF(ISBLANK(continental!I325),"",continental!I325)</f>
        <v/>
      </c>
      <c r="K1282" s="262" t="s">
        <v>4241</v>
      </c>
      <c r="O1282" s="262" t="s">
        <v>4241</v>
      </c>
    </row>
    <row r="1283" spans="1:15" ht="12.75" customHeight="1" x14ac:dyDescent="0.3">
      <c r="A1283" s="566"/>
      <c r="B1283" s="566"/>
      <c r="C1283" s="566" t="s">
        <v>1524</v>
      </c>
      <c r="D1283" s="566"/>
      <c r="E1283" s="566"/>
      <c r="F1283" s="566"/>
      <c r="G1283" s="567" t="s">
        <v>2294</v>
      </c>
      <c r="H1283" s="567" t="s">
        <v>291</v>
      </c>
      <c r="I1283" s="239" t="str">
        <f>IF(ISBLANK(continental!I326),"",continental!I326)</f>
        <v/>
      </c>
      <c r="K1283" s="262" t="s">
        <v>4241</v>
      </c>
      <c r="O1283" s="262" t="s">
        <v>4241</v>
      </c>
    </row>
    <row r="1284" spans="1:15" ht="12.75" customHeight="1" x14ac:dyDescent="0.3">
      <c r="A1284" s="566"/>
      <c r="B1284" s="566"/>
      <c r="C1284" s="566"/>
      <c r="D1284" s="566" t="s">
        <v>1526</v>
      </c>
      <c r="E1284" s="566"/>
      <c r="F1284" s="566"/>
      <c r="G1284" s="566" t="s">
        <v>2295</v>
      </c>
      <c r="H1284" s="567" t="s">
        <v>291</v>
      </c>
      <c r="I1284" s="239" t="str">
        <f>IF(ISBLANK(continental!I327),"",continental!I327)</f>
        <v/>
      </c>
      <c r="K1284" s="262" t="s">
        <v>4241</v>
      </c>
      <c r="O1284" s="262" t="s">
        <v>4241</v>
      </c>
    </row>
    <row r="1285" spans="1:15" ht="12.75" customHeight="1" x14ac:dyDescent="0.3">
      <c r="A1285" s="566"/>
      <c r="B1285" s="566"/>
      <c r="C1285" s="566"/>
      <c r="D1285" s="566" t="s">
        <v>1528</v>
      </c>
      <c r="E1285" s="566"/>
      <c r="F1285" s="566"/>
      <c r="G1285" s="566" t="s">
        <v>2296</v>
      </c>
      <c r="H1285" s="567" t="s">
        <v>1530</v>
      </c>
      <c r="I1285" s="239" t="str">
        <f>IF(ISBLANK(continental!I328),"",continental!I328)</f>
        <v/>
      </c>
      <c r="K1285" s="262" t="s">
        <v>4241</v>
      </c>
      <c r="O1285" s="262" t="s">
        <v>4241</v>
      </c>
    </row>
    <row r="1286" spans="1:15" ht="12.75" customHeight="1" x14ac:dyDescent="0.3">
      <c r="A1286" s="566"/>
      <c r="B1286" s="566"/>
      <c r="C1286" s="566"/>
      <c r="D1286" s="566" t="s">
        <v>1531</v>
      </c>
      <c r="E1286" s="566"/>
      <c r="F1286" s="566"/>
      <c r="G1286" s="566" t="s">
        <v>2297</v>
      </c>
      <c r="H1286" s="567" t="s">
        <v>291</v>
      </c>
      <c r="I1286" s="239" t="str">
        <f>IF(ISBLANK(continental!I329),"",continental!I329)</f>
        <v/>
      </c>
      <c r="K1286" s="262" t="s">
        <v>4241</v>
      </c>
      <c r="O1286" s="262" t="s">
        <v>4241</v>
      </c>
    </row>
    <row r="1287" spans="1:15" ht="12.75" customHeight="1" x14ac:dyDescent="0.3">
      <c r="A1287" s="566"/>
      <c r="B1287" s="566"/>
      <c r="C1287" s="566"/>
      <c r="D1287" s="566" t="s">
        <v>1533</v>
      </c>
      <c r="E1287" s="566"/>
      <c r="F1287" s="566"/>
      <c r="G1287" s="567" t="s">
        <v>2298</v>
      </c>
      <c r="H1287" s="567" t="s">
        <v>291</v>
      </c>
      <c r="I1287" s="239" t="str">
        <f>IF(ISBLANK(continental!I330),"",continental!I330)</f>
        <v/>
      </c>
      <c r="K1287" s="262" t="s">
        <v>4241</v>
      </c>
      <c r="O1287" s="262" t="s">
        <v>4241</v>
      </c>
    </row>
    <row r="1288" spans="1:15" ht="12.75" customHeight="1" x14ac:dyDescent="0.3">
      <c r="A1288" s="566" t="s">
        <v>1567</v>
      </c>
      <c r="B1288" s="566"/>
      <c r="C1288" s="566"/>
      <c r="D1288" s="566"/>
      <c r="E1288" s="566"/>
      <c r="F1288" s="566"/>
      <c r="G1288" s="567" t="s">
        <v>2299</v>
      </c>
      <c r="H1288" s="567" t="s">
        <v>335</v>
      </c>
      <c r="I1288" s="239" t="str">
        <f>IF(ISBLANK(continental!I331),"",continental!I331)</f>
        <v/>
      </c>
      <c r="K1288" s="262" t="s">
        <v>4241</v>
      </c>
      <c r="O1288" s="262" t="s">
        <v>4241</v>
      </c>
    </row>
    <row r="1289" spans="1:15" ht="12.75" customHeight="1" x14ac:dyDescent="0.3">
      <c r="A1289" s="566"/>
      <c r="B1289" s="566" t="s">
        <v>1549</v>
      </c>
      <c r="C1289" s="566"/>
      <c r="D1289" s="566"/>
      <c r="E1289" s="566"/>
      <c r="F1289" s="566"/>
      <c r="G1289" s="567" t="s">
        <v>2300</v>
      </c>
      <c r="H1289" s="567" t="s">
        <v>1506</v>
      </c>
      <c r="I1289" s="239" t="str">
        <f>IF(ISBLANK(continental!I332),"",continental!I332)</f>
        <v/>
      </c>
      <c r="K1289" s="262" t="s">
        <v>4241</v>
      </c>
      <c r="O1289" s="262" t="s">
        <v>4241</v>
      </c>
    </row>
    <row r="1290" spans="1:15" ht="12.75" customHeight="1" x14ac:dyDescent="0.3">
      <c r="A1290" s="566"/>
      <c r="B1290" s="566" t="s">
        <v>1551</v>
      </c>
      <c r="C1290" s="566"/>
      <c r="D1290" s="566"/>
      <c r="E1290" s="566"/>
      <c r="F1290" s="566"/>
      <c r="G1290" s="566" t="s">
        <v>2301</v>
      </c>
      <c r="H1290" s="567" t="s">
        <v>866</v>
      </c>
      <c r="I1290" s="239" t="str">
        <f>IF(ISBLANK(continental!I333),"",continental!I333)</f>
        <v/>
      </c>
      <c r="K1290" s="262" t="s">
        <v>4241</v>
      </c>
      <c r="O1290" s="262" t="s">
        <v>4241</v>
      </c>
    </row>
    <row r="1291" spans="1:15" ht="12.75" customHeight="1" x14ac:dyDescent="0.3">
      <c r="A1291" s="566"/>
      <c r="B1291" s="566" t="s">
        <v>1510</v>
      </c>
      <c r="C1291" s="566"/>
      <c r="D1291" s="566"/>
      <c r="E1291" s="566"/>
      <c r="F1291" s="566"/>
      <c r="G1291" s="567" t="s">
        <v>2302</v>
      </c>
      <c r="H1291" s="567" t="s">
        <v>291</v>
      </c>
      <c r="I1291" s="239" t="str">
        <f>IF(ISBLANK(continental!I334),"",continental!I334)</f>
        <v/>
      </c>
      <c r="K1291" s="262" t="s">
        <v>4241</v>
      </c>
      <c r="O1291" s="262" t="s">
        <v>4241</v>
      </c>
    </row>
    <row r="1292" spans="1:15" ht="12.75" customHeight="1" x14ac:dyDescent="0.3">
      <c r="A1292" s="566"/>
      <c r="B1292" s="566"/>
      <c r="C1292" s="566" t="s">
        <v>1512</v>
      </c>
      <c r="D1292" s="566"/>
      <c r="E1292" s="566"/>
      <c r="F1292" s="566"/>
      <c r="G1292" s="567" t="s">
        <v>2303</v>
      </c>
      <c r="H1292" s="567" t="s">
        <v>291</v>
      </c>
      <c r="I1292" s="239" t="str">
        <f>IF(ISBLANK(continental!I335),"",continental!I335)</f>
        <v/>
      </c>
      <c r="K1292" s="262" t="s">
        <v>4241</v>
      </c>
      <c r="O1292" s="262" t="s">
        <v>4241</v>
      </c>
    </row>
    <row r="1293" spans="1:15" ht="12.75" customHeight="1" x14ac:dyDescent="0.3">
      <c r="A1293" s="566"/>
      <c r="B1293" s="566"/>
      <c r="C1293" s="566"/>
      <c r="D1293" s="566" t="s">
        <v>1514</v>
      </c>
      <c r="E1293" s="566"/>
      <c r="F1293" s="566"/>
      <c r="G1293" s="566" t="s">
        <v>2304</v>
      </c>
      <c r="H1293" s="567" t="s">
        <v>291</v>
      </c>
      <c r="I1293" s="239" t="str">
        <f>IF(ISBLANK(continental!I336),"",continental!I336)</f>
        <v/>
      </c>
      <c r="K1293" s="262" t="s">
        <v>4241</v>
      </c>
      <c r="O1293" s="262" t="s">
        <v>4241</v>
      </c>
    </row>
    <row r="1294" spans="1:15" ht="12.75" customHeight="1" x14ac:dyDescent="0.3">
      <c r="A1294" s="566"/>
      <c r="B1294" s="566"/>
      <c r="C1294" s="566"/>
      <c r="D1294" s="566"/>
      <c r="E1294" s="566" t="s">
        <v>1556</v>
      </c>
      <c r="F1294" s="566"/>
      <c r="G1294" s="566" t="s">
        <v>2305</v>
      </c>
      <c r="H1294" s="567" t="s">
        <v>291</v>
      </c>
      <c r="I1294" s="239" t="str">
        <f>IF(ISBLANK(continental!I337),"",continental!I337)</f>
        <v/>
      </c>
      <c r="K1294" s="262" t="s">
        <v>4241</v>
      </c>
      <c r="O1294" s="262" t="s">
        <v>4241</v>
      </c>
    </row>
    <row r="1295" spans="1:15" ht="12.75" customHeight="1" x14ac:dyDescent="0.3">
      <c r="A1295" s="566"/>
      <c r="B1295" s="566"/>
      <c r="C1295" s="566"/>
      <c r="D1295" s="566"/>
      <c r="E1295" s="566"/>
      <c r="F1295" s="566" t="s">
        <v>1558</v>
      </c>
      <c r="G1295" s="566" t="s">
        <v>2306</v>
      </c>
      <c r="H1295" s="567" t="s">
        <v>1520</v>
      </c>
      <c r="I1295" s="239" t="str">
        <f>IF(ISBLANK(continental!I338),"",continental!I338)</f>
        <v/>
      </c>
      <c r="K1295" s="262" t="s">
        <v>4241</v>
      </c>
      <c r="O1295" s="262" t="s">
        <v>4241</v>
      </c>
    </row>
    <row r="1296" spans="1:15" ht="12.75" customHeight="1" x14ac:dyDescent="0.3">
      <c r="A1296" s="566"/>
      <c r="B1296" s="566"/>
      <c r="C1296" s="566" t="s">
        <v>1522</v>
      </c>
      <c r="D1296" s="566"/>
      <c r="E1296" s="566"/>
      <c r="F1296" s="566"/>
      <c r="G1296" s="567" t="s">
        <v>2307</v>
      </c>
      <c r="H1296" s="567" t="s">
        <v>291</v>
      </c>
      <c r="I1296" s="239" t="str">
        <f>IF(ISBLANK(continental!I339),"",continental!I339)</f>
        <v/>
      </c>
      <c r="K1296" s="262" t="s">
        <v>4241</v>
      </c>
      <c r="O1296" s="262" t="s">
        <v>4241</v>
      </c>
    </row>
    <row r="1297" spans="1:15" ht="12.75" customHeight="1" x14ac:dyDescent="0.3">
      <c r="A1297" s="566"/>
      <c r="B1297" s="566"/>
      <c r="C1297" s="566" t="s">
        <v>1524</v>
      </c>
      <c r="D1297" s="566"/>
      <c r="E1297" s="566"/>
      <c r="F1297" s="566"/>
      <c r="G1297" s="567" t="s">
        <v>2308</v>
      </c>
      <c r="H1297" s="567" t="s">
        <v>291</v>
      </c>
      <c r="I1297" s="239" t="str">
        <f>IF(ISBLANK(continental!I340),"",continental!I340)</f>
        <v/>
      </c>
      <c r="K1297" s="262" t="s">
        <v>4241</v>
      </c>
      <c r="O1297" s="262" t="s">
        <v>4241</v>
      </c>
    </row>
    <row r="1298" spans="1:15" ht="12.75" customHeight="1" x14ac:dyDescent="0.3">
      <c r="A1298" s="566"/>
      <c r="B1298" s="566"/>
      <c r="C1298" s="566"/>
      <c r="D1298" s="566" t="s">
        <v>1528</v>
      </c>
      <c r="E1298" s="566"/>
      <c r="F1298" s="566"/>
      <c r="G1298" s="566" t="s">
        <v>2309</v>
      </c>
      <c r="H1298" s="567" t="s">
        <v>1530</v>
      </c>
      <c r="I1298" s="239" t="str">
        <f>IF(ISBLANK(continental!I341),"",continental!I341)</f>
        <v/>
      </c>
      <c r="K1298" s="262" t="s">
        <v>4241</v>
      </c>
      <c r="O1298" s="262" t="s">
        <v>4241</v>
      </c>
    </row>
    <row r="1299" spans="1:15" ht="12.75" customHeight="1" x14ac:dyDescent="0.3">
      <c r="A1299" s="566"/>
      <c r="B1299" s="566"/>
      <c r="C1299" s="566"/>
      <c r="D1299" s="566" t="s">
        <v>1531</v>
      </c>
      <c r="E1299" s="566"/>
      <c r="F1299" s="566"/>
      <c r="G1299" s="566" t="s">
        <v>2310</v>
      </c>
      <c r="H1299" s="567" t="s">
        <v>291</v>
      </c>
      <c r="I1299" s="239" t="str">
        <f>IF(ISBLANK(continental!I342),"",continental!I342)</f>
        <v/>
      </c>
      <c r="K1299" s="262" t="s">
        <v>4241</v>
      </c>
      <c r="O1299" s="262" t="s">
        <v>4241</v>
      </c>
    </row>
    <row r="1300" spans="1:15" ht="12.75" customHeight="1" x14ac:dyDescent="0.3">
      <c r="A1300" s="566"/>
      <c r="B1300" s="566"/>
      <c r="C1300" s="566"/>
      <c r="D1300" s="566" t="s">
        <v>1526</v>
      </c>
      <c r="E1300" s="566"/>
      <c r="F1300" s="566"/>
      <c r="G1300" s="566" t="s">
        <v>2311</v>
      </c>
      <c r="H1300" s="567" t="s">
        <v>291</v>
      </c>
      <c r="I1300" s="239" t="str">
        <f>IF(ISBLANK(continental!I343),"",continental!I343)</f>
        <v/>
      </c>
      <c r="K1300" s="262" t="s">
        <v>4241</v>
      </c>
      <c r="O1300" s="262" t="s">
        <v>4241</v>
      </c>
    </row>
    <row r="1301" spans="1:15" ht="12.75" customHeight="1" x14ac:dyDescent="0.3">
      <c r="A1301" s="566"/>
      <c r="B1301" s="566"/>
      <c r="C1301" s="566"/>
      <c r="D1301" s="566" t="s">
        <v>1533</v>
      </c>
      <c r="E1301" s="566"/>
      <c r="F1301" s="566"/>
      <c r="G1301" s="567" t="s">
        <v>2312</v>
      </c>
      <c r="H1301" s="567" t="s">
        <v>291</v>
      </c>
      <c r="I1301" s="239" t="str">
        <f>IF(ISBLANK(continental!I344),"",continental!I344)</f>
        <v/>
      </c>
      <c r="K1301" s="262" t="s">
        <v>4241</v>
      </c>
      <c r="O1301" s="262" t="s">
        <v>4241</v>
      </c>
    </row>
    <row r="1302" spans="1:15" ht="12.75" customHeight="1" x14ac:dyDescent="0.3">
      <c r="A1302" s="566" t="s">
        <v>1583</v>
      </c>
      <c r="B1302" s="566"/>
      <c r="C1302" s="566"/>
      <c r="D1302" s="566"/>
      <c r="E1302" s="566"/>
      <c r="F1302" s="566"/>
      <c r="G1302" s="567" t="s">
        <v>2313</v>
      </c>
      <c r="H1302" s="567" t="s">
        <v>335</v>
      </c>
      <c r="I1302" s="239" t="str">
        <f>IF(ISBLANK(continental!I345),"",continental!I345)</f>
        <v/>
      </c>
      <c r="K1302" s="262" t="s">
        <v>4241</v>
      </c>
      <c r="O1302" s="262" t="s">
        <v>4241</v>
      </c>
    </row>
    <row r="1303" spans="1:15" ht="12.75" customHeight="1" x14ac:dyDescent="0.3">
      <c r="A1303" s="566"/>
      <c r="B1303" s="566" t="s">
        <v>1549</v>
      </c>
      <c r="C1303" s="566"/>
      <c r="D1303" s="566"/>
      <c r="E1303" s="566"/>
      <c r="F1303" s="566"/>
      <c r="G1303" s="567" t="s">
        <v>2314</v>
      </c>
      <c r="H1303" s="567" t="s">
        <v>1506</v>
      </c>
      <c r="I1303" s="239" t="str">
        <f>IF(ISBLANK(continental!I346),"",continental!I346)</f>
        <v/>
      </c>
      <c r="K1303" s="262" t="s">
        <v>4241</v>
      </c>
      <c r="O1303" s="262" t="s">
        <v>4241</v>
      </c>
    </row>
    <row r="1304" spans="1:15" ht="12.75" customHeight="1" x14ac:dyDescent="0.3">
      <c r="A1304" s="566"/>
      <c r="B1304" s="566" t="s">
        <v>1551</v>
      </c>
      <c r="C1304" s="566"/>
      <c r="D1304" s="566"/>
      <c r="E1304" s="566"/>
      <c r="F1304" s="566"/>
      <c r="G1304" s="566" t="s">
        <v>2315</v>
      </c>
      <c r="H1304" s="567" t="s">
        <v>866</v>
      </c>
      <c r="I1304" s="239" t="str">
        <f>IF(ISBLANK(continental!I347),"",continental!I347)</f>
        <v/>
      </c>
      <c r="K1304" s="262" t="s">
        <v>4241</v>
      </c>
      <c r="O1304" s="262" t="s">
        <v>4241</v>
      </c>
    </row>
    <row r="1305" spans="1:15" ht="12.75" customHeight="1" x14ac:dyDescent="0.3">
      <c r="A1305" s="566"/>
      <c r="B1305" s="566" t="s">
        <v>1510</v>
      </c>
      <c r="C1305" s="566"/>
      <c r="D1305" s="566"/>
      <c r="E1305" s="566"/>
      <c r="F1305" s="566"/>
      <c r="G1305" s="567" t="s">
        <v>2316</v>
      </c>
      <c r="H1305" s="567" t="s">
        <v>291</v>
      </c>
      <c r="I1305" s="239" t="str">
        <f>IF(ISBLANK(continental!I348),"",continental!I348)</f>
        <v/>
      </c>
      <c r="K1305" s="262" t="s">
        <v>4241</v>
      </c>
      <c r="O1305" s="262" t="s">
        <v>4241</v>
      </c>
    </row>
    <row r="1306" spans="1:15" ht="12.75" customHeight="1" x14ac:dyDescent="0.3">
      <c r="A1306" s="566"/>
      <c r="B1306" s="566"/>
      <c r="C1306" s="566" t="s">
        <v>1512</v>
      </c>
      <c r="D1306" s="566"/>
      <c r="E1306" s="566"/>
      <c r="F1306" s="566"/>
      <c r="G1306" s="567" t="s">
        <v>2317</v>
      </c>
      <c r="H1306" s="567" t="s">
        <v>291</v>
      </c>
      <c r="I1306" s="239" t="str">
        <f>IF(ISBLANK(continental!I349),"",continental!I349)</f>
        <v/>
      </c>
      <c r="K1306" s="262" t="s">
        <v>4241</v>
      </c>
      <c r="O1306" s="262" t="s">
        <v>4241</v>
      </c>
    </row>
    <row r="1307" spans="1:15" ht="12.75" customHeight="1" x14ac:dyDescent="0.3">
      <c r="A1307" s="566"/>
      <c r="B1307" s="566"/>
      <c r="C1307" s="566"/>
      <c r="D1307" s="566" t="s">
        <v>1514</v>
      </c>
      <c r="E1307" s="566"/>
      <c r="F1307" s="566"/>
      <c r="G1307" s="566" t="s">
        <v>2318</v>
      </c>
      <c r="H1307" s="567" t="s">
        <v>291</v>
      </c>
      <c r="I1307" s="239" t="str">
        <f>IF(ISBLANK(continental!I350),"",continental!I350)</f>
        <v/>
      </c>
      <c r="K1307" s="262" t="s">
        <v>4241</v>
      </c>
      <c r="O1307" s="262" t="s">
        <v>4241</v>
      </c>
    </row>
    <row r="1308" spans="1:15" ht="12.75" customHeight="1" x14ac:dyDescent="0.3">
      <c r="A1308" s="566"/>
      <c r="B1308" s="566"/>
      <c r="C1308" s="566"/>
      <c r="D1308" s="566"/>
      <c r="E1308" s="566" t="s">
        <v>1556</v>
      </c>
      <c r="F1308" s="566"/>
      <c r="G1308" s="566" t="s">
        <v>2319</v>
      </c>
      <c r="H1308" s="567" t="s">
        <v>291</v>
      </c>
      <c r="I1308" s="239" t="str">
        <f>IF(ISBLANK(continental!I351),"",continental!I351)</f>
        <v/>
      </c>
      <c r="K1308" s="262" t="s">
        <v>4241</v>
      </c>
      <c r="O1308" s="262" t="s">
        <v>4241</v>
      </c>
    </row>
    <row r="1309" spans="1:15" ht="12.75" customHeight="1" x14ac:dyDescent="0.3">
      <c r="A1309" s="566"/>
      <c r="B1309" s="566"/>
      <c r="C1309" s="566"/>
      <c r="D1309" s="566"/>
      <c r="E1309" s="566"/>
      <c r="F1309" s="566" t="s">
        <v>1558</v>
      </c>
      <c r="G1309" s="566" t="s">
        <v>2320</v>
      </c>
      <c r="H1309" s="567" t="s">
        <v>1520</v>
      </c>
      <c r="I1309" s="239" t="str">
        <f>IF(ISBLANK(continental!I352),"",continental!I352)</f>
        <v/>
      </c>
      <c r="K1309" s="262" t="s">
        <v>4241</v>
      </c>
      <c r="O1309" s="262" t="s">
        <v>4241</v>
      </c>
    </row>
    <row r="1310" spans="1:15" ht="12.75" customHeight="1" x14ac:dyDescent="0.3">
      <c r="A1310" s="566"/>
      <c r="B1310" s="566"/>
      <c r="C1310" s="566" t="s">
        <v>1522</v>
      </c>
      <c r="D1310" s="566"/>
      <c r="E1310" s="566"/>
      <c r="F1310" s="566"/>
      <c r="G1310" s="567" t="s">
        <v>2321</v>
      </c>
      <c r="H1310" s="567" t="s">
        <v>291</v>
      </c>
      <c r="I1310" s="239" t="str">
        <f>IF(ISBLANK(continental!I353),"",continental!I353)</f>
        <v/>
      </c>
      <c r="K1310" s="262" t="s">
        <v>4241</v>
      </c>
      <c r="O1310" s="262" t="s">
        <v>4241</v>
      </c>
    </row>
    <row r="1311" spans="1:15" ht="12.75" customHeight="1" x14ac:dyDescent="0.3">
      <c r="A1311" s="566"/>
      <c r="B1311" s="566"/>
      <c r="C1311" s="566" t="s">
        <v>1524</v>
      </c>
      <c r="D1311" s="566"/>
      <c r="E1311" s="566"/>
      <c r="F1311" s="566"/>
      <c r="G1311" s="567" t="s">
        <v>2322</v>
      </c>
      <c r="H1311" s="567" t="s">
        <v>291</v>
      </c>
      <c r="I1311" s="239" t="str">
        <f>IF(ISBLANK(continental!I354),"",continental!I354)</f>
        <v/>
      </c>
      <c r="K1311" s="262" t="s">
        <v>4241</v>
      </c>
      <c r="O1311" s="262" t="s">
        <v>4241</v>
      </c>
    </row>
    <row r="1312" spans="1:15" ht="12.75" customHeight="1" x14ac:dyDescent="0.3">
      <c r="A1312" s="566"/>
      <c r="B1312" s="566"/>
      <c r="C1312" s="566"/>
      <c r="D1312" s="566" t="s">
        <v>1528</v>
      </c>
      <c r="E1312" s="566"/>
      <c r="F1312" s="566"/>
      <c r="G1312" s="566" t="s">
        <v>2323</v>
      </c>
      <c r="H1312" s="567" t="s">
        <v>1530</v>
      </c>
      <c r="I1312" s="239" t="str">
        <f>IF(ISBLANK(continental!I355),"",continental!I355)</f>
        <v/>
      </c>
      <c r="K1312" s="262" t="s">
        <v>4241</v>
      </c>
      <c r="O1312" s="262" t="s">
        <v>4241</v>
      </c>
    </row>
    <row r="1313" spans="1:15" ht="12.75" customHeight="1" x14ac:dyDescent="0.3">
      <c r="A1313" s="566"/>
      <c r="B1313" s="566"/>
      <c r="C1313" s="566"/>
      <c r="D1313" s="566" t="s">
        <v>1531</v>
      </c>
      <c r="E1313" s="566"/>
      <c r="F1313" s="566"/>
      <c r="G1313" s="566" t="s">
        <v>2324</v>
      </c>
      <c r="H1313" s="567" t="s">
        <v>291</v>
      </c>
      <c r="I1313" s="239" t="str">
        <f>IF(ISBLANK(continental!I356),"",continental!I356)</f>
        <v/>
      </c>
      <c r="K1313" s="262" t="s">
        <v>4241</v>
      </c>
      <c r="O1313" s="262" t="s">
        <v>4241</v>
      </c>
    </row>
    <row r="1314" spans="1:15" ht="12.75" customHeight="1" x14ac:dyDescent="0.3">
      <c r="A1314" s="566"/>
      <c r="B1314" s="566"/>
      <c r="C1314" s="566"/>
      <c r="D1314" s="566" t="s">
        <v>1526</v>
      </c>
      <c r="E1314" s="566"/>
      <c r="F1314" s="566"/>
      <c r="G1314" s="566" t="s">
        <v>2325</v>
      </c>
      <c r="H1314" s="567" t="s">
        <v>291</v>
      </c>
      <c r="I1314" s="239" t="str">
        <f>IF(ISBLANK(continental!I357),"",continental!I357)</f>
        <v/>
      </c>
      <c r="K1314" s="262" t="s">
        <v>4241</v>
      </c>
      <c r="O1314" s="262" t="s">
        <v>4241</v>
      </c>
    </row>
    <row r="1315" spans="1:15" ht="12.75" customHeight="1" x14ac:dyDescent="0.3">
      <c r="A1315" s="566"/>
      <c r="B1315" s="566"/>
      <c r="C1315" s="566"/>
      <c r="D1315" s="566" t="s">
        <v>1533</v>
      </c>
      <c r="E1315" s="566"/>
      <c r="F1315" s="566"/>
      <c r="G1315" s="567" t="s">
        <v>2326</v>
      </c>
      <c r="H1315" s="567" t="s">
        <v>291</v>
      </c>
      <c r="I1315" s="239" t="str">
        <f>IF(ISBLANK(continental!I358),"",continental!I358)</f>
        <v/>
      </c>
      <c r="K1315" s="262" t="s">
        <v>4241</v>
      </c>
      <c r="O1315" s="262" t="s">
        <v>4241</v>
      </c>
    </row>
    <row r="1316" spans="1:15" ht="12.75" customHeight="1" x14ac:dyDescent="0.3">
      <c r="I1316" s="239" t="str">
        <f>IF(ISBLANK(continental!I359),"",continental!I359)</f>
        <v/>
      </c>
      <c r="K1316" s="262" t="s">
        <v>4241</v>
      </c>
      <c r="O1316" s="262" t="s">
        <v>4241</v>
      </c>
    </row>
    <row r="1317" spans="1:15" ht="12.75" customHeight="1" x14ac:dyDescent="0.3">
      <c r="A1317" s="632" t="s">
        <v>1598</v>
      </c>
      <c r="B1317" s="633"/>
      <c r="C1317" s="633"/>
      <c r="D1317" s="633"/>
      <c r="E1317" s="633"/>
      <c r="F1317" s="633"/>
      <c r="G1317" s="632" t="s">
        <v>258</v>
      </c>
      <c r="H1317" s="632" t="s">
        <v>274</v>
      </c>
      <c r="I1317" s="239" t="str">
        <f>IF(ISBLANK(continental!I360),"",continental!I360)</f>
        <v>User input</v>
      </c>
      <c r="K1317" s="262" t="s">
        <v>259</v>
      </c>
      <c r="O1317" s="262" t="s">
        <v>259</v>
      </c>
    </row>
    <row r="1318" spans="1:15" ht="12.75" customHeight="1" x14ac:dyDescent="0.3">
      <c r="A1318" s="413" t="s">
        <v>1599</v>
      </c>
      <c r="B1318" s="413"/>
      <c r="C1318" s="413"/>
      <c r="D1318" s="413"/>
      <c r="E1318" s="413"/>
      <c r="F1318" s="413"/>
      <c r="G1318" s="630"/>
      <c r="H1318" s="630"/>
      <c r="I1318" s="239" t="str">
        <f>IF(ISBLANK(continental!I361),"",continental!I361)</f>
        <v/>
      </c>
      <c r="K1318" s="262" t="s">
        <v>4241</v>
      </c>
      <c r="O1318" s="262" t="s">
        <v>4241</v>
      </c>
    </row>
    <row r="1319" spans="1:15" ht="12.75" customHeight="1" x14ac:dyDescent="0.3">
      <c r="A1319" s="566"/>
      <c r="B1319" s="566" t="s">
        <v>1600</v>
      </c>
      <c r="C1319" s="566"/>
      <c r="D1319" s="566"/>
      <c r="E1319" s="566"/>
      <c r="F1319" s="566"/>
      <c r="G1319" s="567" t="s">
        <v>2327</v>
      </c>
      <c r="H1319" s="567" t="s">
        <v>813</v>
      </c>
      <c r="I1319" s="239" t="str">
        <f>IF(ISBLANK(continental!I362),"",continental!I362)</f>
        <v/>
      </c>
      <c r="K1319" s="262" t="s">
        <v>4241</v>
      </c>
      <c r="O1319" s="262" t="s">
        <v>4241</v>
      </c>
    </row>
    <row r="1320" spans="1:15" ht="12.75" customHeight="1" x14ac:dyDescent="0.3">
      <c r="A1320" s="566"/>
      <c r="B1320" s="566" t="s">
        <v>1603</v>
      </c>
      <c r="C1320" s="566"/>
      <c r="D1320" s="566"/>
      <c r="E1320" s="566"/>
      <c r="F1320" s="566"/>
      <c r="G1320" s="567" t="s">
        <v>2328</v>
      </c>
      <c r="H1320" s="567" t="s">
        <v>291</v>
      </c>
      <c r="I1320" s="239" t="str">
        <f>IF(ISBLANK(continental!I363),"",continental!I363)</f>
        <v/>
      </c>
      <c r="K1320" s="262" t="s">
        <v>4241</v>
      </c>
      <c r="O1320" s="262" t="s">
        <v>4241</v>
      </c>
    </row>
    <row r="1321" spans="1:15" ht="12.75" customHeight="1" x14ac:dyDescent="0.3">
      <c r="A1321" s="566"/>
      <c r="B1321" s="566" t="s">
        <v>1606</v>
      </c>
      <c r="C1321" s="566"/>
      <c r="D1321" s="566"/>
      <c r="E1321" s="566"/>
      <c r="F1321" s="566"/>
      <c r="G1321" s="567" t="s">
        <v>2329</v>
      </c>
      <c r="H1321" s="567" t="s">
        <v>866</v>
      </c>
      <c r="I1321" s="239" t="str">
        <f>IF(ISBLANK(continental!I364),"",continental!I364)</f>
        <v/>
      </c>
      <c r="K1321" s="262" t="s">
        <v>4241</v>
      </c>
      <c r="O1321" s="262" t="s">
        <v>4241</v>
      </c>
    </row>
    <row r="1322" spans="1:15" ht="12.75" customHeight="1" x14ac:dyDescent="0.3">
      <c r="A1322" s="566"/>
      <c r="B1322" s="566" t="s">
        <v>1610</v>
      </c>
      <c r="C1322" s="566"/>
      <c r="D1322" s="566"/>
      <c r="E1322" s="566"/>
      <c r="F1322" s="566"/>
      <c r="G1322" s="567" t="s">
        <v>2330</v>
      </c>
      <c r="H1322" s="567" t="s">
        <v>866</v>
      </c>
      <c r="I1322" s="239" t="str">
        <f>IF(ISBLANK(continental!I365),"",continental!I365)</f>
        <v/>
      </c>
      <c r="K1322" s="262" t="s">
        <v>4241</v>
      </c>
      <c r="O1322" s="262" t="s">
        <v>4241</v>
      </c>
    </row>
    <row r="1323" spans="1:15" ht="12.75" customHeight="1" x14ac:dyDescent="0.3">
      <c r="A1323" s="566"/>
      <c r="B1323" s="566" t="s">
        <v>1612</v>
      </c>
      <c r="C1323" s="566"/>
      <c r="D1323" s="566"/>
      <c r="E1323" s="566"/>
      <c r="F1323" s="566"/>
      <c r="G1323" s="567" t="s">
        <v>2331</v>
      </c>
      <c r="H1323" s="567" t="s">
        <v>291</v>
      </c>
      <c r="I1323" s="239" t="str">
        <f>IF(ISBLANK(continental!I366),"",continental!I366)</f>
        <v/>
      </c>
      <c r="K1323" s="262" t="s">
        <v>4241</v>
      </c>
      <c r="O1323" s="262" t="s">
        <v>4241</v>
      </c>
    </row>
    <row r="1324" spans="1:15" ht="12.75" customHeight="1" x14ac:dyDescent="0.3">
      <c r="A1324" s="566"/>
      <c r="B1324" s="566" t="s">
        <v>1614</v>
      </c>
      <c r="C1324" s="566"/>
      <c r="D1324" s="566"/>
      <c r="E1324" s="566"/>
      <c r="F1324" s="566"/>
      <c r="G1324" s="567" t="s">
        <v>2332</v>
      </c>
      <c r="H1324" s="567" t="s">
        <v>291</v>
      </c>
      <c r="I1324" s="239" t="str">
        <f>IF(ISBLANK(continental!I367),"",continental!I367)</f>
        <v/>
      </c>
      <c r="K1324" s="262" t="s">
        <v>4241</v>
      </c>
      <c r="O1324" s="262" t="s">
        <v>4241</v>
      </c>
    </row>
    <row r="1325" spans="1:15" ht="12.75" customHeight="1" x14ac:dyDescent="0.3">
      <c r="A1325" s="566"/>
      <c r="B1325" s="566" t="s">
        <v>1616</v>
      </c>
      <c r="C1325" s="566"/>
      <c r="D1325" s="566"/>
      <c r="E1325" s="566"/>
      <c r="F1325" s="566"/>
      <c r="G1325" s="567" t="s">
        <v>2333</v>
      </c>
      <c r="H1325" s="567" t="s">
        <v>291</v>
      </c>
      <c r="I1325" s="239" t="str">
        <f>IF(ISBLANK(continental!I368),"",continental!I368)</f>
        <v/>
      </c>
      <c r="K1325" s="262" t="s">
        <v>4241</v>
      </c>
      <c r="O1325" s="262" t="s">
        <v>4241</v>
      </c>
    </row>
    <row r="1326" spans="1:15" ht="12.75" customHeight="1" x14ac:dyDescent="0.3">
      <c r="A1326" s="413" t="s">
        <v>2335</v>
      </c>
      <c r="B1326" s="413"/>
      <c r="C1326" s="413"/>
      <c r="D1326" s="413"/>
      <c r="E1326" s="413"/>
      <c r="F1326" s="413"/>
      <c r="G1326" s="413"/>
      <c r="H1326" s="413"/>
      <c r="I1326" s="239" t="str">
        <f>IF(ISBLANK(continental!I369),"",continental!I369)</f>
        <v/>
      </c>
      <c r="K1326" s="262" t="s">
        <v>4241</v>
      </c>
      <c r="O1326" s="262" t="s">
        <v>4241</v>
      </c>
    </row>
    <row r="1327" spans="1:15" ht="12.75" customHeight="1" x14ac:dyDescent="0.3">
      <c r="A1327" s="566"/>
      <c r="B1327" s="566" t="s">
        <v>1619</v>
      </c>
      <c r="C1327" s="566"/>
      <c r="D1327" s="566"/>
      <c r="E1327" s="566"/>
      <c r="F1327" s="566"/>
      <c r="G1327" s="566" t="s">
        <v>2336</v>
      </c>
      <c r="H1327" s="566" t="s">
        <v>813</v>
      </c>
      <c r="I1327" s="239" t="str">
        <f>IF(ISBLANK(continental!I370),"",continental!I370)</f>
        <v/>
      </c>
      <c r="K1327" s="262" t="s">
        <v>4241</v>
      </c>
      <c r="O1327" s="262" t="s">
        <v>4241</v>
      </c>
    </row>
    <row r="1328" spans="1:15" ht="12.75" customHeight="1" x14ac:dyDescent="0.3">
      <c r="A1328" s="566"/>
      <c r="B1328" s="566" t="s">
        <v>1621</v>
      </c>
      <c r="C1328" s="566"/>
      <c r="D1328" s="566"/>
      <c r="E1328" s="566"/>
      <c r="F1328" s="566"/>
      <c r="G1328" s="566" t="s">
        <v>2337</v>
      </c>
      <c r="H1328" s="566" t="s">
        <v>282</v>
      </c>
      <c r="I1328" s="239" t="str">
        <f>IF(ISBLANK(continental!I371),"",continental!I371)</f>
        <v/>
      </c>
      <c r="K1328" s="262" t="s">
        <v>4241</v>
      </c>
      <c r="O1328" s="262" t="s">
        <v>4241</v>
      </c>
    </row>
    <row r="1329" spans="1:15" ht="12.75" customHeight="1" x14ac:dyDescent="0.3">
      <c r="A1329" s="566"/>
      <c r="B1329" s="566"/>
      <c r="C1329" s="566" t="s">
        <v>1623</v>
      </c>
      <c r="D1329" s="566"/>
      <c r="E1329" s="566"/>
      <c r="F1329" s="566"/>
      <c r="G1329" s="566" t="s">
        <v>2338</v>
      </c>
      <c r="H1329" s="566" t="s">
        <v>857</v>
      </c>
      <c r="I1329" s="239" t="str">
        <f>IF(ISBLANK(continental!I372),"",continental!I372)</f>
        <v/>
      </c>
      <c r="K1329" s="262" t="s">
        <v>4241</v>
      </c>
      <c r="O1329" s="262" t="s">
        <v>4241</v>
      </c>
    </row>
    <row r="1330" spans="1:15" ht="12.75" customHeight="1" x14ac:dyDescent="0.3">
      <c r="A1330" s="566"/>
      <c r="B1330" s="566"/>
      <c r="C1330" s="566" t="s">
        <v>1625</v>
      </c>
      <c r="D1330" s="566"/>
      <c r="E1330" s="566"/>
      <c r="F1330" s="566"/>
      <c r="G1330" s="566" t="s">
        <v>2339</v>
      </c>
      <c r="H1330" s="566" t="s">
        <v>888</v>
      </c>
      <c r="I1330" s="239" t="str">
        <f>IF(ISBLANK(continental!I373),"",continental!I373)</f>
        <v/>
      </c>
      <c r="K1330" s="262" t="s">
        <v>4241</v>
      </c>
      <c r="O1330" s="262" t="s">
        <v>4241</v>
      </c>
    </row>
    <row r="1331" spans="1:15" ht="12.75" customHeight="1" x14ac:dyDescent="0.3">
      <c r="A1331" s="582" t="s">
        <v>1628</v>
      </c>
      <c r="B1331" s="582"/>
      <c r="C1331" s="582"/>
      <c r="D1331" s="582"/>
      <c r="E1331" s="582"/>
      <c r="F1331" s="582"/>
      <c r="G1331" s="581" t="s">
        <v>2340</v>
      </c>
      <c r="H1331" s="581" t="s">
        <v>335</v>
      </c>
      <c r="I1331" s="239" t="str">
        <f>IF(ISBLANK(continental!I374),"",continental!I374)</f>
        <v/>
      </c>
      <c r="K1331" s="262" t="s">
        <v>4241</v>
      </c>
      <c r="O1331" s="262" t="s">
        <v>4241</v>
      </c>
    </row>
    <row r="1332" spans="1:15" ht="12.75" customHeight="1" x14ac:dyDescent="0.3">
      <c r="A1332" s="566"/>
      <c r="B1332" s="566" t="s">
        <v>1631</v>
      </c>
      <c r="C1332" s="566"/>
      <c r="D1332" s="566"/>
      <c r="E1332" s="566"/>
      <c r="F1332" s="566"/>
      <c r="G1332" s="567" t="s">
        <v>2342</v>
      </c>
      <c r="H1332" s="567" t="s">
        <v>1633</v>
      </c>
      <c r="I1332" s="239" t="str">
        <f>IF(ISBLANK(continental!I375),"",continental!I375)</f>
        <v/>
      </c>
      <c r="K1332" s="262" t="s">
        <v>4241</v>
      </c>
      <c r="O1332" s="262" t="s">
        <v>4241</v>
      </c>
    </row>
    <row r="1333" spans="1:15" ht="12.75" customHeight="1" x14ac:dyDescent="0.3">
      <c r="A1333" s="566"/>
      <c r="B1333" s="566" t="s">
        <v>1634</v>
      </c>
      <c r="C1333" s="566"/>
      <c r="D1333" s="566"/>
      <c r="E1333" s="566"/>
      <c r="F1333" s="566"/>
      <c r="G1333" s="567" t="s">
        <v>2343</v>
      </c>
      <c r="H1333" s="567" t="s">
        <v>291</v>
      </c>
      <c r="I1333" s="239" t="str">
        <f>IF(ISBLANK(continental!I376),"",continental!I376)</f>
        <v/>
      </c>
      <c r="K1333" s="262" t="s">
        <v>4241</v>
      </c>
      <c r="O1333" s="262" t="s">
        <v>4241</v>
      </c>
    </row>
    <row r="1334" spans="1:15" ht="12.75" customHeight="1" x14ac:dyDescent="0.3">
      <c r="A1334" s="566"/>
      <c r="B1334" s="566" t="s">
        <v>1637</v>
      </c>
      <c r="C1334" s="566"/>
      <c r="D1334" s="566"/>
      <c r="E1334" s="566"/>
      <c r="F1334" s="566"/>
      <c r="G1334" s="567" t="s">
        <v>2344</v>
      </c>
      <c r="H1334" s="567" t="s">
        <v>866</v>
      </c>
      <c r="I1334" s="239" t="str">
        <f>IF(ISBLANK(continental!I377),"",continental!I377)</f>
        <v/>
      </c>
      <c r="K1334" s="262" t="s">
        <v>4241</v>
      </c>
      <c r="O1334" s="262" t="s">
        <v>4241</v>
      </c>
    </row>
    <row r="1335" spans="1:15" ht="12.75" customHeight="1" x14ac:dyDescent="0.3">
      <c r="A1335" s="566"/>
      <c r="B1335" s="566" t="s">
        <v>1639</v>
      </c>
      <c r="C1335" s="566"/>
      <c r="D1335" s="566"/>
      <c r="E1335" s="566"/>
      <c r="F1335" s="566"/>
      <c r="G1335" s="567" t="s">
        <v>2345</v>
      </c>
      <c r="H1335" s="567" t="s">
        <v>291</v>
      </c>
      <c r="I1335" s="239" t="str">
        <f>IF(ISBLANK(continental!I378),"",continental!I378)</f>
        <v/>
      </c>
      <c r="K1335" s="262" t="s">
        <v>4241</v>
      </c>
      <c r="O1335" s="262" t="s">
        <v>4241</v>
      </c>
    </row>
    <row r="1336" spans="1:15" ht="12.75" customHeight="1" x14ac:dyDescent="0.3">
      <c r="A1336" s="566"/>
      <c r="B1336" s="566"/>
      <c r="C1336" s="566" t="s">
        <v>1641</v>
      </c>
      <c r="D1336" s="566"/>
      <c r="E1336" s="566"/>
      <c r="F1336" s="566"/>
      <c r="G1336" s="567" t="s">
        <v>2346</v>
      </c>
      <c r="H1336" s="567" t="s">
        <v>291</v>
      </c>
      <c r="I1336" s="239" t="str">
        <f>IF(ISBLANK(continental!I379),"",continental!I379)</f>
        <v/>
      </c>
      <c r="K1336" s="262" t="s">
        <v>4241</v>
      </c>
      <c r="O1336" s="262" t="s">
        <v>4241</v>
      </c>
    </row>
    <row r="1337" spans="1:15" ht="12.75" customHeight="1" x14ac:dyDescent="0.3">
      <c r="A1337" s="566"/>
      <c r="B1337" s="566"/>
      <c r="C1337" s="566" t="s">
        <v>1643</v>
      </c>
      <c r="D1337" s="566"/>
      <c r="E1337" s="566"/>
      <c r="F1337" s="566"/>
      <c r="G1337" s="567" t="s">
        <v>2347</v>
      </c>
      <c r="H1337" s="567" t="s">
        <v>291</v>
      </c>
      <c r="I1337" s="239" t="str">
        <f>IF(ISBLANK(continental!I380),"",continental!I380)</f>
        <v/>
      </c>
      <c r="K1337" s="262" t="s">
        <v>4241</v>
      </c>
      <c r="O1337" s="262" t="s">
        <v>4241</v>
      </c>
    </row>
    <row r="1338" spans="1:15" ht="12.75" customHeight="1" x14ac:dyDescent="0.3">
      <c r="A1338" s="566"/>
      <c r="B1338" s="566"/>
      <c r="C1338" s="566" t="s">
        <v>1645</v>
      </c>
      <c r="D1338" s="566"/>
      <c r="E1338" s="566"/>
      <c r="F1338" s="566"/>
      <c r="G1338" s="567" t="s">
        <v>2348</v>
      </c>
      <c r="H1338" s="567" t="s">
        <v>291</v>
      </c>
      <c r="I1338" s="239" t="str">
        <f>IF(ISBLANK(continental!I381),"",continental!I381)</f>
        <v/>
      </c>
      <c r="K1338" s="262" t="s">
        <v>4241</v>
      </c>
      <c r="O1338" s="262" t="s">
        <v>4241</v>
      </c>
    </row>
    <row r="1339" spans="1:15" ht="12.75" customHeight="1" x14ac:dyDescent="0.3">
      <c r="A1339" s="566"/>
      <c r="B1339" s="566"/>
      <c r="C1339" s="566" t="s">
        <v>1647</v>
      </c>
      <c r="D1339" s="566"/>
      <c r="E1339" s="566"/>
      <c r="F1339" s="566"/>
      <c r="G1339" s="567" t="s">
        <v>2349</v>
      </c>
      <c r="H1339" s="567" t="s">
        <v>291</v>
      </c>
      <c r="I1339" s="239" t="str">
        <f>IF(ISBLANK(continental!I382),"",continental!I382)</f>
        <v/>
      </c>
      <c r="K1339" s="262" t="s">
        <v>4241</v>
      </c>
      <c r="O1339" s="262" t="s">
        <v>4241</v>
      </c>
    </row>
    <row r="1340" spans="1:15" ht="12.75" customHeight="1" x14ac:dyDescent="0.3">
      <c r="A1340" s="566" t="s">
        <v>1649</v>
      </c>
      <c r="B1340" s="566"/>
      <c r="C1340" s="566"/>
      <c r="D1340" s="566"/>
      <c r="E1340" s="566"/>
      <c r="F1340" s="566"/>
      <c r="G1340" s="567" t="s">
        <v>2350</v>
      </c>
      <c r="H1340" s="567" t="s">
        <v>335</v>
      </c>
      <c r="I1340" s="239" t="str">
        <f>IF(ISBLANK(continental!I383),"",continental!I383)</f>
        <v/>
      </c>
      <c r="K1340" s="262" t="s">
        <v>4241</v>
      </c>
      <c r="O1340" s="262" t="s">
        <v>4241</v>
      </c>
    </row>
    <row r="1341" spans="1:15" ht="12.75" customHeight="1" x14ac:dyDescent="0.3">
      <c r="A1341" s="566"/>
      <c r="B1341" s="566" t="s">
        <v>1651</v>
      </c>
      <c r="C1341" s="566"/>
      <c r="D1341" s="566"/>
      <c r="E1341" s="566"/>
      <c r="F1341" s="566"/>
      <c r="G1341" s="567" t="s">
        <v>2351</v>
      </c>
      <c r="H1341" s="567" t="s">
        <v>291</v>
      </c>
      <c r="I1341" s="239" t="str">
        <f>IF(ISBLANK(continental!I384),"",continental!I384)</f>
        <v/>
      </c>
      <c r="K1341" s="262" t="s">
        <v>4241</v>
      </c>
      <c r="O1341" s="262" t="s">
        <v>4241</v>
      </c>
    </row>
    <row r="1342" spans="1:15" ht="12.75" customHeight="1" x14ac:dyDescent="0.3">
      <c r="A1342" s="566"/>
      <c r="B1342" s="566" t="s">
        <v>1653</v>
      </c>
      <c r="C1342" s="566"/>
      <c r="D1342" s="566"/>
      <c r="E1342" s="566"/>
      <c r="F1342" s="566"/>
      <c r="G1342" s="567" t="s">
        <v>2352</v>
      </c>
      <c r="H1342" s="567"/>
      <c r="I1342" s="239" t="str">
        <f>IF(ISBLANK(continental!I385),"",continental!I385)</f>
        <v/>
      </c>
      <c r="K1342" s="262" t="s">
        <v>4241</v>
      </c>
      <c r="O1342" s="262" t="s">
        <v>4241</v>
      </c>
    </row>
    <row r="1343" spans="1:15" ht="12.75" customHeight="1" x14ac:dyDescent="0.3">
      <c r="A1343" s="566"/>
      <c r="B1343" s="566" t="s">
        <v>1631</v>
      </c>
      <c r="C1343" s="566"/>
      <c r="D1343" s="566"/>
      <c r="E1343" s="566"/>
      <c r="F1343" s="566"/>
      <c r="G1343" s="567" t="s">
        <v>2353</v>
      </c>
      <c r="H1343" s="567" t="s">
        <v>1633</v>
      </c>
      <c r="I1343" s="239" t="str">
        <f>IF(ISBLANK(continental!I386),"",continental!I386)</f>
        <v/>
      </c>
      <c r="K1343" s="262" t="s">
        <v>4241</v>
      </c>
      <c r="O1343" s="262" t="s">
        <v>4241</v>
      </c>
    </row>
    <row r="1344" spans="1:15" ht="12.75" customHeight="1" x14ac:dyDescent="0.3">
      <c r="A1344" s="566"/>
      <c r="B1344" s="566" t="s">
        <v>1656</v>
      </c>
      <c r="C1344" s="566"/>
      <c r="D1344" s="566"/>
      <c r="E1344" s="566"/>
      <c r="F1344" s="566"/>
      <c r="G1344" s="567" t="s">
        <v>2354</v>
      </c>
      <c r="H1344" s="567" t="s">
        <v>291</v>
      </c>
      <c r="I1344" s="239" t="str">
        <f>IF(ISBLANK(continental!I387),"",continental!I387)</f>
        <v/>
      </c>
      <c r="K1344" s="262" t="s">
        <v>4241</v>
      </c>
      <c r="O1344" s="262" t="s">
        <v>4241</v>
      </c>
    </row>
    <row r="1345" spans="1:15" ht="12.75" customHeight="1" x14ac:dyDescent="0.3">
      <c r="A1345" s="566"/>
      <c r="B1345" s="566" t="s">
        <v>1637</v>
      </c>
      <c r="C1345" s="566"/>
      <c r="D1345" s="566"/>
      <c r="E1345" s="566"/>
      <c r="F1345" s="566"/>
      <c r="G1345" s="567" t="s">
        <v>2355</v>
      </c>
      <c r="H1345" s="567" t="s">
        <v>866</v>
      </c>
      <c r="I1345" s="239" t="str">
        <f>IF(ISBLANK(continental!I388),"",continental!I388)</f>
        <v/>
      </c>
      <c r="K1345" s="262" t="s">
        <v>4241</v>
      </c>
      <c r="O1345" s="262" t="s">
        <v>4241</v>
      </c>
    </row>
    <row r="1346" spans="1:15" ht="12.75" customHeight="1" x14ac:dyDescent="0.3">
      <c r="A1346" s="566"/>
      <c r="B1346" s="566" t="s">
        <v>1639</v>
      </c>
      <c r="C1346" s="566"/>
      <c r="D1346" s="566"/>
      <c r="E1346" s="566"/>
      <c r="F1346" s="566"/>
      <c r="G1346" s="567" t="s">
        <v>2356</v>
      </c>
      <c r="H1346" s="567" t="s">
        <v>291</v>
      </c>
      <c r="I1346" s="239" t="str">
        <f>IF(ISBLANK(continental!I389),"",continental!I389)</f>
        <v/>
      </c>
      <c r="K1346" s="262" t="s">
        <v>4241</v>
      </c>
      <c r="O1346" s="262" t="s">
        <v>4241</v>
      </c>
    </row>
    <row r="1347" spans="1:15" ht="12.75" customHeight="1" x14ac:dyDescent="0.3">
      <c r="A1347" s="566"/>
      <c r="B1347" s="566"/>
      <c r="C1347" s="566" t="s">
        <v>1641</v>
      </c>
      <c r="D1347" s="566"/>
      <c r="E1347" s="566"/>
      <c r="F1347" s="566"/>
      <c r="G1347" s="567" t="s">
        <v>2357</v>
      </c>
      <c r="H1347" s="567" t="s">
        <v>291</v>
      </c>
      <c r="I1347" s="239" t="str">
        <f>IF(ISBLANK(continental!I390),"",continental!I390)</f>
        <v/>
      </c>
      <c r="K1347" s="262" t="s">
        <v>4241</v>
      </c>
      <c r="O1347" s="262" t="s">
        <v>4241</v>
      </c>
    </row>
    <row r="1348" spans="1:15" ht="12.75" customHeight="1" x14ac:dyDescent="0.3">
      <c r="A1348" s="566"/>
      <c r="B1348" s="566"/>
      <c r="C1348" s="566" t="s">
        <v>1643</v>
      </c>
      <c r="D1348" s="566"/>
      <c r="E1348" s="566"/>
      <c r="F1348" s="566"/>
      <c r="G1348" s="567" t="s">
        <v>2358</v>
      </c>
      <c r="H1348" s="567" t="s">
        <v>291</v>
      </c>
      <c r="I1348" s="239" t="str">
        <f>IF(ISBLANK(continental!I391),"",continental!I391)</f>
        <v/>
      </c>
      <c r="K1348" s="262" t="s">
        <v>4241</v>
      </c>
      <c r="O1348" s="262" t="s">
        <v>4241</v>
      </c>
    </row>
    <row r="1349" spans="1:15" ht="12.75" customHeight="1" x14ac:dyDescent="0.3">
      <c r="A1349" s="566"/>
      <c r="B1349" s="566"/>
      <c r="C1349" s="566" t="s">
        <v>1645</v>
      </c>
      <c r="D1349" s="566"/>
      <c r="E1349" s="566"/>
      <c r="F1349" s="566"/>
      <c r="G1349" s="567" t="s">
        <v>2359</v>
      </c>
      <c r="H1349" s="567" t="s">
        <v>291</v>
      </c>
      <c r="I1349" s="239" t="str">
        <f>IF(ISBLANK(continental!I392),"",continental!I392)</f>
        <v/>
      </c>
      <c r="K1349" s="262" t="s">
        <v>4241</v>
      </c>
      <c r="O1349" s="262" t="s">
        <v>4241</v>
      </c>
    </row>
    <row r="1350" spans="1:15" ht="12.75" customHeight="1" x14ac:dyDescent="0.3">
      <c r="A1350" s="566"/>
      <c r="B1350" s="566"/>
      <c r="C1350" s="566" t="s">
        <v>1647</v>
      </c>
      <c r="D1350" s="566"/>
      <c r="E1350" s="566"/>
      <c r="F1350" s="566"/>
      <c r="G1350" s="567" t="s">
        <v>2360</v>
      </c>
      <c r="H1350" s="567" t="s">
        <v>291</v>
      </c>
      <c r="I1350" s="239" t="str">
        <f>IF(ISBLANK(continental!I393),"",continental!I393)</f>
        <v/>
      </c>
      <c r="K1350" s="262" t="s">
        <v>4241</v>
      </c>
      <c r="O1350" s="262" t="s">
        <v>4241</v>
      </c>
    </row>
    <row r="1351" spans="1:15" ht="12.75" customHeight="1" x14ac:dyDescent="0.3">
      <c r="A1351" s="566" t="s">
        <v>1664</v>
      </c>
      <c r="B1351" s="566"/>
      <c r="C1351" s="566"/>
      <c r="D1351" s="566"/>
      <c r="E1351" s="566"/>
      <c r="F1351" s="566"/>
      <c r="G1351" s="567" t="s">
        <v>2361</v>
      </c>
      <c r="H1351" s="567" t="s">
        <v>335</v>
      </c>
      <c r="I1351" s="239" t="str">
        <f>IF(ISBLANK(continental!I394),"",continental!I394)</f>
        <v/>
      </c>
      <c r="K1351" s="262" t="s">
        <v>4241</v>
      </c>
      <c r="O1351" s="262" t="s">
        <v>4241</v>
      </c>
    </row>
    <row r="1352" spans="1:15" ht="12.75" customHeight="1" x14ac:dyDescent="0.3">
      <c r="A1352" s="582" t="s">
        <v>1667</v>
      </c>
      <c r="B1352" s="582"/>
      <c r="C1352" s="582"/>
      <c r="D1352" s="582"/>
      <c r="E1352" s="582"/>
      <c r="F1352" s="582"/>
      <c r="G1352" s="581" t="s">
        <v>2362</v>
      </c>
      <c r="H1352" s="581" t="s">
        <v>335</v>
      </c>
      <c r="I1352" s="239" t="str">
        <f>IF(ISBLANK(continental!I395),"",continental!I395)</f>
        <v/>
      </c>
      <c r="K1352" s="262" t="s">
        <v>4241</v>
      </c>
      <c r="O1352" s="262" t="s">
        <v>4241</v>
      </c>
    </row>
    <row r="1353" spans="1:15" ht="12.75" customHeight="1" x14ac:dyDescent="0.3">
      <c r="A1353" s="566"/>
      <c r="B1353" s="566" t="s">
        <v>1669</v>
      </c>
      <c r="C1353" s="566"/>
      <c r="D1353" s="566"/>
      <c r="E1353" s="566"/>
      <c r="F1353" s="566"/>
      <c r="G1353" s="567" t="s">
        <v>2363</v>
      </c>
      <c r="H1353" s="567" t="s">
        <v>866</v>
      </c>
      <c r="I1353" s="239" t="str">
        <f>IF(ISBLANK(continental!I396),"",continental!I396)</f>
        <v/>
      </c>
      <c r="K1353" s="262" t="s">
        <v>4241</v>
      </c>
      <c r="O1353" s="262" t="s">
        <v>4241</v>
      </c>
    </row>
    <row r="1354" spans="1:15" ht="12.75" customHeight="1" x14ac:dyDescent="0.3">
      <c r="A1354" s="566"/>
      <c r="B1354" s="566" t="s">
        <v>1671</v>
      </c>
      <c r="C1354" s="566"/>
      <c r="D1354" s="566"/>
      <c r="E1354" s="566"/>
      <c r="F1354" s="566"/>
      <c r="G1354" s="567" t="s">
        <v>2364</v>
      </c>
      <c r="H1354" s="567" t="s">
        <v>1673</v>
      </c>
      <c r="I1354" s="239" t="str">
        <f>IF(ISBLANK(continental!I397),"",continental!I397)</f>
        <v/>
      </c>
      <c r="K1354" s="262" t="s">
        <v>4241</v>
      </c>
      <c r="O1354" s="262" t="s">
        <v>4241</v>
      </c>
    </row>
    <row r="1355" spans="1:15" ht="12.75" customHeight="1" x14ac:dyDescent="0.3">
      <c r="A1355" s="566"/>
      <c r="B1355" s="566" t="s">
        <v>1676</v>
      </c>
      <c r="C1355" s="566"/>
      <c r="D1355" s="566"/>
      <c r="E1355" s="566"/>
      <c r="F1355" s="566"/>
      <c r="G1355" s="567" t="s">
        <v>2365</v>
      </c>
      <c r="H1355" s="567" t="s">
        <v>1673</v>
      </c>
      <c r="I1355" s="239" t="str">
        <f>IF(ISBLANK(continental!I398),"",continental!I398)</f>
        <v/>
      </c>
      <c r="K1355" s="262" t="s">
        <v>4241</v>
      </c>
      <c r="O1355" s="262" t="s">
        <v>4241</v>
      </c>
    </row>
    <row r="1356" spans="1:15" ht="12.75" customHeight="1" x14ac:dyDescent="0.3">
      <c r="A1356" s="566"/>
      <c r="B1356" s="566"/>
      <c r="C1356" s="566" t="s">
        <v>1679</v>
      </c>
      <c r="D1356" s="566"/>
      <c r="E1356" s="566"/>
      <c r="F1356" s="566"/>
      <c r="G1356" s="567" t="s">
        <v>2366</v>
      </c>
      <c r="H1356" s="567" t="s">
        <v>866</v>
      </c>
      <c r="I1356" s="239" t="str">
        <f>IF(ISBLANK(continental!I399),"",continental!I399)</f>
        <v/>
      </c>
      <c r="K1356" s="262" t="s">
        <v>4241</v>
      </c>
      <c r="O1356" s="262" t="s">
        <v>4241</v>
      </c>
    </row>
    <row r="1357" spans="1:15" ht="12.75" customHeight="1" x14ac:dyDescent="0.3">
      <c r="A1357" s="566"/>
      <c r="B1357" s="566"/>
      <c r="C1357" s="566" t="s">
        <v>1641</v>
      </c>
      <c r="D1357" s="566"/>
      <c r="E1357" s="566"/>
      <c r="F1357" s="566"/>
      <c r="G1357" s="567" t="s">
        <v>2367</v>
      </c>
      <c r="H1357" s="567" t="s">
        <v>291</v>
      </c>
      <c r="I1357" s="239" t="str">
        <f>IF(ISBLANK(continental!I400),"",continental!I400)</f>
        <v/>
      </c>
      <c r="K1357" s="262" t="s">
        <v>4241</v>
      </c>
      <c r="O1357" s="262" t="s">
        <v>4241</v>
      </c>
    </row>
    <row r="1358" spans="1:15" ht="12.75" customHeight="1" x14ac:dyDescent="0.3">
      <c r="A1358" s="566"/>
      <c r="B1358" s="566"/>
      <c r="C1358" s="566" t="s">
        <v>1643</v>
      </c>
      <c r="D1358" s="566"/>
      <c r="E1358" s="566"/>
      <c r="F1358" s="566"/>
      <c r="G1358" s="567" t="s">
        <v>2368</v>
      </c>
      <c r="H1358" s="567" t="s">
        <v>291</v>
      </c>
      <c r="I1358" s="239" t="str">
        <f>IF(ISBLANK(continental!I401),"",continental!I401)</f>
        <v/>
      </c>
      <c r="K1358" s="262" t="s">
        <v>4241</v>
      </c>
      <c r="O1358" s="262" t="s">
        <v>4241</v>
      </c>
    </row>
    <row r="1359" spans="1:15" ht="12.75" customHeight="1" x14ac:dyDescent="0.3">
      <c r="A1359" s="566"/>
      <c r="B1359" s="566"/>
      <c r="C1359" s="566"/>
      <c r="D1359" s="566" t="s">
        <v>1686</v>
      </c>
      <c r="E1359" s="566"/>
      <c r="F1359" s="566"/>
      <c r="G1359" s="567" t="s">
        <v>2369</v>
      </c>
      <c r="H1359" s="567" t="s">
        <v>813</v>
      </c>
      <c r="I1359" s="239" t="str">
        <f>IF(ISBLANK(continental!I402),"",continental!I402)</f>
        <v/>
      </c>
      <c r="K1359" s="262" t="s">
        <v>4241</v>
      </c>
      <c r="O1359" s="262" t="s">
        <v>4241</v>
      </c>
    </row>
    <row r="1360" spans="1:15" ht="12.75" customHeight="1" x14ac:dyDescent="0.3">
      <c r="A1360" s="566"/>
      <c r="B1360" s="566"/>
      <c r="C1360" s="566"/>
      <c r="D1360" s="566" t="s">
        <v>1688</v>
      </c>
      <c r="E1360" s="566"/>
      <c r="F1360" s="566"/>
      <c r="G1360" s="567" t="s">
        <v>2370</v>
      </c>
      <c r="H1360" s="567" t="s">
        <v>813</v>
      </c>
      <c r="I1360" s="239" t="str">
        <f>IF(ISBLANK(continental!I403),"",continental!I403)</f>
        <v/>
      </c>
      <c r="K1360" s="262" t="s">
        <v>4241</v>
      </c>
      <c r="O1360" s="262" t="s">
        <v>4241</v>
      </c>
    </row>
    <row r="1361" spans="1:15" ht="12.75" customHeight="1" x14ac:dyDescent="0.3">
      <c r="A1361" s="566"/>
      <c r="B1361" s="566"/>
      <c r="C1361" s="566"/>
      <c r="D1361" s="566" t="s">
        <v>1690</v>
      </c>
      <c r="E1361" s="566"/>
      <c r="F1361" s="566"/>
      <c r="G1361" s="567" t="s">
        <v>2371</v>
      </c>
      <c r="H1361" s="567" t="s">
        <v>291</v>
      </c>
      <c r="I1361" s="239" t="str">
        <f>IF(ISBLANK(continental!I404),"",continental!I404)</f>
        <v/>
      </c>
      <c r="K1361" s="262" t="s">
        <v>4241</v>
      </c>
      <c r="O1361" s="262" t="s">
        <v>4241</v>
      </c>
    </row>
    <row r="1362" spans="1:15" ht="12.75" customHeight="1" x14ac:dyDescent="0.3">
      <c r="A1362" s="566"/>
      <c r="B1362" s="566"/>
      <c r="C1362" s="566" t="s">
        <v>1645</v>
      </c>
      <c r="D1362" s="566"/>
      <c r="E1362" s="566"/>
      <c r="F1362" s="566"/>
      <c r="G1362" s="567" t="s">
        <v>2372</v>
      </c>
      <c r="H1362" s="567" t="s">
        <v>291</v>
      </c>
      <c r="I1362" s="239" t="str">
        <f>IF(ISBLANK(continental!I405),"",continental!I405)</f>
        <v/>
      </c>
      <c r="K1362" s="262" t="s">
        <v>4241</v>
      </c>
      <c r="O1362" s="262" t="s">
        <v>4241</v>
      </c>
    </row>
    <row r="1363" spans="1:15" ht="12.75" customHeight="1" x14ac:dyDescent="0.3">
      <c r="A1363" s="566" t="s">
        <v>1694</v>
      </c>
      <c r="B1363" s="566"/>
      <c r="C1363" s="566"/>
      <c r="D1363" s="566"/>
      <c r="E1363" s="566"/>
      <c r="F1363" s="566"/>
      <c r="G1363" s="567" t="s">
        <v>2373</v>
      </c>
      <c r="H1363" s="567" t="s">
        <v>335</v>
      </c>
      <c r="I1363" s="239" t="str">
        <f>IF(ISBLANK(continental!I406),"",continental!I406)</f>
        <v/>
      </c>
      <c r="K1363" s="262" t="s">
        <v>4241</v>
      </c>
      <c r="O1363" s="262" t="s">
        <v>4241</v>
      </c>
    </row>
    <row r="1364" spans="1:15" ht="12.75" customHeight="1" x14ac:dyDescent="0.3">
      <c r="A1364" s="566"/>
      <c r="B1364" s="566" t="s">
        <v>1669</v>
      </c>
      <c r="C1364" s="566"/>
      <c r="D1364" s="566"/>
      <c r="E1364" s="566"/>
      <c r="F1364" s="566"/>
      <c r="G1364" s="567" t="s">
        <v>2374</v>
      </c>
      <c r="H1364" s="567" t="s">
        <v>866</v>
      </c>
      <c r="I1364" s="239" t="str">
        <f>IF(ISBLANK(continental!I407),"",continental!I407)</f>
        <v/>
      </c>
      <c r="K1364" s="262" t="s">
        <v>4241</v>
      </c>
      <c r="O1364" s="262" t="s">
        <v>4241</v>
      </c>
    </row>
    <row r="1365" spans="1:15" ht="12.75" customHeight="1" x14ac:dyDescent="0.3">
      <c r="A1365" s="566"/>
      <c r="B1365" s="566" t="s">
        <v>1671</v>
      </c>
      <c r="C1365" s="566"/>
      <c r="D1365" s="566"/>
      <c r="E1365" s="566"/>
      <c r="F1365" s="566"/>
      <c r="G1365" s="567" t="s">
        <v>2375</v>
      </c>
      <c r="H1365" s="567" t="s">
        <v>1673</v>
      </c>
      <c r="I1365" s="239" t="str">
        <f>IF(ISBLANK(continental!I408),"",continental!I408)</f>
        <v/>
      </c>
      <c r="K1365" s="262" t="s">
        <v>4241</v>
      </c>
      <c r="O1365" s="262" t="s">
        <v>4241</v>
      </c>
    </row>
    <row r="1366" spans="1:15" ht="12.75" customHeight="1" x14ac:dyDescent="0.3">
      <c r="A1366" s="566"/>
      <c r="B1366" s="566" t="s">
        <v>1676</v>
      </c>
      <c r="C1366" s="566"/>
      <c r="D1366" s="566"/>
      <c r="E1366" s="566"/>
      <c r="F1366" s="566"/>
      <c r="G1366" s="567" t="s">
        <v>2376</v>
      </c>
      <c r="H1366" s="567" t="s">
        <v>1673</v>
      </c>
      <c r="I1366" s="239" t="str">
        <f>IF(ISBLANK(continental!I409),"",continental!I409)</f>
        <v/>
      </c>
      <c r="K1366" s="262" t="s">
        <v>4241</v>
      </c>
      <c r="O1366" s="262" t="s">
        <v>4241</v>
      </c>
    </row>
    <row r="1367" spans="1:15" ht="12.75" customHeight="1" x14ac:dyDescent="0.3">
      <c r="A1367" s="566"/>
      <c r="B1367" s="566"/>
      <c r="C1367" s="566" t="s">
        <v>1679</v>
      </c>
      <c r="D1367" s="566"/>
      <c r="E1367" s="566"/>
      <c r="F1367" s="566"/>
      <c r="G1367" s="567" t="s">
        <v>2377</v>
      </c>
      <c r="H1367" s="567" t="s">
        <v>866</v>
      </c>
      <c r="I1367" s="239" t="str">
        <f>IF(ISBLANK(continental!I410),"",continental!I410)</f>
        <v/>
      </c>
      <c r="K1367" s="262" t="s">
        <v>4241</v>
      </c>
      <c r="O1367" s="262" t="s">
        <v>4241</v>
      </c>
    </row>
    <row r="1368" spans="1:15" ht="12.75" customHeight="1" x14ac:dyDescent="0.3">
      <c r="A1368" s="566"/>
      <c r="B1368" s="566"/>
      <c r="C1368" s="566" t="s">
        <v>1641</v>
      </c>
      <c r="D1368" s="566"/>
      <c r="E1368" s="566"/>
      <c r="F1368" s="566"/>
      <c r="G1368" s="567" t="s">
        <v>2378</v>
      </c>
      <c r="H1368" s="567" t="s">
        <v>291</v>
      </c>
      <c r="I1368" s="239" t="str">
        <f>IF(ISBLANK(continental!I411),"",continental!I411)</f>
        <v/>
      </c>
      <c r="K1368" s="262" t="s">
        <v>4241</v>
      </c>
      <c r="O1368" s="262" t="s">
        <v>4241</v>
      </c>
    </row>
    <row r="1369" spans="1:15" ht="12.75" customHeight="1" x14ac:dyDescent="0.3">
      <c r="A1369" s="566"/>
      <c r="B1369" s="566"/>
      <c r="C1369" s="566" t="s">
        <v>1643</v>
      </c>
      <c r="D1369" s="566"/>
      <c r="E1369" s="566"/>
      <c r="F1369" s="566"/>
      <c r="G1369" s="567" t="s">
        <v>2379</v>
      </c>
      <c r="H1369" s="567" t="s">
        <v>291</v>
      </c>
      <c r="I1369" s="239" t="str">
        <f>IF(ISBLANK(continental!I412),"",continental!I412)</f>
        <v/>
      </c>
      <c r="K1369" s="262" t="s">
        <v>4241</v>
      </c>
      <c r="O1369" s="262" t="s">
        <v>4241</v>
      </c>
    </row>
    <row r="1370" spans="1:15" ht="12.75" customHeight="1" x14ac:dyDescent="0.3">
      <c r="A1370" s="566"/>
      <c r="B1370" s="566"/>
      <c r="C1370" s="566"/>
      <c r="D1370" s="566" t="s">
        <v>1686</v>
      </c>
      <c r="E1370" s="566"/>
      <c r="F1370" s="566"/>
      <c r="G1370" s="567" t="s">
        <v>2380</v>
      </c>
      <c r="H1370" s="567" t="s">
        <v>813</v>
      </c>
      <c r="I1370" s="239" t="str">
        <f>IF(ISBLANK(continental!I413),"",continental!I413)</f>
        <v/>
      </c>
      <c r="K1370" s="262" t="s">
        <v>4241</v>
      </c>
      <c r="O1370" s="262" t="s">
        <v>4241</v>
      </c>
    </row>
    <row r="1371" spans="1:15" ht="12.75" customHeight="1" x14ac:dyDescent="0.3">
      <c r="A1371" s="566"/>
      <c r="B1371" s="566"/>
      <c r="C1371" s="566"/>
      <c r="D1371" s="566" t="s">
        <v>1688</v>
      </c>
      <c r="E1371" s="566"/>
      <c r="F1371" s="566"/>
      <c r="G1371" s="567" t="s">
        <v>2381</v>
      </c>
      <c r="H1371" s="567" t="s">
        <v>813</v>
      </c>
      <c r="I1371" s="239" t="str">
        <f>IF(ISBLANK(continental!I414),"",continental!I414)</f>
        <v/>
      </c>
      <c r="K1371" s="262" t="s">
        <v>4241</v>
      </c>
      <c r="O1371" s="262" t="s">
        <v>4241</v>
      </c>
    </row>
    <row r="1372" spans="1:15" ht="12.75" customHeight="1" x14ac:dyDescent="0.3">
      <c r="A1372" s="566"/>
      <c r="B1372" s="566"/>
      <c r="C1372" s="566"/>
      <c r="D1372" s="566" t="s">
        <v>1690</v>
      </c>
      <c r="E1372" s="566"/>
      <c r="F1372" s="566"/>
      <c r="G1372" s="567" t="s">
        <v>2382</v>
      </c>
      <c r="H1372" s="567" t="s">
        <v>291</v>
      </c>
      <c r="I1372" s="239" t="str">
        <f>IF(ISBLANK(continental!I415),"",continental!I415)</f>
        <v/>
      </c>
      <c r="K1372" s="262" t="s">
        <v>4241</v>
      </c>
      <c r="O1372" s="262" t="s">
        <v>4241</v>
      </c>
    </row>
    <row r="1373" spans="1:15" ht="12.75" customHeight="1" x14ac:dyDescent="0.3">
      <c r="A1373" s="566"/>
      <c r="B1373" s="566"/>
      <c r="C1373" s="566" t="s">
        <v>1645</v>
      </c>
      <c r="D1373" s="566"/>
      <c r="E1373" s="566"/>
      <c r="F1373" s="566"/>
      <c r="G1373" s="567" t="s">
        <v>2383</v>
      </c>
      <c r="H1373" s="567" t="s">
        <v>291</v>
      </c>
      <c r="I1373" s="239" t="str">
        <f>IF(ISBLANK(continental!I416),"",continental!I416)</f>
        <v/>
      </c>
      <c r="K1373" s="262" t="s">
        <v>4241</v>
      </c>
      <c r="O1373" s="262" t="s">
        <v>4241</v>
      </c>
    </row>
    <row r="1374" spans="1:15" ht="12.75" customHeight="1" x14ac:dyDescent="0.3">
      <c r="A1374" s="566" t="s">
        <v>1706</v>
      </c>
      <c r="B1374" s="566"/>
      <c r="C1374" s="566"/>
      <c r="D1374" s="566"/>
      <c r="E1374" s="566"/>
      <c r="F1374" s="566"/>
      <c r="G1374" s="567" t="s">
        <v>2384</v>
      </c>
      <c r="H1374" s="567" t="s">
        <v>335</v>
      </c>
      <c r="I1374" s="239" t="str">
        <f>IF(ISBLANK(continental!I417),"",continental!I417)</f>
        <v/>
      </c>
      <c r="K1374" s="262" t="s">
        <v>4241</v>
      </c>
      <c r="O1374" s="262" t="s">
        <v>4241</v>
      </c>
    </row>
    <row r="1375" spans="1:15" ht="12.75" customHeight="1" x14ac:dyDescent="0.3">
      <c r="A1375" s="566"/>
      <c r="B1375" s="566" t="s">
        <v>1669</v>
      </c>
      <c r="C1375" s="566"/>
      <c r="D1375" s="566"/>
      <c r="E1375" s="566"/>
      <c r="F1375" s="566"/>
      <c r="G1375" s="567" t="s">
        <v>2385</v>
      </c>
      <c r="H1375" s="567" t="s">
        <v>866</v>
      </c>
      <c r="I1375" s="239" t="str">
        <f>IF(ISBLANK(continental!I418),"",continental!I418)</f>
        <v/>
      </c>
      <c r="K1375" s="262" t="s">
        <v>4241</v>
      </c>
      <c r="O1375" s="262" t="s">
        <v>4241</v>
      </c>
    </row>
    <row r="1376" spans="1:15" ht="12.75" customHeight="1" x14ac:dyDescent="0.3">
      <c r="A1376" s="566"/>
      <c r="B1376" s="566" t="s">
        <v>1671</v>
      </c>
      <c r="C1376" s="566"/>
      <c r="D1376" s="566"/>
      <c r="E1376" s="566"/>
      <c r="F1376" s="566"/>
      <c r="G1376" s="567" t="s">
        <v>2386</v>
      </c>
      <c r="H1376" s="567" t="s">
        <v>1673</v>
      </c>
      <c r="I1376" s="239" t="str">
        <f>IF(ISBLANK(continental!I419),"",continental!I419)</f>
        <v/>
      </c>
      <c r="K1376" s="262" t="s">
        <v>4241</v>
      </c>
      <c r="O1376" s="262" t="s">
        <v>4241</v>
      </c>
    </row>
    <row r="1377" spans="1:15" ht="12.75" customHeight="1" x14ac:dyDescent="0.3">
      <c r="A1377" s="566"/>
      <c r="B1377" s="566" t="s">
        <v>1676</v>
      </c>
      <c r="C1377" s="566"/>
      <c r="D1377" s="566"/>
      <c r="E1377" s="566"/>
      <c r="F1377" s="566"/>
      <c r="G1377" s="567" t="s">
        <v>2387</v>
      </c>
      <c r="H1377" s="567" t="s">
        <v>1673</v>
      </c>
      <c r="I1377" s="239" t="str">
        <f>IF(ISBLANK(continental!I420),"",continental!I420)</f>
        <v/>
      </c>
      <c r="K1377" s="262" t="s">
        <v>4241</v>
      </c>
      <c r="O1377" s="262" t="s">
        <v>4241</v>
      </c>
    </row>
    <row r="1378" spans="1:15" ht="12.75" customHeight="1" x14ac:dyDescent="0.3">
      <c r="A1378" s="566"/>
      <c r="B1378" s="566"/>
      <c r="C1378" s="566" t="s">
        <v>1679</v>
      </c>
      <c r="D1378" s="566"/>
      <c r="E1378" s="566"/>
      <c r="F1378" s="566"/>
      <c r="G1378" s="567" t="s">
        <v>2388</v>
      </c>
      <c r="H1378" s="567" t="s">
        <v>866</v>
      </c>
      <c r="I1378" s="239" t="str">
        <f>IF(ISBLANK(continental!I421),"",continental!I421)</f>
        <v/>
      </c>
      <c r="K1378" s="262" t="s">
        <v>4241</v>
      </c>
      <c r="O1378" s="262" t="s">
        <v>4241</v>
      </c>
    </row>
    <row r="1379" spans="1:15" ht="12.75" customHeight="1" x14ac:dyDescent="0.3">
      <c r="A1379" s="566"/>
      <c r="B1379" s="566"/>
      <c r="C1379" s="566" t="s">
        <v>1641</v>
      </c>
      <c r="D1379" s="566"/>
      <c r="E1379" s="566"/>
      <c r="F1379" s="566"/>
      <c r="G1379" s="567" t="s">
        <v>2389</v>
      </c>
      <c r="H1379" s="567" t="s">
        <v>291</v>
      </c>
      <c r="I1379" s="239" t="str">
        <f>IF(ISBLANK(continental!I422),"",continental!I422)</f>
        <v/>
      </c>
      <c r="K1379" s="262" t="s">
        <v>4241</v>
      </c>
      <c r="O1379" s="262" t="s">
        <v>4241</v>
      </c>
    </row>
    <row r="1380" spans="1:15" ht="12.75" customHeight="1" x14ac:dyDescent="0.3">
      <c r="A1380" s="566"/>
      <c r="B1380" s="566"/>
      <c r="C1380" s="566" t="s">
        <v>1643</v>
      </c>
      <c r="D1380" s="566"/>
      <c r="E1380" s="566"/>
      <c r="F1380" s="566"/>
      <c r="G1380" s="567" t="s">
        <v>2390</v>
      </c>
      <c r="H1380" s="567" t="s">
        <v>291</v>
      </c>
      <c r="I1380" s="239" t="str">
        <f>IF(ISBLANK(continental!I423),"",continental!I423)</f>
        <v/>
      </c>
      <c r="K1380" s="262" t="s">
        <v>4241</v>
      </c>
      <c r="O1380" s="262" t="s">
        <v>4241</v>
      </c>
    </row>
    <row r="1381" spans="1:15" ht="12.75" customHeight="1" x14ac:dyDescent="0.3">
      <c r="A1381" s="566"/>
      <c r="B1381" s="566"/>
      <c r="C1381" s="566"/>
      <c r="D1381" s="566" t="s">
        <v>1686</v>
      </c>
      <c r="E1381" s="566"/>
      <c r="F1381" s="566"/>
      <c r="G1381" s="567" t="s">
        <v>2391</v>
      </c>
      <c r="H1381" s="567" t="s">
        <v>813</v>
      </c>
      <c r="I1381" s="239" t="str">
        <f>IF(ISBLANK(continental!I424),"",continental!I424)</f>
        <v/>
      </c>
      <c r="K1381" s="262" t="s">
        <v>4241</v>
      </c>
      <c r="O1381" s="262" t="s">
        <v>4241</v>
      </c>
    </row>
    <row r="1382" spans="1:15" ht="12.75" customHeight="1" x14ac:dyDescent="0.3">
      <c r="A1382" s="566"/>
      <c r="B1382" s="566"/>
      <c r="C1382" s="566"/>
      <c r="D1382" s="566" t="s">
        <v>1688</v>
      </c>
      <c r="E1382" s="566"/>
      <c r="F1382" s="566"/>
      <c r="G1382" s="567" t="s">
        <v>2392</v>
      </c>
      <c r="H1382" s="567" t="s">
        <v>813</v>
      </c>
      <c r="I1382" s="239" t="str">
        <f>IF(ISBLANK(continental!I425),"",continental!I425)</f>
        <v/>
      </c>
      <c r="K1382" s="262" t="s">
        <v>4241</v>
      </c>
      <c r="O1382" s="262" t="s">
        <v>4241</v>
      </c>
    </row>
    <row r="1383" spans="1:15" ht="12.75" customHeight="1" x14ac:dyDescent="0.3">
      <c r="A1383" s="566"/>
      <c r="B1383" s="566"/>
      <c r="C1383" s="566"/>
      <c r="D1383" s="566" t="s">
        <v>1690</v>
      </c>
      <c r="E1383" s="566"/>
      <c r="F1383" s="566"/>
      <c r="G1383" s="567" t="s">
        <v>2393</v>
      </c>
      <c r="H1383" s="567" t="s">
        <v>291</v>
      </c>
      <c r="I1383" s="239" t="str">
        <f>IF(ISBLANK(continental!I426),"",continental!I426)</f>
        <v/>
      </c>
      <c r="K1383" s="262" t="s">
        <v>4241</v>
      </c>
      <c r="O1383" s="262" t="s">
        <v>4241</v>
      </c>
    </row>
    <row r="1384" spans="1:15" ht="12.75" customHeight="1" x14ac:dyDescent="0.3">
      <c r="A1384" s="566"/>
      <c r="B1384" s="566"/>
      <c r="C1384" s="566" t="s">
        <v>1645</v>
      </c>
      <c r="D1384" s="566"/>
      <c r="E1384" s="566"/>
      <c r="F1384" s="566"/>
      <c r="G1384" s="567" t="s">
        <v>2394</v>
      </c>
      <c r="H1384" s="567" t="s">
        <v>291</v>
      </c>
      <c r="I1384" s="239" t="str">
        <f>IF(ISBLANK(continental!I427),"",continental!I427)</f>
        <v/>
      </c>
      <c r="K1384" s="262" t="s">
        <v>4241</v>
      </c>
      <c r="O1384" s="262" t="s">
        <v>4241</v>
      </c>
    </row>
    <row r="1385" spans="1:15" ht="12.75" customHeight="1" x14ac:dyDescent="0.3">
      <c r="A1385" s="566" t="s">
        <v>1718</v>
      </c>
      <c r="B1385" s="566"/>
      <c r="C1385" s="566"/>
      <c r="D1385" s="566"/>
      <c r="E1385" s="566"/>
      <c r="F1385" s="566"/>
      <c r="G1385" s="567" t="s">
        <v>2395</v>
      </c>
      <c r="H1385" s="567" t="s">
        <v>335</v>
      </c>
      <c r="I1385" s="239" t="str">
        <f>IF(ISBLANK(continental!I428),"",continental!I428)</f>
        <v/>
      </c>
      <c r="K1385" s="262" t="s">
        <v>4241</v>
      </c>
      <c r="O1385" s="262" t="s">
        <v>4241</v>
      </c>
    </row>
    <row r="1386" spans="1:15" ht="12.75" customHeight="1" x14ac:dyDescent="0.3">
      <c r="A1386" s="566"/>
      <c r="B1386" s="566" t="s">
        <v>1669</v>
      </c>
      <c r="C1386" s="566"/>
      <c r="D1386" s="566"/>
      <c r="E1386" s="566"/>
      <c r="F1386" s="566"/>
      <c r="G1386" s="567" t="s">
        <v>2396</v>
      </c>
      <c r="H1386" s="567" t="s">
        <v>866</v>
      </c>
      <c r="I1386" s="239" t="str">
        <f>IF(ISBLANK(continental!I429),"",continental!I429)</f>
        <v/>
      </c>
      <c r="K1386" s="262" t="s">
        <v>4241</v>
      </c>
      <c r="O1386" s="262" t="s">
        <v>4241</v>
      </c>
    </row>
    <row r="1387" spans="1:15" ht="12.75" customHeight="1" x14ac:dyDescent="0.3">
      <c r="A1387" s="566"/>
      <c r="B1387" s="566" t="s">
        <v>1676</v>
      </c>
      <c r="C1387" s="566"/>
      <c r="D1387" s="566"/>
      <c r="E1387" s="566"/>
      <c r="F1387" s="566"/>
      <c r="G1387" s="567" t="s">
        <v>2397</v>
      </c>
      <c r="H1387" s="567" t="s">
        <v>1673</v>
      </c>
      <c r="I1387" s="239" t="str">
        <f>IF(ISBLANK(continental!I430),"",continental!I430)</f>
        <v/>
      </c>
      <c r="K1387" s="262" t="s">
        <v>4241</v>
      </c>
      <c r="O1387" s="262" t="s">
        <v>4241</v>
      </c>
    </row>
    <row r="1388" spans="1:15" ht="12.75" customHeight="1" x14ac:dyDescent="0.3">
      <c r="A1388" s="566"/>
      <c r="B1388" s="566"/>
      <c r="C1388" s="566" t="s">
        <v>1641</v>
      </c>
      <c r="D1388" s="566"/>
      <c r="E1388" s="566"/>
      <c r="F1388" s="566"/>
      <c r="G1388" s="567" t="s">
        <v>2398</v>
      </c>
      <c r="H1388" s="567" t="s">
        <v>291</v>
      </c>
      <c r="I1388" s="239" t="str">
        <f>IF(ISBLANK(continental!I431),"",continental!I431)</f>
        <v/>
      </c>
      <c r="K1388" s="262" t="s">
        <v>4241</v>
      </c>
      <c r="O1388" s="262" t="s">
        <v>4241</v>
      </c>
    </row>
    <row r="1389" spans="1:15" ht="12.75" customHeight="1" x14ac:dyDescent="0.3">
      <c r="A1389" s="566"/>
      <c r="B1389" s="566"/>
      <c r="C1389" s="566" t="s">
        <v>1643</v>
      </c>
      <c r="D1389" s="566"/>
      <c r="E1389" s="566"/>
      <c r="F1389" s="566"/>
      <c r="G1389" s="567" t="s">
        <v>2399</v>
      </c>
      <c r="H1389" s="567" t="s">
        <v>291</v>
      </c>
      <c r="I1389" s="239" t="str">
        <f>IF(ISBLANK(continental!I432),"",continental!I432)</f>
        <v/>
      </c>
      <c r="K1389" s="262" t="s">
        <v>4241</v>
      </c>
      <c r="O1389" s="262" t="s">
        <v>4241</v>
      </c>
    </row>
    <row r="1390" spans="1:15" ht="12.75" customHeight="1" x14ac:dyDescent="0.3">
      <c r="A1390" s="566"/>
      <c r="B1390" s="566"/>
      <c r="C1390" s="566" t="s">
        <v>1645</v>
      </c>
      <c r="D1390" s="566"/>
      <c r="E1390" s="566"/>
      <c r="F1390" s="566"/>
      <c r="G1390" s="567" t="s">
        <v>2400</v>
      </c>
      <c r="H1390" s="567" t="s">
        <v>291</v>
      </c>
      <c r="I1390" s="239" t="str">
        <f>IF(ISBLANK(continental!I433),"",continental!I433)</f>
        <v/>
      </c>
      <c r="K1390" s="262" t="s">
        <v>4241</v>
      </c>
      <c r="O1390" s="262" t="s">
        <v>4241</v>
      </c>
    </row>
    <row r="1391" spans="1:15" ht="12.75" customHeight="1" x14ac:dyDescent="0.3">
      <c r="A1391" s="566" t="s">
        <v>1725</v>
      </c>
      <c r="B1391" s="566"/>
      <c r="C1391" s="566"/>
      <c r="D1391" s="566"/>
      <c r="E1391" s="566"/>
      <c r="F1391" s="566"/>
      <c r="G1391" s="567" t="s">
        <v>2401</v>
      </c>
      <c r="H1391" s="567" t="s">
        <v>335</v>
      </c>
      <c r="I1391" s="239" t="str">
        <f>IF(ISBLANK(continental!I434),"",continental!I434)</f>
        <v/>
      </c>
      <c r="K1391" s="262" t="s">
        <v>4241</v>
      </c>
      <c r="O1391" s="262" t="s">
        <v>4241</v>
      </c>
    </row>
    <row r="1392" spans="1:15" ht="12.75" customHeight="1" x14ac:dyDescent="0.3">
      <c r="A1392" s="566"/>
      <c r="B1392" s="566" t="s">
        <v>1669</v>
      </c>
      <c r="C1392" s="566"/>
      <c r="D1392" s="566"/>
      <c r="E1392" s="566"/>
      <c r="F1392" s="566"/>
      <c r="G1392" s="567" t="s">
        <v>2402</v>
      </c>
      <c r="H1392" s="567" t="s">
        <v>866</v>
      </c>
      <c r="I1392" s="239" t="str">
        <f>IF(ISBLANK(continental!I435),"",continental!I435)</f>
        <v/>
      </c>
      <c r="K1392" s="262" t="s">
        <v>4241</v>
      </c>
      <c r="O1392" s="262" t="s">
        <v>4241</v>
      </c>
    </row>
    <row r="1393" spans="1:15" ht="12.75" customHeight="1" x14ac:dyDescent="0.3">
      <c r="A1393" s="566"/>
      <c r="B1393" s="566" t="s">
        <v>1676</v>
      </c>
      <c r="C1393" s="566"/>
      <c r="D1393" s="566"/>
      <c r="E1393" s="566"/>
      <c r="F1393" s="566"/>
      <c r="G1393" s="567" t="s">
        <v>2403</v>
      </c>
      <c r="H1393" s="567" t="s">
        <v>1673</v>
      </c>
      <c r="I1393" s="239" t="str">
        <f>IF(ISBLANK(continental!I436),"",continental!I436)</f>
        <v/>
      </c>
      <c r="K1393" s="262" t="s">
        <v>4241</v>
      </c>
      <c r="O1393" s="262" t="s">
        <v>4241</v>
      </c>
    </row>
    <row r="1394" spans="1:15" ht="12.75" customHeight="1" x14ac:dyDescent="0.3">
      <c r="A1394" s="566"/>
      <c r="B1394" s="566"/>
      <c r="C1394" s="566" t="s">
        <v>1641</v>
      </c>
      <c r="D1394" s="566"/>
      <c r="E1394" s="566"/>
      <c r="F1394" s="566"/>
      <c r="G1394" s="567" t="s">
        <v>2404</v>
      </c>
      <c r="H1394" s="567" t="s">
        <v>291</v>
      </c>
      <c r="I1394" s="239" t="str">
        <f>IF(ISBLANK(continental!I437),"",continental!I437)</f>
        <v/>
      </c>
      <c r="K1394" s="262" t="s">
        <v>4241</v>
      </c>
      <c r="O1394" s="262" t="s">
        <v>4241</v>
      </c>
    </row>
    <row r="1395" spans="1:15" ht="12.75" customHeight="1" x14ac:dyDescent="0.3">
      <c r="A1395" s="566"/>
      <c r="B1395" s="566"/>
      <c r="C1395" s="566" t="s">
        <v>1643</v>
      </c>
      <c r="D1395" s="566"/>
      <c r="E1395" s="566"/>
      <c r="F1395" s="566"/>
      <c r="G1395" s="567" t="s">
        <v>2405</v>
      </c>
      <c r="H1395" s="567" t="s">
        <v>291</v>
      </c>
      <c r="I1395" s="239" t="str">
        <f>IF(ISBLANK(continental!I438),"",continental!I438)</f>
        <v/>
      </c>
      <c r="K1395" s="262" t="s">
        <v>4241</v>
      </c>
      <c r="O1395" s="262" t="s">
        <v>4241</v>
      </c>
    </row>
    <row r="1396" spans="1:15" ht="12.75" customHeight="1" x14ac:dyDescent="0.3">
      <c r="A1396" s="566"/>
      <c r="B1396" s="566"/>
      <c r="C1396" s="566" t="s">
        <v>1645</v>
      </c>
      <c r="D1396" s="566"/>
      <c r="E1396" s="566"/>
      <c r="F1396" s="566"/>
      <c r="G1396" s="567" t="s">
        <v>2406</v>
      </c>
      <c r="H1396" s="567" t="s">
        <v>291</v>
      </c>
      <c r="I1396" s="239" t="str">
        <f>IF(ISBLANK(continental!I439),"",continental!I439)</f>
        <v/>
      </c>
      <c r="K1396" s="262" t="s">
        <v>4241</v>
      </c>
      <c r="O1396" s="262" t="s">
        <v>4241</v>
      </c>
    </row>
    <row r="1397" spans="1:15" ht="12.75" customHeight="1" x14ac:dyDescent="0.3">
      <c r="A1397" s="566" t="s">
        <v>1732</v>
      </c>
      <c r="B1397" s="566"/>
      <c r="C1397" s="566"/>
      <c r="D1397" s="566"/>
      <c r="E1397" s="566"/>
      <c r="F1397" s="566"/>
      <c r="G1397" s="567" t="s">
        <v>2407</v>
      </c>
      <c r="H1397" s="567" t="s">
        <v>335</v>
      </c>
      <c r="I1397" s="239" t="str">
        <f>IF(ISBLANK(continental!I440),"",continental!I440)</f>
        <v/>
      </c>
      <c r="K1397" s="262" t="s">
        <v>4241</v>
      </c>
      <c r="O1397" s="262" t="s">
        <v>4241</v>
      </c>
    </row>
    <row r="1398" spans="1:15" ht="12.75" customHeight="1" x14ac:dyDescent="0.3">
      <c r="A1398" s="566"/>
      <c r="B1398" s="566" t="s">
        <v>1669</v>
      </c>
      <c r="C1398" s="566"/>
      <c r="D1398" s="566"/>
      <c r="E1398" s="566"/>
      <c r="F1398" s="566"/>
      <c r="G1398" s="567" t="s">
        <v>2408</v>
      </c>
      <c r="H1398" s="567" t="s">
        <v>866</v>
      </c>
      <c r="I1398" s="239" t="str">
        <f>IF(ISBLANK(continental!I441),"",continental!I441)</f>
        <v/>
      </c>
      <c r="K1398" s="262" t="s">
        <v>4241</v>
      </c>
      <c r="O1398" s="262" t="s">
        <v>4241</v>
      </c>
    </row>
    <row r="1399" spans="1:15" ht="12.75" customHeight="1" x14ac:dyDescent="0.3">
      <c r="A1399" s="566"/>
      <c r="B1399" s="566" t="s">
        <v>1676</v>
      </c>
      <c r="C1399" s="566"/>
      <c r="D1399" s="566"/>
      <c r="E1399" s="566"/>
      <c r="F1399" s="566"/>
      <c r="G1399" s="567" t="s">
        <v>2409</v>
      </c>
      <c r="H1399" s="567" t="s">
        <v>1673</v>
      </c>
      <c r="I1399" s="239" t="str">
        <f>IF(ISBLANK(continental!I442),"",continental!I442)</f>
        <v/>
      </c>
      <c r="K1399" s="262" t="s">
        <v>4241</v>
      </c>
      <c r="O1399" s="262" t="s">
        <v>4241</v>
      </c>
    </row>
    <row r="1400" spans="1:15" ht="12.75" customHeight="1" x14ac:dyDescent="0.3">
      <c r="A1400" s="566"/>
      <c r="B1400" s="566"/>
      <c r="C1400" s="566" t="s">
        <v>1641</v>
      </c>
      <c r="D1400" s="566"/>
      <c r="E1400" s="566"/>
      <c r="F1400" s="566"/>
      <c r="G1400" s="567" t="s">
        <v>2410</v>
      </c>
      <c r="H1400" s="567" t="s">
        <v>291</v>
      </c>
      <c r="I1400" s="239" t="str">
        <f>IF(ISBLANK(continental!I443),"",continental!I443)</f>
        <v/>
      </c>
      <c r="K1400" s="262" t="s">
        <v>4241</v>
      </c>
      <c r="O1400" s="262" t="s">
        <v>4241</v>
      </c>
    </row>
    <row r="1401" spans="1:15" ht="12.75" customHeight="1" x14ac:dyDescent="0.3">
      <c r="A1401" s="566"/>
      <c r="B1401" s="566"/>
      <c r="C1401" s="566" t="s">
        <v>1643</v>
      </c>
      <c r="D1401" s="566"/>
      <c r="E1401" s="566"/>
      <c r="F1401" s="566"/>
      <c r="G1401" s="567" t="s">
        <v>2411</v>
      </c>
      <c r="H1401" s="567" t="s">
        <v>291</v>
      </c>
      <c r="I1401" s="239" t="str">
        <f>IF(ISBLANK(continental!I444),"",continental!I444)</f>
        <v/>
      </c>
      <c r="K1401" s="262" t="s">
        <v>4241</v>
      </c>
      <c r="O1401" s="262" t="s">
        <v>4241</v>
      </c>
    </row>
    <row r="1402" spans="1:15" ht="12.75" customHeight="1" x14ac:dyDescent="0.3">
      <c r="A1402" s="566"/>
      <c r="B1402" s="566"/>
      <c r="C1402" s="566" t="s">
        <v>1645</v>
      </c>
      <c r="D1402" s="566"/>
      <c r="E1402" s="566"/>
      <c r="F1402" s="566"/>
      <c r="G1402" s="567" t="s">
        <v>2412</v>
      </c>
      <c r="H1402" s="567" t="s">
        <v>291</v>
      </c>
      <c r="I1402" s="239" t="str">
        <f>IF(ISBLANK(continental!I445),"",continental!I445)</f>
        <v/>
      </c>
      <c r="K1402" s="262" t="s">
        <v>4241</v>
      </c>
      <c r="O1402" s="262" t="s">
        <v>4241</v>
      </c>
    </row>
    <row r="1403" spans="1:15" ht="12.75" customHeight="1" x14ac:dyDescent="0.3">
      <c r="A1403" s="566" t="s">
        <v>1739</v>
      </c>
      <c r="B1403" s="566"/>
      <c r="C1403" s="566"/>
      <c r="D1403" s="566"/>
      <c r="E1403" s="566"/>
      <c r="F1403" s="566"/>
      <c r="G1403" s="567" t="s">
        <v>2413</v>
      </c>
      <c r="H1403" s="567" t="s">
        <v>335</v>
      </c>
      <c r="I1403" s="239" t="str">
        <f>IF(ISBLANK(continental!I446),"",continental!I446)</f>
        <v/>
      </c>
      <c r="K1403" s="262" t="s">
        <v>4241</v>
      </c>
      <c r="O1403" s="262" t="s">
        <v>4241</v>
      </c>
    </row>
    <row r="1404" spans="1:15" ht="12.75" customHeight="1" x14ac:dyDescent="0.3">
      <c r="A1404" s="566" t="s">
        <v>1742</v>
      </c>
      <c r="B1404" s="566"/>
      <c r="C1404" s="566"/>
      <c r="D1404" s="566"/>
      <c r="E1404" s="566"/>
      <c r="F1404" s="566"/>
      <c r="G1404" s="567" t="s">
        <v>2415</v>
      </c>
      <c r="H1404" s="567" t="s">
        <v>335</v>
      </c>
      <c r="I1404" s="239" t="str">
        <f>IF(ISBLANK(continental!I447),"",continental!I447)</f>
        <v/>
      </c>
      <c r="K1404" s="262" t="s">
        <v>4241</v>
      </c>
      <c r="O1404" s="262" t="s">
        <v>4241</v>
      </c>
    </row>
    <row r="1405" spans="1:15" ht="12.75" customHeight="1" x14ac:dyDescent="0.3">
      <c r="A1405" s="566" t="s">
        <v>1744</v>
      </c>
      <c r="B1405" s="566"/>
      <c r="C1405" s="566"/>
      <c r="D1405" s="566"/>
      <c r="E1405" s="566"/>
      <c r="F1405" s="566"/>
      <c r="G1405" s="567" t="s">
        <v>2416</v>
      </c>
      <c r="H1405" s="567" t="s">
        <v>335</v>
      </c>
      <c r="I1405" s="239" t="str">
        <f>IF(ISBLANK(continental!I448),"",continental!I448)</f>
        <v/>
      </c>
      <c r="K1405" s="262" t="s">
        <v>4241</v>
      </c>
      <c r="O1405" s="262" t="s">
        <v>4241</v>
      </c>
    </row>
    <row r="1406" spans="1:15" ht="12.75" customHeight="1" x14ac:dyDescent="0.3">
      <c r="A1406" s="566" t="s">
        <v>1746</v>
      </c>
      <c r="B1406" s="566"/>
      <c r="C1406" s="566"/>
      <c r="D1406" s="566"/>
      <c r="E1406" s="566"/>
      <c r="F1406" s="566"/>
      <c r="G1406" s="567" t="s">
        <v>2417</v>
      </c>
      <c r="H1406" s="567" t="s">
        <v>335</v>
      </c>
      <c r="I1406" s="239" t="str">
        <f>IF(ISBLANK(continental!I449),"",continental!I449)</f>
        <v/>
      </c>
      <c r="K1406" s="262" t="s">
        <v>4241</v>
      </c>
      <c r="O1406" s="262" t="s">
        <v>4241</v>
      </c>
    </row>
    <row r="1407" spans="1:15" ht="12.75" customHeight="1" x14ac:dyDescent="0.3">
      <c r="A1407" s="566"/>
      <c r="B1407" s="566" t="s">
        <v>1669</v>
      </c>
      <c r="C1407" s="566"/>
      <c r="D1407" s="566"/>
      <c r="E1407" s="566"/>
      <c r="F1407" s="566"/>
      <c r="G1407" s="567" t="s">
        <v>2418</v>
      </c>
      <c r="H1407" s="567" t="s">
        <v>866</v>
      </c>
      <c r="I1407" s="239" t="str">
        <f>IF(ISBLANK(continental!I450),"",continental!I450)</f>
        <v/>
      </c>
      <c r="K1407" s="262" t="s">
        <v>4241</v>
      </c>
      <c r="O1407" s="262" t="s">
        <v>4241</v>
      </c>
    </row>
    <row r="1408" spans="1:15" ht="12.75" customHeight="1" x14ac:dyDescent="0.3">
      <c r="A1408" s="566"/>
      <c r="B1408" s="566"/>
      <c r="C1408" s="566" t="s">
        <v>1749</v>
      </c>
      <c r="D1408" s="566"/>
      <c r="E1408" s="566"/>
      <c r="F1408" s="566"/>
      <c r="G1408" s="566" t="s">
        <v>2419</v>
      </c>
      <c r="H1408" s="567" t="s">
        <v>1673</v>
      </c>
      <c r="I1408" s="239" t="str">
        <f>IF(ISBLANK(continental!I451),"",continental!I451)</f>
        <v/>
      </c>
      <c r="K1408" s="262" t="s">
        <v>4241</v>
      </c>
      <c r="O1408" s="262" t="s">
        <v>4241</v>
      </c>
    </row>
    <row r="1409" spans="1:15" ht="12.75" customHeight="1" x14ac:dyDescent="0.3">
      <c r="A1409" s="566"/>
      <c r="B1409" s="566"/>
      <c r="C1409" s="566" t="s">
        <v>1751</v>
      </c>
      <c r="D1409" s="566"/>
      <c r="E1409" s="566"/>
      <c r="F1409" s="566"/>
      <c r="G1409" s="567" t="s">
        <v>2420</v>
      </c>
      <c r="H1409" s="567" t="s">
        <v>1673</v>
      </c>
      <c r="I1409" s="239" t="str">
        <f>IF(ISBLANK(continental!I452),"",continental!I452)</f>
        <v/>
      </c>
      <c r="K1409" s="262" t="s">
        <v>4241</v>
      </c>
      <c r="O1409" s="262" t="s">
        <v>4241</v>
      </c>
    </row>
    <row r="1410" spans="1:15" ht="12.75" customHeight="1" x14ac:dyDescent="0.3">
      <c r="A1410" s="566"/>
      <c r="B1410" s="566"/>
      <c r="C1410" s="566" t="s">
        <v>1753</v>
      </c>
      <c r="D1410" s="566"/>
      <c r="E1410" s="566"/>
      <c r="F1410" s="566"/>
      <c r="G1410" s="567" t="s">
        <v>2421</v>
      </c>
      <c r="H1410" s="567" t="s">
        <v>866</v>
      </c>
      <c r="I1410" s="239" t="str">
        <f>IF(ISBLANK(continental!I453),"",continental!I453)</f>
        <v/>
      </c>
      <c r="K1410" s="262" t="s">
        <v>4241</v>
      </c>
      <c r="O1410" s="262" t="s">
        <v>4241</v>
      </c>
    </row>
    <row r="1411" spans="1:15" ht="12.75" customHeight="1" x14ac:dyDescent="0.3">
      <c r="A1411" s="566"/>
      <c r="B1411" s="566"/>
      <c r="C1411" s="566"/>
      <c r="D1411" s="566" t="s">
        <v>1641</v>
      </c>
      <c r="E1411" s="566"/>
      <c r="F1411" s="566"/>
      <c r="G1411" s="567" t="s">
        <v>2422</v>
      </c>
      <c r="H1411" s="567" t="s">
        <v>291</v>
      </c>
      <c r="I1411" s="239" t="str">
        <f>IF(ISBLANK(continental!I454),"",continental!I454)</f>
        <v/>
      </c>
      <c r="K1411" s="262" t="s">
        <v>4241</v>
      </c>
      <c r="O1411" s="262" t="s">
        <v>4241</v>
      </c>
    </row>
    <row r="1412" spans="1:15" ht="12.75" customHeight="1" x14ac:dyDescent="0.3">
      <c r="A1412" s="566"/>
      <c r="B1412" s="566"/>
      <c r="C1412" s="566"/>
      <c r="D1412" s="566" t="s">
        <v>1645</v>
      </c>
      <c r="E1412" s="566"/>
      <c r="F1412" s="566"/>
      <c r="G1412" s="567" t="s">
        <v>2423</v>
      </c>
      <c r="H1412" s="567" t="s">
        <v>291</v>
      </c>
      <c r="I1412" s="239" t="str">
        <f>IF(ISBLANK(continental!I455),"",continental!I455)</f>
        <v/>
      </c>
      <c r="K1412" s="262" t="s">
        <v>4241</v>
      </c>
      <c r="O1412" s="262" t="s">
        <v>4241</v>
      </c>
    </row>
    <row r="1413" spans="1:15" ht="12.75" customHeight="1" x14ac:dyDescent="0.3">
      <c r="A1413" s="566" t="s">
        <v>1757</v>
      </c>
      <c r="B1413" s="566"/>
      <c r="C1413" s="566"/>
      <c r="D1413" s="566"/>
      <c r="E1413" s="566"/>
      <c r="F1413" s="566"/>
      <c r="G1413" s="567" t="s">
        <v>2424</v>
      </c>
      <c r="H1413" s="567" t="s">
        <v>335</v>
      </c>
      <c r="I1413" s="239" t="str">
        <f>IF(ISBLANK(continental!I456),"",continental!I456)</f>
        <v/>
      </c>
      <c r="K1413" s="262" t="s">
        <v>4241</v>
      </c>
      <c r="O1413" s="262" t="s">
        <v>4241</v>
      </c>
    </row>
    <row r="1414" spans="1:15" ht="12.75" customHeight="1" x14ac:dyDescent="0.3">
      <c r="A1414" s="566"/>
      <c r="B1414" s="566" t="s">
        <v>1669</v>
      </c>
      <c r="C1414" s="566"/>
      <c r="D1414" s="566"/>
      <c r="E1414" s="566"/>
      <c r="F1414" s="566"/>
      <c r="G1414" s="567" t="s">
        <v>2425</v>
      </c>
      <c r="H1414" s="567" t="s">
        <v>866</v>
      </c>
      <c r="I1414" s="239" t="str">
        <f>IF(ISBLANK(continental!I457),"",continental!I457)</f>
        <v/>
      </c>
      <c r="K1414" s="262" t="s">
        <v>4241</v>
      </c>
      <c r="O1414" s="262" t="s">
        <v>4241</v>
      </c>
    </row>
    <row r="1415" spans="1:15" ht="12.75" customHeight="1" x14ac:dyDescent="0.3">
      <c r="A1415" s="566"/>
      <c r="B1415" s="566"/>
      <c r="C1415" s="566" t="s">
        <v>1760</v>
      </c>
      <c r="D1415" s="566"/>
      <c r="E1415" s="566"/>
      <c r="F1415" s="566"/>
      <c r="G1415" s="566" t="s">
        <v>2426</v>
      </c>
      <c r="H1415" s="567" t="s">
        <v>1673</v>
      </c>
      <c r="I1415" s="239" t="str">
        <f>IF(ISBLANK(continental!I458),"",continental!I458)</f>
        <v/>
      </c>
      <c r="K1415" s="262" t="s">
        <v>4241</v>
      </c>
      <c r="O1415" s="262" t="s">
        <v>4241</v>
      </c>
    </row>
    <row r="1416" spans="1:15" ht="12.75" customHeight="1" x14ac:dyDescent="0.3">
      <c r="A1416" s="566" t="s">
        <v>1762</v>
      </c>
      <c r="B1416" s="566"/>
      <c r="C1416" s="566"/>
      <c r="D1416" s="566"/>
      <c r="E1416" s="566"/>
      <c r="F1416" s="566"/>
      <c r="G1416" s="567" t="s">
        <v>2427</v>
      </c>
      <c r="H1416" s="567" t="s">
        <v>335</v>
      </c>
      <c r="I1416" s="239" t="str">
        <f>IF(ISBLANK(continental!I459),"",continental!I459)</f>
        <v/>
      </c>
      <c r="K1416" s="262" t="s">
        <v>4241</v>
      </c>
      <c r="O1416" s="262" t="s">
        <v>4241</v>
      </c>
    </row>
    <row r="1417" spans="1:15" ht="12.75" customHeight="1" x14ac:dyDescent="0.3">
      <c r="A1417" s="566"/>
      <c r="B1417" s="566" t="s">
        <v>1669</v>
      </c>
      <c r="C1417" s="566"/>
      <c r="D1417" s="566"/>
      <c r="E1417" s="566"/>
      <c r="F1417" s="566"/>
      <c r="G1417" s="567" t="s">
        <v>2428</v>
      </c>
      <c r="H1417" s="567" t="s">
        <v>866</v>
      </c>
      <c r="I1417" s="239" t="str">
        <f>IF(ISBLANK(continental!I460),"",continental!I460)</f>
        <v/>
      </c>
      <c r="K1417" s="262" t="s">
        <v>4241</v>
      </c>
      <c r="O1417" s="262" t="s">
        <v>4241</v>
      </c>
    </row>
    <row r="1418" spans="1:15" ht="12.75" customHeight="1" x14ac:dyDescent="0.3">
      <c r="A1418" s="566"/>
      <c r="B1418" s="566"/>
      <c r="C1418" s="566" t="s">
        <v>1765</v>
      </c>
      <c r="D1418" s="566"/>
      <c r="E1418" s="566"/>
      <c r="F1418" s="566"/>
      <c r="G1418" s="566" t="s">
        <v>2429</v>
      </c>
      <c r="H1418" s="567" t="s">
        <v>1673</v>
      </c>
      <c r="I1418" s="239" t="str">
        <f>IF(ISBLANK(continental!I461),"",continental!I461)</f>
        <v/>
      </c>
      <c r="K1418" s="262" t="s">
        <v>4241</v>
      </c>
      <c r="O1418" s="262" t="s">
        <v>4241</v>
      </c>
    </row>
    <row r="1419" spans="1:15" ht="12.75" customHeight="1" x14ac:dyDescent="0.3">
      <c r="A1419" s="566" t="s">
        <v>1767</v>
      </c>
      <c r="B1419" s="566"/>
      <c r="C1419" s="566"/>
      <c r="D1419" s="566"/>
      <c r="E1419" s="566"/>
      <c r="F1419" s="566"/>
      <c r="G1419" s="566" t="s">
        <v>2430</v>
      </c>
      <c r="H1419" s="567" t="s">
        <v>335</v>
      </c>
      <c r="I1419" s="239" t="str">
        <f>IF(ISBLANK(continental!I462),"",continental!I462)</f>
        <v/>
      </c>
      <c r="K1419" s="262" t="s">
        <v>4241</v>
      </c>
      <c r="O1419" s="262" t="s">
        <v>4241</v>
      </c>
    </row>
    <row r="1420" spans="1:15" ht="12.75" customHeight="1" x14ac:dyDescent="0.3">
      <c r="A1420" s="566"/>
      <c r="B1420" s="566" t="s">
        <v>1669</v>
      </c>
      <c r="C1420" s="566"/>
      <c r="D1420" s="566"/>
      <c r="E1420" s="566"/>
      <c r="F1420" s="566"/>
      <c r="G1420" s="567" t="s">
        <v>2431</v>
      </c>
      <c r="H1420" s="567" t="s">
        <v>866</v>
      </c>
      <c r="I1420" s="239" t="str">
        <f>IF(ISBLANK(continental!I463),"",continental!I463)</f>
        <v/>
      </c>
      <c r="K1420" s="262" t="s">
        <v>4241</v>
      </c>
      <c r="O1420" s="262" t="s">
        <v>4241</v>
      </c>
    </row>
    <row r="1421" spans="1:15" ht="12.75" customHeight="1" x14ac:dyDescent="0.3">
      <c r="A1421" s="566"/>
      <c r="B1421" s="566"/>
      <c r="C1421" s="566" t="s">
        <v>1751</v>
      </c>
      <c r="D1421" s="566"/>
      <c r="E1421" s="566"/>
      <c r="F1421" s="566"/>
      <c r="G1421" s="567" t="s">
        <v>2432</v>
      </c>
      <c r="H1421" s="567" t="s">
        <v>1673</v>
      </c>
      <c r="I1421" s="239" t="str">
        <f>IF(ISBLANK(continental!I464),"",continental!I464)</f>
        <v/>
      </c>
      <c r="K1421" s="262" t="s">
        <v>4241</v>
      </c>
      <c r="O1421" s="262" t="s">
        <v>4241</v>
      </c>
    </row>
    <row r="1422" spans="1:15" ht="12.75" customHeight="1" x14ac:dyDescent="0.3">
      <c r="A1422" s="566"/>
      <c r="B1422" s="566"/>
      <c r="C1422" s="566"/>
      <c r="D1422" s="566" t="s">
        <v>1641</v>
      </c>
      <c r="E1422" s="566"/>
      <c r="F1422" s="566"/>
      <c r="G1422" s="567" t="s">
        <v>2433</v>
      </c>
      <c r="H1422" s="567" t="s">
        <v>291</v>
      </c>
      <c r="I1422" s="239" t="str">
        <f>IF(ISBLANK(continental!I465),"",continental!I465)</f>
        <v/>
      </c>
      <c r="K1422" s="262" t="s">
        <v>4241</v>
      </c>
      <c r="O1422" s="262" t="s">
        <v>4241</v>
      </c>
    </row>
    <row r="1423" spans="1:15" ht="12.75" customHeight="1" x14ac:dyDescent="0.3">
      <c r="A1423" s="566"/>
      <c r="B1423" s="566"/>
      <c r="C1423" s="566"/>
      <c r="D1423" s="566" t="s">
        <v>1645</v>
      </c>
      <c r="E1423" s="566"/>
      <c r="F1423" s="566"/>
      <c r="G1423" s="567" t="s">
        <v>2434</v>
      </c>
      <c r="H1423" s="567" t="s">
        <v>291</v>
      </c>
      <c r="I1423" s="239" t="str">
        <f>IF(ISBLANK(continental!I466),"",continental!I466)</f>
        <v/>
      </c>
      <c r="K1423" s="262" t="s">
        <v>4241</v>
      </c>
      <c r="O1423" s="262" t="s">
        <v>4241</v>
      </c>
    </row>
    <row r="1424" spans="1:15" ht="12.75" customHeight="1" x14ac:dyDescent="0.3">
      <c r="A1424" s="566" t="s">
        <v>1774</v>
      </c>
      <c r="B1424" s="566"/>
      <c r="C1424" s="566"/>
      <c r="D1424" s="566"/>
      <c r="E1424" s="566"/>
      <c r="F1424" s="566"/>
      <c r="G1424" s="566" t="s">
        <v>2435</v>
      </c>
      <c r="H1424" s="567" t="s">
        <v>335</v>
      </c>
      <c r="I1424" s="239" t="str">
        <f>IF(ISBLANK(continental!I467),"",continental!I467)</f>
        <v/>
      </c>
      <c r="K1424" s="262" t="s">
        <v>4241</v>
      </c>
      <c r="O1424" s="262" t="s">
        <v>4241</v>
      </c>
    </row>
    <row r="1425" spans="1:15" ht="12.75" customHeight="1" x14ac:dyDescent="0.3">
      <c r="A1425" s="566"/>
      <c r="B1425" s="566" t="s">
        <v>1669</v>
      </c>
      <c r="C1425" s="566"/>
      <c r="D1425" s="566"/>
      <c r="E1425" s="566"/>
      <c r="F1425" s="566"/>
      <c r="G1425" s="567" t="s">
        <v>2436</v>
      </c>
      <c r="H1425" s="567" t="s">
        <v>866</v>
      </c>
      <c r="I1425" s="239" t="str">
        <f>IF(ISBLANK(continental!I468),"",continental!I468)</f>
        <v/>
      </c>
      <c r="K1425" s="262" t="s">
        <v>4241</v>
      </c>
      <c r="O1425" s="262" t="s">
        <v>4241</v>
      </c>
    </row>
    <row r="1426" spans="1:15" ht="12.75" customHeight="1" x14ac:dyDescent="0.3">
      <c r="A1426" s="566" t="s">
        <v>1777</v>
      </c>
      <c r="B1426" s="566"/>
      <c r="C1426" s="566"/>
      <c r="D1426" s="566"/>
      <c r="E1426" s="566"/>
      <c r="F1426" s="566"/>
      <c r="G1426" s="566" t="s">
        <v>2437</v>
      </c>
      <c r="H1426" s="567" t="s">
        <v>335</v>
      </c>
      <c r="I1426" s="239" t="str">
        <f>IF(ISBLANK(continental!I469),"",continental!I469)</f>
        <v/>
      </c>
      <c r="K1426" s="262" t="s">
        <v>4241</v>
      </c>
      <c r="O1426" s="262" t="s">
        <v>4241</v>
      </c>
    </row>
    <row r="1427" spans="1:15" ht="12.75" customHeight="1" x14ac:dyDescent="0.3">
      <c r="A1427" s="566"/>
      <c r="B1427" s="566" t="s">
        <v>1669</v>
      </c>
      <c r="C1427" s="566"/>
      <c r="D1427" s="566"/>
      <c r="E1427" s="566"/>
      <c r="F1427" s="566"/>
      <c r="G1427" s="567" t="s">
        <v>2438</v>
      </c>
      <c r="H1427" s="567" t="s">
        <v>866</v>
      </c>
      <c r="I1427" s="239" t="str">
        <f>IF(ISBLANK(continental!I470),"",continental!I470)</f>
        <v/>
      </c>
      <c r="K1427" s="262" t="s">
        <v>4241</v>
      </c>
      <c r="O1427" s="262" t="s">
        <v>4241</v>
      </c>
    </row>
    <row r="1428" spans="1:15" ht="12.75" customHeight="1" x14ac:dyDescent="0.3">
      <c r="A1428" s="566" t="s">
        <v>1780</v>
      </c>
      <c r="B1428" s="566"/>
      <c r="C1428" s="566"/>
      <c r="D1428" s="566"/>
      <c r="E1428" s="566"/>
      <c r="F1428" s="566"/>
      <c r="G1428" s="566" t="s">
        <v>2439</v>
      </c>
      <c r="H1428" s="567" t="s">
        <v>335</v>
      </c>
      <c r="I1428" s="239" t="str">
        <f>IF(ISBLANK(continental!I471),"",continental!I471)</f>
        <v/>
      </c>
      <c r="K1428" s="262" t="s">
        <v>4241</v>
      </c>
      <c r="O1428" s="262" t="s">
        <v>4241</v>
      </c>
    </row>
    <row r="1429" spans="1:15" ht="12.75" customHeight="1" x14ac:dyDescent="0.3">
      <c r="A1429" s="566" t="s">
        <v>1782</v>
      </c>
      <c r="B1429" s="566"/>
      <c r="C1429" s="566"/>
      <c r="D1429" s="566"/>
      <c r="E1429" s="566"/>
      <c r="F1429" s="566"/>
      <c r="G1429" s="566" t="s">
        <v>2440</v>
      </c>
      <c r="H1429" s="567" t="s">
        <v>335</v>
      </c>
      <c r="I1429" s="239" t="str">
        <f>IF(ISBLANK(continental!I472),"",continental!I472)</f>
        <v/>
      </c>
      <c r="K1429" s="262" t="s">
        <v>4241</v>
      </c>
      <c r="O1429" s="262" t="s">
        <v>4241</v>
      </c>
    </row>
    <row r="1430" spans="1:15" ht="12.75" customHeight="1" x14ac:dyDescent="0.3">
      <c r="A1430" s="566" t="s">
        <v>1784</v>
      </c>
      <c r="B1430" s="566"/>
      <c r="C1430" s="566"/>
      <c r="D1430" s="566"/>
      <c r="E1430" s="566"/>
      <c r="F1430" s="566"/>
      <c r="G1430" s="566" t="s">
        <v>2441</v>
      </c>
      <c r="H1430" s="567" t="s">
        <v>335</v>
      </c>
      <c r="I1430" s="239" t="str">
        <f>IF(ISBLANK(continental!I473),"",continental!I473)</f>
        <v/>
      </c>
      <c r="K1430" s="262" t="s">
        <v>4241</v>
      </c>
      <c r="O1430" s="262" t="s">
        <v>4241</v>
      </c>
    </row>
    <row r="1431" spans="1:15" ht="12.75" customHeight="1" x14ac:dyDescent="0.3">
      <c r="A1431" s="582" t="s">
        <v>1786</v>
      </c>
      <c r="B1431" s="582"/>
      <c r="C1431" s="582"/>
      <c r="D1431" s="582"/>
      <c r="E1431" s="582"/>
      <c r="F1431" s="582"/>
      <c r="G1431" s="581" t="s">
        <v>2442</v>
      </c>
      <c r="H1431" s="581" t="s">
        <v>335</v>
      </c>
      <c r="I1431" s="239" t="str">
        <f>IF(ISBLANK(continental!I474),"",continental!I474)</f>
        <v/>
      </c>
      <c r="K1431" s="262" t="s">
        <v>4241</v>
      </c>
      <c r="O1431" s="262" t="s">
        <v>4241</v>
      </c>
    </row>
    <row r="1432" spans="1:15" ht="12.75" customHeight="1" x14ac:dyDescent="0.3">
      <c r="A1432" s="566" t="s">
        <v>1789</v>
      </c>
      <c r="B1432" s="566"/>
      <c r="C1432" s="566"/>
      <c r="D1432" s="566"/>
      <c r="E1432" s="566"/>
      <c r="F1432" s="566"/>
      <c r="G1432" s="567" t="s">
        <v>2443</v>
      </c>
      <c r="H1432" s="567" t="s">
        <v>335</v>
      </c>
      <c r="I1432" s="239" t="str">
        <f>IF(ISBLANK(continental!I475),"",continental!I475)</f>
        <v/>
      </c>
      <c r="K1432" s="262" t="s">
        <v>4241</v>
      </c>
      <c r="O1432" s="262" t="s">
        <v>4241</v>
      </c>
    </row>
    <row r="1433" spans="1:15" ht="12.75" customHeight="1" x14ac:dyDescent="0.3">
      <c r="A1433" s="566" t="s">
        <v>1791</v>
      </c>
      <c r="B1433" s="566"/>
      <c r="C1433" s="566"/>
      <c r="D1433" s="566"/>
      <c r="E1433" s="566"/>
      <c r="F1433" s="566"/>
      <c r="G1433" s="567" t="s">
        <v>2444</v>
      </c>
      <c r="H1433" s="567" t="s">
        <v>335</v>
      </c>
      <c r="I1433" s="239" t="str">
        <f>IF(ISBLANK(continental!I476),"",continental!I476)</f>
        <v/>
      </c>
      <c r="K1433" s="262" t="s">
        <v>4241</v>
      </c>
      <c r="O1433" s="262" t="s">
        <v>4241</v>
      </c>
    </row>
    <row r="1434" spans="1:15" ht="12.75" customHeight="1" x14ac:dyDescent="0.3">
      <c r="A1434" s="566" t="s">
        <v>1793</v>
      </c>
      <c r="B1434" s="566"/>
      <c r="C1434" s="566"/>
      <c r="D1434" s="566"/>
      <c r="E1434" s="566"/>
      <c r="F1434" s="566"/>
      <c r="G1434" s="567" t="s">
        <v>2445</v>
      </c>
      <c r="H1434" s="567" t="s">
        <v>335</v>
      </c>
      <c r="I1434" s="239" t="str">
        <f>IF(ISBLANK(continental!I477),"",continental!I477)</f>
        <v/>
      </c>
      <c r="K1434" s="262" t="s">
        <v>4241</v>
      </c>
      <c r="O1434" s="262" t="s">
        <v>4241</v>
      </c>
    </row>
    <row r="1435" spans="1:15" ht="12.75" customHeight="1" x14ac:dyDescent="0.3">
      <c r="A1435" s="566" t="s">
        <v>1795</v>
      </c>
      <c r="B1435" s="566"/>
      <c r="C1435" s="566"/>
      <c r="D1435" s="566"/>
      <c r="E1435" s="566"/>
      <c r="F1435" s="566"/>
      <c r="G1435" s="567" t="s">
        <v>2446</v>
      </c>
      <c r="H1435" s="567" t="s">
        <v>335</v>
      </c>
      <c r="I1435" s="239" t="str">
        <f>IF(ISBLANK(continental!I478),"",continental!I478)</f>
        <v/>
      </c>
      <c r="K1435" s="262" t="s">
        <v>4241</v>
      </c>
      <c r="O1435" s="262" t="s">
        <v>4241</v>
      </c>
    </row>
    <row r="1436" spans="1:15" ht="12.75" customHeight="1" x14ac:dyDescent="0.3">
      <c r="A1436" s="566" t="s">
        <v>1797</v>
      </c>
      <c r="B1436" s="566"/>
      <c r="C1436" s="566"/>
      <c r="D1436" s="566"/>
      <c r="E1436" s="566"/>
      <c r="F1436" s="566"/>
      <c r="G1436" s="567" t="s">
        <v>2447</v>
      </c>
      <c r="H1436" s="567" t="s">
        <v>335</v>
      </c>
      <c r="I1436" s="239" t="str">
        <f>IF(ISBLANK(continental!I479),"",continental!I479)</f>
        <v/>
      </c>
      <c r="K1436" s="262" t="s">
        <v>4241</v>
      </c>
      <c r="O1436" s="262" t="s">
        <v>4241</v>
      </c>
    </row>
    <row r="1437" spans="1:15" ht="12.75" customHeight="1" x14ac:dyDescent="0.3">
      <c r="A1437" s="566" t="s">
        <v>1799</v>
      </c>
      <c r="B1437" s="566"/>
      <c r="C1437" s="566"/>
      <c r="D1437" s="566"/>
      <c r="E1437" s="566"/>
      <c r="F1437" s="566"/>
      <c r="G1437" s="567" t="s">
        <v>2448</v>
      </c>
      <c r="H1437" s="567" t="s">
        <v>335</v>
      </c>
      <c r="I1437" s="239" t="str">
        <f>IF(ISBLANK(continental!I480),"",continental!I480)</f>
        <v/>
      </c>
      <c r="K1437" s="262" t="s">
        <v>4241</v>
      </c>
      <c r="O1437" s="262" t="s">
        <v>4241</v>
      </c>
    </row>
    <row r="1438" spans="1:15" ht="12.75" customHeight="1" x14ac:dyDescent="0.3">
      <c r="A1438" s="566" t="s">
        <v>1801</v>
      </c>
      <c r="B1438" s="566"/>
      <c r="C1438" s="566"/>
      <c r="D1438" s="566"/>
      <c r="E1438" s="566"/>
      <c r="F1438" s="566"/>
      <c r="G1438" s="567" t="s">
        <v>2449</v>
      </c>
      <c r="H1438" s="567" t="s">
        <v>335</v>
      </c>
      <c r="I1438" s="239" t="str">
        <f>IF(ISBLANK(continental!I481),"",continental!I481)</f>
        <v/>
      </c>
      <c r="K1438" s="262" t="s">
        <v>4241</v>
      </c>
      <c r="O1438" s="262" t="s">
        <v>4241</v>
      </c>
    </row>
    <row r="1439" spans="1:15" ht="12.75" customHeight="1" x14ac:dyDescent="0.3">
      <c r="A1439" s="566" t="s">
        <v>1803</v>
      </c>
      <c r="B1439" s="566"/>
      <c r="C1439" s="566"/>
      <c r="D1439" s="566"/>
      <c r="E1439" s="566"/>
      <c r="F1439" s="566"/>
      <c r="G1439" s="567" t="s">
        <v>2450</v>
      </c>
      <c r="H1439" s="567" t="s">
        <v>335</v>
      </c>
      <c r="I1439" s="239" t="str">
        <f>IF(ISBLANK(continental!I482),"",continental!I482)</f>
        <v/>
      </c>
      <c r="K1439" s="262" t="s">
        <v>4241</v>
      </c>
      <c r="O1439" s="262" t="s">
        <v>4241</v>
      </c>
    </row>
    <row r="1440" spans="1:15" ht="12.75" customHeight="1" x14ac:dyDescent="0.3">
      <c r="A1440" s="566" t="s">
        <v>1805</v>
      </c>
      <c r="B1440" s="566"/>
      <c r="C1440" s="566"/>
      <c r="D1440" s="566"/>
      <c r="E1440" s="566"/>
      <c r="F1440" s="566"/>
      <c r="G1440" s="567" t="s">
        <v>2451</v>
      </c>
      <c r="H1440" s="567" t="s">
        <v>335</v>
      </c>
      <c r="I1440" s="239" t="str">
        <f>IF(ISBLANK(continental!I483),"",continental!I483)</f>
        <v/>
      </c>
      <c r="K1440" s="262" t="s">
        <v>4241</v>
      </c>
      <c r="O1440" s="262" t="s">
        <v>4241</v>
      </c>
    </row>
    <row r="1441" spans="1:15" ht="12.75" customHeight="1" x14ac:dyDescent="0.3">
      <c r="A1441" s="566" t="s">
        <v>1807</v>
      </c>
      <c r="B1441" s="566"/>
      <c r="C1441" s="566"/>
      <c r="D1441" s="566"/>
      <c r="E1441" s="566"/>
      <c r="F1441" s="566"/>
      <c r="G1441" s="567" t="s">
        <v>2452</v>
      </c>
      <c r="H1441" s="567" t="s">
        <v>335</v>
      </c>
      <c r="I1441" s="239" t="str">
        <f>IF(ISBLANK(continental!I484),"",continental!I484)</f>
        <v/>
      </c>
      <c r="K1441" s="262" t="s">
        <v>4241</v>
      </c>
      <c r="O1441" s="262" t="s">
        <v>4241</v>
      </c>
    </row>
    <row r="1442" spans="1:15" ht="12.75" customHeight="1" x14ac:dyDescent="0.3">
      <c r="A1442" s="566" t="s">
        <v>1809</v>
      </c>
      <c r="B1442" s="566"/>
      <c r="C1442" s="566"/>
      <c r="D1442" s="566"/>
      <c r="E1442" s="566"/>
      <c r="F1442" s="566"/>
      <c r="G1442" s="567" t="s">
        <v>2453</v>
      </c>
      <c r="H1442" s="567" t="s">
        <v>335</v>
      </c>
      <c r="I1442" s="239" t="str">
        <f>IF(ISBLANK(continental!I485),"",continental!I485)</f>
        <v/>
      </c>
      <c r="K1442" s="262" t="s">
        <v>4241</v>
      </c>
      <c r="O1442" s="262" t="s">
        <v>4241</v>
      </c>
    </row>
    <row r="1443" spans="1:15" ht="12.75" customHeight="1" x14ac:dyDescent="0.3">
      <c r="A1443" s="566" t="s">
        <v>1811</v>
      </c>
      <c r="B1443" s="566"/>
      <c r="C1443" s="566"/>
      <c r="D1443" s="566"/>
      <c r="E1443" s="566"/>
      <c r="F1443" s="566"/>
      <c r="G1443" s="567" t="s">
        <v>2454</v>
      </c>
      <c r="H1443" s="567" t="s">
        <v>335</v>
      </c>
      <c r="I1443" s="239" t="str">
        <f>IF(ISBLANK(continental!I486),"",continental!I486)</f>
        <v/>
      </c>
      <c r="K1443" s="262" t="s">
        <v>4241</v>
      </c>
      <c r="O1443" s="262" t="s">
        <v>4241</v>
      </c>
    </row>
    <row r="1444" spans="1:15" ht="12.75" customHeight="1" x14ac:dyDescent="0.3">
      <c r="A1444" s="566" t="s">
        <v>1813</v>
      </c>
      <c r="B1444" s="566"/>
      <c r="C1444" s="566"/>
      <c r="D1444" s="566"/>
      <c r="E1444" s="566"/>
      <c r="F1444" s="566"/>
      <c r="G1444" s="567" t="s">
        <v>2455</v>
      </c>
      <c r="H1444" s="567" t="s">
        <v>335</v>
      </c>
      <c r="I1444" s="239" t="str">
        <f>IF(ISBLANK(continental!I487),"",continental!I487)</f>
        <v/>
      </c>
      <c r="K1444" s="262" t="s">
        <v>4241</v>
      </c>
      <c r="O1444" s="262" t="s">
        <v>4241</v>
      </c>
    </row>
    <row r="1445" spans="1:15" ht="12.75" customHeight="1" x14ac:dyDescent="0.3">
      <c r="A1445" s="566" t="s">
        <v>1815</v>
      </c>
      <c r="B1445" s="566"/>
      <c r="C1445" s="566"/>
      <c r="D1445" s="566"/>
      <c r="E1445" s="566"/>
      <c r="F1445" s="566"/>
      <c r="G1445" s="567" t="s">
        <v>2456</v>
      </c>
      <c r="H1445" s="567" t="s">
        <v>335</v>
      </c>
      <c r="I1445" s="239" t="str">
        <f>IF(ISBLANK(continental!I488),"",continental!I488)</f>
        <v/>
      </c>
      <c r="K1445" s="262" t="s">
        <v>4241</v>
      </c>
      <c r="O1445" s="262" t="s">
        <v>4241</v>
      </c>
    </row>
    <row r="1446" spans="1:15" ht="12.75" customHeight="1" x14ac:dyDescent="0.3">
      <c r="A1446" s="566" t="s">
        <v>1817</v>
      </c>
      <c r="B1446" s="566"/>
      <c r="C1446" s="566"/>
      <c r="D1446" s="566"/>
      <c r="E1446" s="566"/>
      <c r="F1446" s="566"/>
      <c r="G1446" s="567" t="s">
        <v>2457</v>
      </c>
      <c r="H1446" s="567" t="s">
        <v>335</v>
      </c>
      <c r="I1446" s="239" t="str">
        <f>IF(ISBLANK(continental!I489),"",continental!I489)</f>
        <v/>
      </c>
      <c r="K1446" s="262" t="s">
        <v>4241</v>
      </c>
      <c r="O1446" s="262" t="s">
        <v>4241</v>
      </c>
    </row>
    <row r="1447" spans="1:15" ht="12.75" customHeight="1" x14ac:dyDescent="0.3">
      <c r="A1447" s="566" t="s">
        <v>1819</v>
      </c>
      <c r="B1447" s="566"/>
      <c r="C1447" s="566"/>
      <c r="D1447" s="566"/>
      <c r="E1447" s="566"/>
      <c r="F1447" s="566"/>
      <c r="G1447" s="567" t="s">
        <v>2458</v>
      </c>
      <c r="H1447" s="567" t="s">
        <v>335</v>
      </c>
      <c r="I1447" s="239" t="str">
        <f>IF(ISBLANK(continental!I490),"",continental!I490)</f>
        <v/>
      </c>
      <c r="K1447" s="262" t="s">
        <v>4241</v>
      </c>
      <c r="O1447" s="262" t="s">
        <v>4241</v>
      </c>
    </row>
    <row r="1448" spans="1:15" ht="12.75" customHeight="1" x14ac:dyDescent="0.3">
      <c r="A1448" s="566" t="s">
        <v>1821</v>
      </c>
      <c r="B1448" s="566"/>
      <c r="C1448" s="566"/>
      <c r="D1448" s="566"/>
      <c r="E1448" s="566"/>
      <c r="F1448" s="566"/>
      <c r="G1448" s="567" t="s">
        <v>2459</v>
      </c>
      <c r="H1448" s="567" t="s">
        <v>335</v>
      </c>
      <c r="I1448" s="239" t="str">
        <f>IF(ISBLANK(continental!I491),"",continental!I491)</f>
        <v/>
      </c>
      <c r="K1448" s="262" t="s">
        <v>4241</v>
      </c>
      <c r="O1448" s="262" t="s">
        <v>4241</v>
      </c>
    </row>
    <row r="1449" spans="1:15" ht="12.75" customHeight="1" x14ac:dyDescent="0.3">
      <c r="A1449" s="582" t="s">
        <v>1823</v>
      </c>
      <c r="B1449" s="582"/>
      <c r="C1449" s="582"/>
      <c r="D1449" s="582"/>
      <c r="E1449" s="582"/>
      <c r="F1449" s="582"/>
      <c r="G1449" s="581" t="s">
        <v>2460</v>
      </c>
      <c r="H1449" s="581" t="s">
        <v>335</v>
      </c>
      <c r="I1449" s="239" t="str">
        <f>IF(ISBLANK(continental!I492),"",continental!I492)</f>
        <v/>
      </c>
      <c r="K1449" s="262" t="s">
        <v>4241</v>
      </c>
      <c r="O1449" s="262" t="s">
        <v>4241</v>
      </c>
    </row>
    <row r="1450" spans="1:15" ht="12.75" customHeight="1" x14ac:dyDescent="0.3">
      <c r="A1450" s="566" t="s">
        <v>1825</v>
      </c>
      <c r="B1450" s="566"/>
      <c r="C1450" s="566"/>
      <c r="D1450" s="566"/>
      <c r="E1450" s="566"/>
      <c r="F1450" s="566"/>
      <c r="G1450" s="567" t="s">
        <v>2461</v>
      </c>
      <c r="H1450" s="567" t="s">
        <v>335</v>
      </c>
      <c r="I1450" s="239" t="str">
        <f>IF(ISBLANK(continental!I493),"",continental!I493)</f>
        <v/>
      </c>
      <c r="K1450" s="262" t="s">
        <v>4241</v>
      </c>
      <c r="O1450" s="262" t="s">
        <v>4241</v>
      </c>
    </row>
    <row r="1451" spans="1:15" ht="12.75" customHeight="1" x14ac:dyDescent="0.3">
      <c r="A1451" s="566" t="s">
        <v>1827</v>
      </c>
      <c r="B1451" s="566"/>
      <c r="C1451" s="566"/>
      <c r="D1451" s="566"/>
      <c r="E1451" s="566"/>
      <c r="F1451" s="566"/>
      <c r="G1451" s="567" t="s">
        <v>2462</v>
      </c>
      <c r="H1451" s="567" t="s">
        <v>335</v>
      </c>
      <c r="I1451" s="239" t="str">
        <f>IF(ISBLANK(continental!I494),"",continental!I494)</f>
        <v/>
      </c>
      <c r="K1451" s="262" t="s">
        <v>4241</v>
      </c>
      <c r="O1451" s="262" t="s">
        <v>4241</v>
      </c>
    </row>
    <row r="1452" spans="1:15" ht="12.75" customHeight="1" x14ac:dyDescent="0.3">
      <c r="A1452" s="566" t="s">
        <v>1829</v>
      </c>
      <c r="B1452" s="566"/>
      <c r="C1452" s="566"/>
      <c r="D1452" s="566"/>
      <c r="E1452" s="566"/>
      <c r="F1452" s="566"/>
      <c r="G1452" s="567" t="s">
        <v>2463</v>
      </c>
      <c r="H1452" s="567" t="s">
        <v>335</v>
      </c>
      <c r="I1452" s="239" t="str">
        <f>IF(ISBLANK(continental!I495),"",continental!I495)</f>
        <v/>
      </c>
      <c r="K1452" s="262" t="s">
        <v>4241</v>
      </c>
      <c r="O1452" s="262" t="s">
        <v>4241</v>
      </c>
    </row>
    <row r="1453" spans="1:15" ht="12.75" customHeight="1" x14ac:dyDescent="0.3">
      <c r="A1453" s="566" t="s">
        <v>1831</v>
      </c>
      <c r="B1453" s="566"/>
      <c r="C1453" s="566"/>
      <c r="D1453" s="566"/>
      <c r="E1453" s="566"/>
      <c r="F1453" s="566"/>
      <c r="G1453" s="567" t="s">
        <v>2464</v>
      </c>
      <c r="H1453" s="567" t="s">
        <v>335</v>
      </c>
      <c r="I1453" s="239" t="str">
        <f>IF(ISBLANK(continental!I496),"",continental!I496)</f>
        <v/>
      </c>
      <c r="K1453" s="262" t="s">
        <v>4241</v>
      </c>
      <c r="O1453" s="262" t="s">
        <v>4241</v>
      </c>
    </row>
    <row r="1454" spans="1:15" ht="12.75" customHeight="1" x14ac:dyDescent="0.3">
      <c r="A1454" s="566" t="s">
        <v>1833</v>
      </c>
      <c r="B1454" s="566"/>
      <c r="C1454" s="566"/>
      <c r="D1454" s="566"/>
      <c r="E1454" s="566"/>
      <c r="F1454" s="566"/>
      <c r="G1454" s="567" t="s">
        <v>2465</v>
      </c>
      <c r="H1454" s="567" t="s">
        <v>335</v>
      </c>
      <c r="I1454" s="239" t="str">
        <f>IF(ISBLANK(continental!I497),"",continental!I497)</f>
        <v/>
      </c>
      <c r="K1454" s="262" t="s">
        <v>4241</v>
      </c>
      <c r="O1454" s="262" t="s">
        <v>4241</v>
      </c>
    </row>
    <row r="1455" spans="1:15" ht="12.75" customHeight="1" x14ac:dyDescent="0.3">
      <c r="A1455" s="566" t="s">
        <v>1835</v>
      </c>
      <c r="B1455" s="566"/>
      <c r="C1455" s="566"/>
      <c r="D1455" s="566"/>
      <c r="E1455" s="566"/>
      <c r="F1455" s="566"/>
      <c r="G1455" s="567" t="s">
        <v>2466</v>
      </c>
      <c r="H1455" s="567" t="s">
        <v>335</v>
      </c>
      <c r="I1455" s="239" t="str">
        <f>IF(ISBLANK(continental!I498),"",continental!I498)</f>
        <v/>
      </c>
      <c r="K1455" s="262" t="s">
        <v>4241</v>
      </c>
      <c r="O1455" s="262" t="s">
        <v>4241</v>
      </c>
    </row>
    <row r="1456" spans="1:15" ht="12.75" customHeight="1" x14ac:dyDescent="0.3">
      <c r="A1456" s="566" t="s">
        <v>1837</v>
      </c>
      <c r="B1456" s="566"/>
      <c r="C1456" s="566"/>
      <c r="D1456" s="566"/>
      <c r="E1456" s="566"/>
      <c r="F1456" s="566"/>
      <c r="G1456" s="567" t="s">
        <v>2467</v>
      </c>
      <c r="H1456" s="567" t="s">
        <v>335</v>
      </c>
      <c r="I1456" s="239" t="str">
        <f>IF(ISBLANK(continental!I499),"",continental!I499)</f>
        <v/>
      </c>
      <c r="K1456" s="262" t="s">
        <v>4241</v>
      </c>
      <c r="O1456" s="262" t="s">
        <v>4241</v>
      </c>
    </row>
    <row r="1457" spans="1:15" ht="12.75" customHeight="1" x14ac:dyDescent="0.3">
      <c r="A1457" s="566" t="s">
        <v>1839</v>
      </c>
      <c r="B1457" s="566"/>
      <c r="C1457" s="566"/>
      <c r="D1457" s="566"/>
      <c r="E1457" s="566"/>
      <c r="F1457" s="566"/>
      <c r="G1457" s="567" t="s">
        <v>2468</v>
      </c>
      <c r="H1457" s="567" t="s">
        <v>335</v>
      </c>
      <c r="I1457" s="239" t="str">
        <f>IF(ISBLANK(continental!I500),"",continental!I500)</f>
        <v/>
      </c>
      <c r="K1457" s="262" t="s">
        <v>4241</v>
      </c>
      <c r="O1457" s="262" t="s">
        <v>4241</v>
      </c>
    </row>
    <row r="1458" spans="1:15" ht="12.75" customHeight="1" x14ac:dyDescent="0.3">
      <c r="A1458" s="582" t="s">
        <v>1841</v>
      </c>
      <c r="B1458" s="582"/>
      <c r="C1458" s="582"/>
      <c r="D1458" s="582"/>
      <c r="E1458" s="582"/>
      <c r="F1458" s="582"/>
      <c r="G1458" s="581" t="s">
        <v>2469</v>
      </c>
      <c r="H1458" s="581" t="s">
        <v>335</v>
      </c>
      <c r="I1458" s="239" t="str">
        <f>IF(ISBLANK(continental!I501),"",continental!I501)</f>
        <v/>
      </c>
      <c r="K1458" s="262" t="s">
        <v>4241</v>
      </c>
      <c r="O1458" s="262" t="s">
        <v>4241</v>
      </c>
    </row>
    <row r="1459" spans="1:15" ht="12.75" customHeight="1" x14ac:dyDescent="0.3">
      <c r="A1459" s="566" t="s">
        <v>1844</v>
      </c>
      <c r="B1459" s="566"/>
      <c r="C1459" s="566"/>
      <c r="D1459" s="566"/>
      <c r="E1459" s="566"/>
      <c r="F1459" s="566"/>
      <c r="G1459" s="567" t="s">
        <v>2470</v>
      </c>
      <c r="H1459" s="567" t="s">
        <v>335</v>
      </c>
      <c r="I1459" s="239" t="str">
        <f>IF(ISBLANK(continental!I502),"",continental!I502)</f>
        <v/>
      </c>
      <c r="K1459" s="262" t="s">
        <v>4241</v>
      </c>
      <c r="O1459" s="262" t="s">
        <v>4241</v>
      </c>
    </row>
    <row r="1460" spans="1:15" ht="12.75" customHeight="1" x14ac:dyDescent="0.3">
      <c r="A1460" s="566" t="s">
        <v>1846</v>
      </c>
      <c r="B1460" s="566"/>
      <c r="C1460" s="566"/>
      <c r="D1460" s="566"/>
      <c r="E1460" s="566"/>
      <c r="F1460" s="566"/>
      <c r="G1460" s="567" t="s">
        <v>2471</v>
      </c>
      <c r="H1460" s="567" t="s">
        <v>335</v>
      </c>
      <c r="I1460" s="239" t="str">
        <f>IF(ISBLANK(continental!I503),"",continental!I503)</f>
        <v/>
      </c>
      <c r="K1460" s="262" t="s">
        <v>4241</v>
      </c>
      <c r="O1460" s="262" t="s">
        <v>4241</v>
      </c>
    </row>
    <row r="1461" spans="1:15" ht="12.75" customHeight="1" x14ac:dyDescent="0.3">
      <c r="A1461" s="566" t="s">
        <v>1848</v>
      </c>
      <c r="B1461" s="566"/>
      <c r="C1461" s="566"/>
      <c r="D1461" s="566"/>
      <c r="E1461" s="566"/>
      <c r="F1461" s="566"/>
      <c r="G1461" s="567" t="s">
        <v>2472</v>
      </c>
      <c r="H1461" s="567" t="s">
        <v>335</v>
      </c>
      <c r="I1461" s="239" t="str">
        <f>IF(ISBLANK(continental!I504),"",continental!I504)</f>
        <v/>
      </c>
      <c r="K1461" s="262" t="s">
        <v>4241</v>
      </c>
      <c r="O1461" s="262" t="s">
        <v>4241</v>
      </c>
    </row>
    <row r="1462" spans="1:15" ht="12.75" customHeight="1" x14ac:dyDescent="0.3">
      <c r="A1462" s="566" t="s">
        <v>1850</v>
      </c>
      <c r="B1462" s="566"/>
      <c r="C1462" s="566"/>
      <c r="D1462" s="566"/>
      <c r="E1462" s="566"/>
      <c r="F1462" s="566"/>
      <c r="G1462" s="567" t="s">
        <v>2473</v>
      </c>
      <c r="H1462" s="567" t="s">
        <v>335</v>
      </c>
      <c r="I1462" s="239" t="str">
        <f>IF(ISBLANK(continental!I505),"",continental!I505)</f>
        <v/>
      </c>
      <c r="K1462" s="262" t="s">
        <v>4241</v>
      </c>
      <c r="O1462" s="262" t="s">
        <v>4241</v>
      </c>
    </row>
    <row r="1463" spans="1:15" ht="12.75" customHeight="1" x14ac:dyDescent="0.3">
      <c r="A1463" s="566" t="s">
        <v>1852</v>
      </c>
      <c r="B1463" s="566"/>
      <c r="C1463" s="566"/>
      <c r="D1463" s="566"/>
      <c r="E1463" s="566"/>
      <c r="F1463" s="566"/>
      <c r="G1463" s="567" t="s">
        <v>2474</v>
      </c>
      <c r="H1463" s="567" t="s">
        <v>335</v>
      </c>
      <c r="I1463" s="239" t="str">
        <f>IF(ISBLANK(continental!I506),"",continental!I506)</f>
        <v/>
      </c>
      <c r="K1463" s="262" t="s">
        <v>4241</v>
      </c>
      <c r="O1463" s="262" t="s">
        <v>4241</v>
      </c>
    </row>
    <row r="1464" spans="1:15" ht="12.75" customHeight="1" x14ac:dyDescent="0.3">
      <c r="A1464" s="566" t="s">
        <v>1854</v>
      </c>
      <c r="B1464" s="566"/>
      <c r="C1464" s="566"/>
      <c r="D1464" s="566"/>
      <c r="E1464" s="566"/>
      <c r="F1464" s="566"/>
      <c r="G1464" s="567" t="s">
        <v>2475</v>
      </c>
      <c r="H1464" s="567" t="s">
        <v>335</v>
      </c>
      <c r="I1464" s="239" t="str">
        <f>IF(ISBLANK(continental!I507),"",continental!I507)</f>
        <v/>
      </c>
      <c r="K1464" s="262" t="s">
        <v>4241</v>
      </c>
      <c r="O1464" s="262" t="s">
        <v>4241</v>
      </c>
    </row>
    <row r="1465" spans="1:15" ht="12.75" customHeight="1" x14ac:dyDescent="0.3">
      <c r="A1465" s="566" t="s">
        <v>1856</v>
      </c>
      <c r="B1465" s="566"/>
      <c r="C1465" s="566"/>
      <c r="D1465" s="566"/>
      <c r="E1465" s="566"/>
      <c r="F1465" s="566"/>
      <c r="G1465" s="567" t="s">
        <v>2476</v>
      </c>
      <c r="H1465" s="567" t="s">
        <v>335</v>
      </c>
      <c r="I1465" s="239" t="str">
        <f>IF(ISBLANK(continental!I508),"",continental!I508)</f>
        <v/>
      </c>
      <c r="K1465" s="262" t="s">
        <v>4241</v>
      </c>
      <c r="O1465" s="262" t="s">
        <v>4241</v>
      </c>
    </row>
    <row r="1466" spans="1:15" ht="12.75" customHeight="1" x14ac:dyDescent="0.3">
      <c r="A1466" s="566" t="s">
        <v>1858</v>
      </c>
      <c r="B1466" s="566"/>
      <c r="C1466" s="566"/>
      <c r="D1466" s="566"/>
      <c r="E1466" s="566"/>
      <c r="F1466" s="566"/>
      <c r="G1466" s="567" t="s">
        <v>2477</v>
      </c>
      <c r="H1466" s="567" t="s">
        <v>335</v>
      </c>
      <c r="I1466" s="239" t="str">
        <f>IF(ISBLANK(continental!I509),"",continental!I509)</f>
        <v/>
      </c>
      <c r="K1466" s="262" t="s">
        <v>4241</v>
      </c>
      <c r="O1466" s="262" t="s">
        <v>4241</v>
      </c>
    </row>
    <row r="1467" spans="1:15" ht="12.75" customHeight="1" x14ac:dyDescent="0.3">
      <c r="A1467" s="566" t="s">
        <v>1860</v>
      </c>
      <c r="B1467" s="566"/>
      <c r="C1467" s="566"/>
      <c r="D1467" s="566"/>
      <c r="E1467" s="566"/>
      <c r="F1467" s="566"/>
      <c r="G1467" s="567" t="s">
        <v>4757</v>
      </c>
      <c r="H1467" s="567" t="s">
        <v>335</v>
      </c>
      <c r="I1467" s="239" t="str">
        <f>IF(ISBLANK(continental!I510),"",continental!I510)</f>
        <v/>
      </c>
    </row>
    <row r="1468" spans="1:15" ht="12.75" customHeight="1" x14ac:dyDescent="0.3">
      <c r="A1468" s="566" t="s">
        <v>1863</v>
      </c>
      <c r="B1468" s="566"/>
      <c r="C1468" s="566"/>
      <c r="D1468" s="566"/>
      <c r="E1468" s="566"/>
      <c r="F1468" s="566"/>
      <c r="G1468" s="567" t="s">
        <v>4758</v>
      </c>
      <c r="H1468" s="567" t="s">
        <v>335</v>
      </c>
      <c r="I1468" s="239" t="str">
        <f>IF(ISBLANK(continental!I511),"",continental!I511)</f>
        <v/>
      </c>
    </row>
    <row r="1469" spans="1:15" ht="12.75" customHeight="1" x14ac:dyDescent="0.3">
      <c r="A1469" s="566" t="s">
        <v>1865</v>
      </c>
      <c r="B1469" s="566"/>
      <c r="C1469" s="566"/>
      <c r="D1469" s="566"/>
      <c r="E1469" s="566"/>
      <c r="F1469" s="566"/>
      <c r="G1469" s="567" t="s">
        <v>4759</v>
      </c>
      <c r="H1469" s="567" t="s">
        <v>335</v>
      </c>
      <c r="I1469" s="239" t="str">
        <f>IF(ISBLANK(continental!I512),"",continental!I512)</f>
        <v/>
      </c>
    </row>
    <row r="1470" spans="1:15" ht="12.75" customHeight="1" x14ac:dyDescent="0.3">
      <c r="A1470" s="566" t="s">
        <v>1867</v>
      </c>
      <c r="B1470" s="566"/>
      <c r="C1470" s="566"/>
      <c r="D1470" s="566"/>
      <c r="E1470" s="566"/>
      <c r="F1470" s="566"/>
      <c r="G1470" s="567" t="s">
        <v>4760</v>
      </c>
      <c r="H1470" s="567" t="s">
        <v>335</v>
      </c>
      <c r="I1470" s="239" t="str">
        <f>IF(ISBLANK(continental!I513),"",continental!I513)</f>
        <v/>
      </c>
    </row>
    <row r="1471" spans="1:15" ht="12.75" customHeight="1" x14ac:dyDescent="0.3">
      <c r="A1471" s="566" t="s">
        <v>1869</v>
      </c>
      <c r="B1471" s="566"/>
      <c r="C1471" s="566"/>
      <c r="D1471" s="566"/>
      <c r="E1471" s="566"/>
      <c r="F1471" s="566"/>
      <c r="G1471" s="567" t="s">
        <v>4761</v>
      </c>
      <c r="H1471" s="567" t="s">
        <v>335</v>
      </c>
      <c r="I1471" s="239" t="str">
        <f>IF(ISBLANK(continental!I514),"",continental!I514)</f>
        <v/>
      </c>
    </row>
    <row r="1472" spans="1:15" ht="12.75" customHeight="1" x14ac:dyDescent="0.3">
      <c r="A1472" s="566" t="s">
        <v>1871</v>
      </c>
      <c r="B1472" s="566"/>
      <c r="C1472" s="566"/>
      <c r="D1472" s="566"/>
      <c r="E1472" s="566"/>
      <c r="F1472" s="566"/>
      <c r="G1472" s="567" t="s">
        <v>4762</v>
      </c>
      <c r="H1472" s="567" t="s">
        <v>335</v>
      </c>
      <c r="I1472" s="239" t="str">
        <f>IF(ISBLANK(continental!I515),"",continental!I515)</f>
        <v/>
      </c>
    </row>
    <row r="1473" spans="1:15" ht="12.75" customHeight="1" x14ac:dyDescent="0.3">
      <c r="A1473" s="566" t="s">
        <v>1873</v>
      </c>
      <c r="B1473" s="566"/>
      <c r="C1473" s="566"/>
      <c r="D1473" s="566"/>
      <c r="E1473" s="566"/>
      <c r="F1473" s="566"/>
      <c r="G1473" s="567" t="s">
        <v>4763</v>
      </c>
      <c r="H1473" s="567" t="s">
        <v>335</v>
      </c>
      <c r="I1473" s="239" t="str">
        <f>IF(ISBLANK(continental!I516),"",continental!I516)</f>
        <v/>
      </c>
    </row>
    <row r="1474" spans="1:15" ht="12.75" customHeight="1" x14ac:dyDescent="0.3">
      <c r="A1474" s="566" t="s">
        <v>1876</v>
      </c>
      <c r="B1474" s="566"/>
      <c r="C1474" s="566"/>
      <c r="D1474" s="566"/>
      <c r="E1474" s="566"/>
      <c r="F1474" s="566"/>
      <c r="G1474" s="567" t="s">
        <v>4764</v>
      </c>
      <c r="H1474" s="567" t="s">
        <v>335</v>
      </c>
      <c r="I1474" s="239" t="str">
        <f>IF(ISBLANK(continental!I517),"",continental!I517)</f>
        <v/>
      </c>
    </row>
    <row r="1475" spans="1:15" ht="12.75" customHeight="1" x14ac:dyDescent="0.3">
      <c r="A1475" s="566" t="s">
        <v>1878</v>
      </c>
      <c r="B1475" s="566"/>
      <c r="C1475" s="566"/>
      <c r="D1475" s="566"/>
      <c r="E1475" s="566"/>
      <c r="F1475" s="566"/>
      <c r="G1475" s="567" t="s">
        <v>4765</v>
      </c>
      <c r="H1475" s="567" t="s">
        <v>335</v>
      </c>
      <c r="I1475" s="239" t="str">
        <f>IF(ISBLANK(continental!I518),"",continental!I518)</f>
        <v/>
      </c>
    </row>
    <row r="1476" spans="1:15" ht="12.75" customHeight="1" x14ac:dyDescent="0.3">
      <c r="A1476" s="582" t="s">
        <v>1860</v>
      </c>
      <c r="B1476" s="582"/>
      <c r="C1476" s="582"/>
      <c r="D1476" s="582"/>
      <c r="E1476" s="582"/>
      <c r="F1476" s="582"/>
      <c r="G1476" s="581" t="s">
        <v>2478</v>
      </c>
      <c r="H1476" s="581" t="s">
        <v>335</v>
      </c>
      <c r="I1476" s="239" t="str">
        <f>IF(ISBLANK(continental!I519),"",continental!I519)</f>
        <v/>
      </c>
      <c r="K1476" s="262" t="s">
        <v>4241</v>
      </c>
      <c r="O1476" s="262" t="s">
        <v>4241</v>
      </c>
    </row>
    <row r="1477" spans="1:15" ht="12.75" customHeight="1" x14ac:dyDescent="0.3">
      <c r="A1477" s="566" t="s">
        <v>1863</v>
      </c>
      <c r="B1477" s="566"/>
      <c r="C1477" s="566"/>
      <c r="D1477" s="566"/>
      <c r="E1477" s="566"/>
      <c r="F1477" s="566"/>
      <c r="G1477" s="567" t="s">
        <v>2479</v>
      </c>
      <c r="H1477" s="567" t="s">
        <v>335</v>
      </c>
      <c r="I1477" s="239" t="str">
        <f>IF(ISBLANK(continental!I520),"",continental!I520)</f>
        <v/>
      </c>
      <c r="K1477" s="262" t="s">
        <v>4241</v>
      </c>
      <c r="O1477" s="262" t="s">
        <v>4241</v>
      </c>
    </row>
    <row r="1478" spans="1:15" ht="12.75" customHeight="1" x14ac:dyDescent="0.3">
      <c r="A1478" s="566" t="s">
        <v>1865</v>
      </c>
      <c r="B1478" s="566"/>
      <c r="C1478" s="566"/>
      <c r="D1478" s="566"/>
      <c r="E1478" s="566"/>
      <c r="F1478" s="566"/>
      <c r="G1478" s="567" t="s">
        <v>2480</v>
      </c>
      <c r="H1478" s="567" t="s">
        <v>335</v>
      </c>
      <c r="I1478" s="239" t="str">
        <f>IF(ISBLANK(continental!I521),"",continental!I521)</f>
        <v/>
      </c>
      <c r="K1478" s="262" t="s">
        <v>4241</v>
      </c>
      <c r="O1478" s="262" t="s">
        <v>4241</v>
      </c>
    </row>
    <row r="1479" spans="1:15" ht="12.75" customHeight="1" x14ac:dyDescent="0.3">
      <c r="A1479" s="566" t="s">
        <v>1867</v>
      </c>
      <c r="B1479" s="566"/>
      <c r="C1479" s="566"/>
      <c r="D1479" s="566"/>
      <c r="E1479" s="566"/>
      <c r="F1479" s="566"/>
      <c r="G1479" s="567" t="s">
        <v>2481</v>
      </c>
      <c r="H1479" s="567" t="s">
        <v>335</v>
      </c>
      <c r="I1479" s="239" t="str">
        <f>IF(ISBLANK(continental!I522),"",continental!I522)</f>
        <v/>
      </c>
      <c r="K1479" s="262" t="s">
        <v>4241</v>
      </c>
      <c r="O1479" s="262" t="s">
        <v>4241</v>
      </c>
    </row>
    <row r="1480" spans="1:15" ht="12.75" customHeight="1" x14ac:dyDescent="0.3">
      <c r="A1480" s="566" t="s">
        <v>1869</v>
      </c>
      <c r="B1480" s="566"/>
      <c r="C1480" s="566"/>
      <c r="D1480" s="566"/>
      <c r="E1480" s="566"/>
      <c r="F1480" s="566"/>
      <c r="G1480" s="567" t="s">
        <v>2482</v>
      </c>
      <c r="H1480" s="567" t="s">
        <v>335</v>
      </c>
      <c r="I1480" s="239" t="str">
        <f>IF(ISBLANK(continental!I523),"",continental!I523)</f>
        <v/>
      </c>
      <c r="K1480" s="262" t="s">
        <v>4241</v>
      </c>
      <c r="O1480" s="262" t="s">
        <v>4241</v>
      </c>
    </row>
    <row r="1481" spans="1:15" ht="12.75" customHeight="1" x14ac:dyDescent="0.3">
      <c r="A1481" s="566" t="s">
        <v>1871</v>
      </c>
      <c r="B1481" s="566"/>
      <c r="C1481" s="566"/>
      <c r="D1481" s="566"/>
      <c r="E1481" s="566"/>
      <c r="F1481" s="566"/>
      <c r="G1481" s="567" t="s">
        <v>2483</v>
      </c>
      <c r="H1481" s="567" t="s">
        <v>335</v>
      </c>
      <c r="I1481" s="239" t="str">
        <f>IF(ISBLANK(continental!I524),"",continental!I524)</f>
        <v/>
      </c>
      <c r="K1481" s="262" t="s">
        <v>4241</v>
      </c>
      <c r="O1481" s="262" t="s">
        <v>4241</v>
      </c>
    </row>
    <row r="1482" spans="1:15" ht="12.75" customHeight="1" x14ac:dyDescent="0.3">
      <c r="A1482" s="566" t="s">
        <v>1873</v>
      </c>
      <c r="B1482" s="566"/>
      <c r="C1482" s="566"/>
      <c r="D1482" s="566"/>
      <c r="E1482" s="566"/>
      <c r="F1482" s="566"/>
      <c r="G1482" s="567" t="s">
        <v>2484</v>
      </c>
      <c r="H1482" s="567" t="s">
        <v>335</v>
      </c>
      <c r="I1482" s="239" t="str">
        <f>IF(ISBLANK(continental!I525),"",continental!I525)</f>
        <v/>
      </c>
      <c r="K1482" s="262" t="s">
        <v>4241</v>
      </c>
      <c r="O1482" s="262" t="s">
        <v>4241</v>
      </c>
    </row>
    <row r="1483" spans="1:15" ht="12.75" customHeight="1" x14ac:dyDescent="0.3">
      <c r="A1483" s="566" t="s">
        <v>1876</v>
      </c>
      <c r="B1483" s="566"/>
      <c r="C1483" s="566"/>
      <c r="D1483" s="566"/>
      <c r="E1483" s="566"/>
      <c r="F1483" s="566"/>
      <c r="G1483" s="567" t="s">
        <v>2485</v>
      </c>
      <c r="H1483" s="567" t="s">
        <v>335</v>
      </c>
      <c r="I1483" s="239" t="str">
        <f>IF(ISBLANK(continental!I526),"",continental!I526)</f>
        <v/>
      </c>
      <c r="K1483" s="262" t="s">
        <v>4241</v>
      </c>
      <c r="O1483" s="262" t="s">
        <v>4241</v>
      </c>
    </row>
    <row r="1484" spans="1:15" ht="12.75" customHeight="1" x14ac:dyDescent="0.3">
      <c r="A1484" s="598" t="s">
        <v>1878</v>
      </c>
      <c r="B1484" s="598"/>
      <c r="C1484" s="598"/>
      <c r="D1484" s="598"/>
      <c r="E1484" s="598"/>
      <c r="F1484" s="598"/>
      <c r="G1484" s="601" t="s">
        <v>2486</v>
      </c>
      <c r="H1484" s="601" t="s">
        <v>335</v>
      </c>
      <c r="I1484" s="239" t="str">
        <f>IF(ISBLANK(continental!I527),"",continental!I527)</f>
        <v/>
      </c>
      <c r="K1484" s="262" t="s">
        <v>4241</v>
      </c>
      <c r="O1484" s="262" t="s">
        <v>4241</v>
      </c>
    </row>
    <row r="1485" spans="1:15" ht="12.75" customHeight="1" x14ac:dyDescent="0.3">
      <c r="A1485" s="487"/>
      <c r="B1485" s="487"/>
      <c r="C1485" s="487"/>
      <c r="D1485" s="487"/>
      <c r="E1485" s="487"/>
      <c r="F1485" s="487"/>
      <c r="G1485" s="650"/>
      <c r="H1485" s="650"/>
      <c r="I1485" s="239" t="str">
        <f>IF(ISBLANK(continental!I528),"",continental!I528)</f>
        <v/>
      </c>
      <c r="K1485" s="262" t="s">
        <v>4241</v>
      </c>
      <c r="O1485" s="262" t="s">
        <v>4241</v>
      </c>
    </row>
    <row r="1486" spans="1:15" ht="12.75" customHeight="1" x14ac:dyDescent="0.3">
      <c r="A1486" s="630" t="s">
        <v>2487</v>
      </c>
      <c r="B1486" s="413"/>
      <c r="C1486" s="413"/>
      <c r="D1486" s="413"/>
      <c r="E1486" s="413"/>
      <c r="F1486" s="413"/>
      <c r="G1486" s="630" t="s">
        <v>258</v>
      </c>
      <c r="H1486" s="630" t="s">
        <v>274</v>
      </c>
      <c r="I1486" s="239" t="str">
        <f>IF(ISBLANK(continental!I529),"",continental!I529)</f>
        <v>User input</v>
      </c>
      <c r="K1486" s="262" t="s">
        <v>259</v>
      </c>
      <c r="O1486" s="262" t="s">
        <v>259</v>
      </c>
    </row>
    <row r="1487" spans="1:15" ht="12.75" customHeight="1" x14ac:dyDescent="0.3">
      <c r="A1487" s="567" t="s">
        <v>1315</v>
      </c>
      <c r="B1487" s="566"/>
      <c r="C1487" s="566"/>
      <c r="D1487" s="566"/>
      <c r="E1487" s="566"/>
      <c r="F1487" s="566"/>
      <c r="G1487" s="567" t="s">
        <v>2488</v>
      </c>
      <c r="H1487" s="567" t="s">
        <v>617</v>
      </c>
      <c r="I1487" s="239" t="str">
        <f>IF(ISBLANK(continental!I530),"",continental!I530)</f>
        <v/>
      </c>
      <c r="K1487" s="262" t="s">
        <v>4241</v>
      </c>
      <c r="O1487" s="262" t="s">
        <v>4241</v>
      </c>
    </row>
    <row r="1488" spans="1:15" ht="12.75" customHeight="1" x14ac:dyDescent="0.3">
      <c r="A1488" s="567" t="s">
        <v>1315</v>
      </c>
      <c r="B1488" s="566"/>
      <c r="C1488" s="566"/>
      <c r="D1488" s="566"/>
      <c r="E1488" s="566"/>
      <c r="F1488" s="566"/>
      <c r="G1488" s="567" t="s">
        <v>2489</v>
      </c>
      <c r="H1488" s="567" t="s">
        <v>617</v>
      </c>
      <c r="I1488" s="239" t="str">
        <f>IF(ISBLANK(continental!I531),"",continental!I531)</f>
        <v/>
      </c>
      <c r="K1488" s="262" t="s">
        <v>4241</v>
      </c>
      <c r="O1488" s="262" t="s">
        <v>4241</v>
      </c>
    </row>
    <row r="1489" spans="1:15" ht="12.75" customHeight="1" x14ac:dyDescent="0.3">
      <c r="A1489" s="567" t="s">
        <v>1315</v>
      </c>
      <c r="B1489" s="566"/>
      <c r="C1489" s="566"/>
      <c r="D1489" s="566"/>
      <c r="E1489" s="566"/>
      <c r="F1489" s="566"/>
      <c r="G1489" s="567" t="s">
        <v>2490</v>
      </c>
      <c r="H1489" s="567" t="s">
        <v>617</v>
      </c>
      <c r="I1489" s="239" t="str">
        <f>IF(ISBLANK(continental!I532),"",continental!I532)</f>
        <v/>
      </c>
      <c r="K1489" s="262" t="s">
        <v>4241</v>
      </c>
      <c r="O1489" s="262" t="s">
        <v>4241</v>
      </c>
    </row>
    <row r="1490" spans="1:15" ht="12.75" customHeight="1" x14ac:dyDescent="0.3">
      <c r="A1490" s="567" t="s">
        <v>1317</v>
      </c>
      <c r="B1490" s="566"/>
      <c r="C1490" s="566"/>
      <c r="D1490" s="566"/>
      <c r="E1490" s="566"/>
      <c r="F1490" s="566"/>
      <c r="G1490" s="567" t="s">
        <v>2491</v>
      </c>
      <c r="H1490" s="567" t="s">
        <v>617</v>
      </c>
      <c r="I1490" s="239" t="str">
        <f>IF(ISBLANK(continental!I533),"",continental!I533)</f>
        <v/>
      </c>
      <c r="K1490" s="262" t="s">
        <v>4241</v>
      </c>
      <c r="O1490" s="262" t="s">
        <v>4241</v>
      </c>
    </row>
    <row r="1491" spans="1:15" ht="12.75" customHeight="1" x14ac:dyDescent="0.3">
      <c r="A1491" s="567" t="s">
        <v>1317</v>
      </c>
      <c r="B1491" s="566"/>
      <c r="C1491" s="566"/>
      <c r="D1491" s="566"/>
      <c r="E1491" s="566"/>
      <c r="F1491" s="566"/>
      <c r="G1491" s="567" t="s">
        <v>2492</v>
      </c>
      <c r="H1491" s="567" t="s">
        <v>617</v>
      </c>
      <c r="I1491" s="239" t="str">
        <f>IF(ISBLANK(continental!I534),"",continental!I534)</f>
        <v/>
      </c>
      <c r="K1491" s="262" t="s">
        <v>4241</v>
      </c>
      <c r="O1491" s="262" t="s">
        <v>4241</v>
      </c>
    </row>
    <row r="1492" spans="1:15" ht="12.75" customHeight="1" x14ac:dyDescent="0.3">
      <c r="A1492" s="567" t="s">
        <v>1317</v>
      </c>
      <c r="B1492" s="566"/>
      <c r="C1492" s="566"/>
      <c r="D1492" s="566"/>
      <c r="E1492" s="566"/>
      <c r="F1492" s="566"/>
      <c r="G1492" s="567" t="s">
        <v>2493</v>
      </c>
      <c r="H1492" s="567" t="s">
        <v>617</v>
      </c>
      <c r="I1492" s="239" t="str">
        <f>IF(ISBLANK(continental!I535),"",continental!I535)</f>
        <v/>
      </c>
      <c r="K1492" s="262" t="s">
        <v>4241</v>
      </c>
      <c r="O1492" s="262" t="s">
        <v>4241</v>
      </c>
    </row>
    <row r="1493" spans="1:15" ht="12.75" customHeight="1" x14ac:dyDescent="0.3">
      <c r="A1493" s="567" t="s">
        <v>1319</v>
      </c>
      <c r="B1493" s="566"/>
      <c r="C1493" s="566"/>
      <c r="D1493" s="566"/>
      <c r="E1493" s="566"/>
      <c r="F1493" s="566"/>
      <c r="G1493" s="567" t="s">
        <v>2494</v>
      </c>
      <c r="H1493" s="567" t="s">
        <v>617</v>
      </c>
      <c r="I1493" s="239" t="str">
        <f>IF(ISBLANK(continental!I536),"",continental!I536)</f>
        <v/>
      </c>
      <c r="K1493" s="262" t="s">
        <v>4241</v>
      </c>
      <c r="O1493" s="262" t="s">
        <v>4241</v>
      </c>
    </row>
    <row r="1494" spans="1:15" ht="12.75" customHeight="1" x14ac:dyDescent="0.3">
      <c r="A1494" s="567" t="s">
        <v>1319</v>
      </c>
      <c r="B1494" s="566"/>
      <c r="C1494" s="566"/>
      <c r="D1494" s="566"/>
      <c r="E1494" s="566"/>
      <c r="F1494" s="566"/>
      <c r="G1494" s="567" t="s">
        <v>2495</v>
      </c>
      <c r="H1494" s="567" t="s">
        <v>617</v>
      </c>
      <c r="I1494" s="239" t="str">
        <f>IF(ISBLANK(continental!I537),"",continental!I537)</f>
        <v/>
      </c>
      <c r="K1494" s="262" t="s">
        <v>4241</v>
      </c>
      <c r="O1494" s="262" t="s">
        <v>4241</v>
      </c>
    </row>
    <row r="1495" spans="1:15" ht="12.75" customHeight="1" x14ac:dyDescent="0.3">
      <c r="A1495" s="567" t="s">
        <v>1319</v>
      </c>
      <c r="B1495" s="566"/>
      <c r="C1495" s="566"/>
      <c r="D1495" s="566"/>
      <c r="E1495" s="566"/>
      <c r="F1495" s="566"/>
      <c r="G1495" s="567" t="s">
        <v>2496</v>
      </c>
      <c r="H1495" s="567" t="s">
        <v>617</v>
      </c>
      <c r="I1495" s="239" t="str">
        <f>IF(ISBLANK(continental!I538),"",continental!I538)</f>
        <v/>
      </c>
      <c r="K1495" s="262" t="s">
        <v>4241</v>
      </c>
      <c r="O1495" s="262" t="s">
        <v>4241</v>
      </c>
    </row>
    <row r="1496" spans="1:15" ht="12.75" customHeight="1" x14ac:dyDescent="0.3">
      <c r="A1496" s="567" t="s">
        <v>1321</v>
      </c>
      <c r="B1496" s="566"/>
      <c r="C1496" s="566"/>
      <c r="D1496" s="566"/>
      <c r="E1496" s="566"/>
      <c r="F1496" s="566"/>
      <c r="G1496" s="567" t="s">
        <v>2497</v>
      </c>
      <c r="H1496" s="567" t="s">
        <v>617</v>
      </c>
      <c r="I1496" s="239" t="str">
        <f>IF(ISBLANK(continental!I539),"",continental!I539)</f>
        <v/>
      </c>
      <c r="K1496" s="262" t="s">
        <v>4241</v>
      </c>
      <c r="O1496" s="262" t="s">
        <v>4241</v>
      </c>
    </row>
    <row r="1497" spans="1:15" ht="12.75" customHeight="1" x14ac:dyDescent="0.3">
      <c r="A1497" s="567" t="s">
        <v>1321</v>
      </c>
      <c r="B1497" s="566"/>
      <c r="C1497" s="566"/>
      <c r="D1497" s="566"/>
      <c r="E1497" s="566"/>
      <c r="F1497" s="566"/>
      <c r="G1497" s="567" t="s">
        <v>2498</v>
      </c>
      <c r="H1497" s="567" t="s">
        <v>617</v>
      </c>
      <c r="I1497" s="239" t="str">
        <f>IF(ISBLANK(continental!I540),"",continental!I540)</f>
        <v/>
      </c>
      <c r="K1497" s="262" t="s">
        <v>4241</v>
      </c>
      <c r="O1497" s="262" t="s">
        <v>4241</v>
      </c>
    </row>
    <row r="1498" spans="1:15" ht="12.75" customHeight="1" x14ac:dyDescent="0.3">
      <c r="A1498" s="567" t="s">
        <v>1321</v>
      </c>
      <c r="B1498" s="566"/>
      <c r="C1498" s="566"/>
      <c r="D1498" s="566"/>
      <c r="E1498" s="566"/>
      <c r="F1498" s="566"/>
      <c r="G1498" s="567" t="s">
        <v>2499</v>
      </c>
      <c r="H1498" s="567" t="s">
        <v>617</v>
      </c>
      <c r="I1498" s="239" t="str">
        <f>IF(ISBLANK(continental!I541),"",continental!I541)</f>
        <v/>
      </c>
      <c r="K1498" s="262" t="s">
        <v>4241</v>
      </c>
      <c r="O1498" s="262" t="s">
        <v>4241</v>
      </c>
    </row>
    <row r="1499" spans="1:15" ht="12.75" customHeight="1" x14ac:dyDescent="0.3">
      <c r="A1499" s="567" t="s">
        <v>1323</v>
      </c>
      <c r="B1499" s="566"/>
      <c r="C1499" s="566"/>
      <c r="D1499" s="566"/>
      <c r="E1499" s="566"/>
      <c r="F1499" s="566"/>
      <c r="G1499" s="567" t="s">
        <v>2500</v>
      </c>
      <c r="H1499" s="567" t="s">
        <v>617</v>
      </c>
      <c r="I1499" s="239" t="str">
        <f>IF(ISBLANK(continental!I542),"",continental!I542)</f>
        <v/>
      </c>
      <c r="K1499" s="262" t="s">
        <v>4241</v>
      </c>
      <c r="O1499" s="262" t="s">
        <v>4241</v>
      </c>
    </row>
    <row r="1500" spans="1:15" ht="12.75" customHeight="1" x14ac:dyDescent="0.3">
      <c r="A1500" s="567" t="s">
        <v>1323</v>
      </c>
      <c r="B1500" s="566"/>
      <c r="C1500" s="566"/>
      <c r="D1500" s="566"/>
      <c r="E1500" s="566"/>
      <c r="F1500" s="566"/>
      <c r="G1500" s="567" t="s">
        <v>2501</v>
      </c>
      <c r="H1500" s="567" t="s">
        <v>617</v>
      </c>
      <c r="I1500" s="239" t="str">
        <f>IF(ISBLANK(continental!I543),"",continental!I543)</f>
        <v/>
      </c>
      <c r="K1500" s="262" t="s">
        <v>4241</v>
      </c>
      <c r="O1500" s="262" t="s">
        <v>4241</v>
      </c>
    </row>
    <row r="1501" spans="1:15" ht="12.75" customHeight="1" x14ac:dyDescent="0.3">
      <c r="A1501" s="567" t="s">
        <v>1323</v>
      </c>
      <c r="B1501" s="566"/>
      <c r="C1501" s="566"/>
      <c r="D1501" s="566"/>
      <c r="E1501" s="566"/>
      <c r="F1501" s="566"/>
      <c r="G1501" s="567" t="s">
        <v>2502</v>
      </c>
      <c r="H1501" s="567" t="s">
        <v>617</v>
      </c>
      <c r="I1501" s="239" t="str">
        <f>IF(ISBLANK(continental!I544),"",continental!I544)</f>
        <v/>
      </c>
      <c r="K1501" s="262" t="s">
        <v>4241</v>
      </c>
      <c r="O1501" s="262" t="s">
        <v>4241</v>
      </c>
    </row>
    <row r="1502" spans="1:15" ht="12.75" customHeight="1" x14ac:dyDescent="0.3">
      <c r="A1502" s="567" t="s">
        <v>1325</v>
      </c>
      <c r="B1502" s="566"/>
      <c r="C1502" s="566"/>
      <c r="D1502" s="566"/>
      <c r="E1502" s="566"/>
      <c r="F1502" s="566"/>
      <c r="G1502" s="567" t="s">
        <v>2503</v>
      </c>
      <c r="H1502" s="567" t="s">
        <v>617</v>
      </c>
      <c r="I1502" s="239" t="str">
        <f>IF(ISBLANK(continental!I545),"",continental!I545)</f>
        <v/>
      </c>
      <c r="K1502" s="262" t="s">
        <v>4241</v>
      </c>
      <c r="O1502" s="262" t="s">
        <v>4241</v>
      </c>
    </row>
    <row r="1503" spans="1:15" ht="12.75" customHeight="1" x14ac:dyDescent="0.3">
      <c r="A1503" s="567" t="s">
        <v>1325</v>
      </c>
      <c r="B1503" s="566"/>
      <c r="C1503" s="566"/>
      <c r="D1503" s="566"/>
      <c r="E1503" s="566"/>
      <c r="F1503" s="566"/>
      <c r="G1503" s="567" t="s">
        <v>2504</v>
      </c>
      <c r="H1503" s="567" t="s">
        <v>617</v>
      </c>
      <c r="I1503" s="239" t="str">
        <f>IF(ISBLANK(continental!I546),"",continental!I546)</f>
        <v/>
      </c>
      <c r="K1503" s="262" t="s">
        <v>4241</v>
      </c>
      <c r="O1503" s="262" t="s">
        <v>4241</v>
      </c>
    </row>
    <row r="1504" spans="1:15" ht="12.75" customHeight="1" x14ac:dyDescent="0.3">
      <c r="A1504" s="567" t="s">
        <v>1325</v>
      </c>
      <c r="B1504" s="566"/>
      <c r="C1504" s="566"/>
      <c r="D1504" s="566"/>
      <c r="E1504" s="566"/>
      <c r="F1504" s="566"/>
      <c r="G1504" s="567" t="s">
        <v>2505</v>
      </c>
      <c r="H1504" s="567" t="s">
        <v>617</v>
      </c>
      <c r="I1504" s="239" t="str">
        <f>IF(ISBLANK(continental!I547),"",continental!I547)</f>
        <v/>
      </c>
      <c r="K1504" s="262" t="s">
        <v>4241</v>
      </c>
      <c r="O1504" s="262" t="s">
        <v>4241</v>
      </c>
    </row>
    <row r="1505" spans="1:15" ht="12.75" customHeight="1" x14ac:dyDescent="0.3">
      <c r="A1505" s="567" t="s">
        <v>1327</v>
      </c>
      <c r="B1505" s="566"/>
      <c r="C1505" s="566"/>
      <c r="D1505" s="566"/>
      <c r="E1505" s="566"/>
      <c r="F1505" s="566"/>
      <c r="G1505" s="567" t="s">
        <v>2506</v>
      </c>
      <c r="H1505" s="567" t="s">
        <v>617</v>
      </c>
      <c r="I1505" s="239" t="str">
        <f>IF(ISBLANK(continental!I548),"",continental!I548)</f>
        <v/>
      </c>
      <c r="K1505" s="262" t="s">
        <v>4241</v>
      </c>
      <c r="O1505" s="262" t="s">
        <v>4241</v>
      </c>
    </row>
    <row r="1506" spans="1:15" ht="12.75" customHeight="1" x14ac:dyDescent="0.3">
      <c r="A1506" s="567" t="s">
        <v>1327</v>
      </c>
      <c r="B1506" s="566"/>
      <c r="C1506" s="566"/>
      <c r="D1506" s="566"/>
      <c r="E1506" s="566"/>
      <c r="F1506" s="566"/>
      <c r="G1506" s="567" t="s">
        <v>2507</v>
      </c>
      <c r="H1506" s="567" t="s">
        <v>617</v>
      </c>
      <c r="I1506" s="239" t="str">
        <f>IF(ISBLANK(continental!I549),"",continental!I549)</f>
        <v/>
      </c>
      <c r="K1506" s="262" t="s">
        <v>4241</v>
      </c>
      <c r="O1506" s="262" t="s">
        <v>4241</v>
      </c>
    </row>
    <row r="1507" spans="1:15" ht="12.75" customHeight="1" x14ac:dyDescent="0.3">
      <c r="A1507" s="567" t="s">
        <v>1327</v>
      </c>
      <c r="B1507" s="566"/>
      <c r="C1507" s="566"/>
      <c r="D1507" s="566"/>
      <c r="E1507" s="566"/>
      <c r="F1507" s="566"/>
      <c r="G1507" s="567" t="s">
        <v>2508</v>
      </c>
      <c r="H1507" s="567" t="s">
        <v>617</v>
      </c>
      <c r="I1507" s="239" t="str">
        <f>IF(ISBLANK(continental!I550),"",continental!I550)</f>
        <v/>
      </c>
      <c r="K1507" s="262" t="s">
        <v>4241</v>
      </c>
      <c r="O1507" s="262" t="s">
        <v>4241</v>
      </c>
    </row>
    <row r="1508" spans="1:15" ht="12.75" customHeight="1" x14ac:dyDescent="0.3">
      <c r="A1508" s="567" t="s">
        <v>1329</v>
      </c>
      <c r="B1508" s="566"/>
      <c r="C1508" s="566"/>
      <c r="D1508" s="566"/>
      <c r="E1508" s="566"/>
      <c r="F1508" s="566"/>
      <c r="G1508" s="567" t="s">
        <v>2509</v>
      </c>
      <c r="H1508" s="567" t="s">
        <v>617</v>
      </c>
      <c r="I1508" s="239" t="str">
        <f>IF(ISBLANK(continental!I551),"",continental!I551)</f>
        <v/>
      </c>
      <c r="K1508" s="262" t="s">
        <v>4241</v>
      </c>
      <c r="O1508" s="262" t="s">
        <v>4241</v>
      </c>
    </row>
    <row r="1509" spans="1:15" ht="12.75" customHeight="1" x14ac:dyDescent="0.3">
      <c r="A1509" s="567" t="s">
        <v>1329</v>
      </c>
      <c r="B1509" s="566"/>
      <c r="C1509" s="566"/>
      <c r="D1509" s="566"/>
      <c r="E1509" s="566"/>
      <c r="F1509" s="566"/>
      <c r="G1509" s="567" t="s">
        <v>2510</v>
      </c>
      <c r="H1509" s="567" t="s">
        <v>617</v>
      </c>
      <c r="I1509" s="239" t="str">
        <f>IF(ISBLANK(continental!I552),"",continental!I552)</f>
        <v/>
      </c>
      <c r="K1509" s="262" t="s">
        <v>4241</v>
      </c>
      <c r="O1509" s="262" t="s">
        <v>4241</v>
      </c>
    </row>
    <row r="1510" spans="1:15" ht="12.75" customHeight="1" x14ac:dyDescent="0.3">
      <c r="A1510" s="567" t="s">
        <v>1329</v>
      </c>
      <c r="B1510" s="566"/>
      <c r="C1510" s="566"/>
      <c r="D1510" s="566"/>
      <c r="E1510" s="566"/>
      <c r="F1510" s="566"/>
      <c r="G1510" s="567" t="s">
        <v>2511</v>
      </c>
      <c r="H1510" s="567" t="s">
        <v>617</v>
      </c>
      <c r="I1510" s="239" t="str">
        <f>IF(ISBLANK(continental!I553),"",continental!I553)</f>
        <v/>
      </c>
      <c r="K1510" s="262" t="s">
        <v>4241</v>
      </c>
      <c r="O1510" s="262" t="s">
        <v>4241</v>
      </c>
    </row>
    <row r="1511" spans="1:15" ht="12.75" customHeight="1" x14ac:dyDescent="0.3">
      <c r="A1511" s="567" t="s">
        <v>1331</v>
      </c>
      <c r="B1511" s="566"/>
      <c r="C1511" s="566"/>
      <c r="D1511" s="566"/>
      <c r="E1511" s="566"/>
      <c r="F1511" s="566"/>
      <c r="G1511" s="567" t="s">
        <v>2512</v>
      </c>
      <c r="H1511" s="567" t="s">
        <v>617</v>
      </c>
      <c r="I1511" s="239" t="str">
        <f>IF(ISBLANK(continental!I554),"",continental!I554)</f>
        <v/>
      </c>
      <c r="K1511" s="262" t="s">
        <v>4241</v>
      </c>
      <c r="O1511" s="262" t="s">
        <v>4241</v>
      </c>
    </row>
    <row r="1512" spans="1:15" ht="12.75" customHeight="1" x14ac:dyDescent="0.3">
      <c r="A1512" s="567" t="s">
        <v>1331</v>
      </c>
      <c r="B1512" s="566"/>
      <c r="C1512" s="566"/>
      <c r="D1512" s="566"/>
      <c r="E1512" s="566"/>
      <c r="F1512" s="566"/>
      <c r="G1512" s="567" t="s">
        <v>2513</v>
      </c>
      <c r="H1512" s="567" t="s">
        <v>617</v>
      </c>
      <c r="I1512" s="239" t="str">
        <f>IF(ISBLANK(continental!I555),"",continental!I555)</f>
        <v/>
      </c>
      <c r="K1512" s="262" t="s">
        <v>4241</v>
      </c>
      <c r="O1512" s="262" t="s">
        <v>4241</v>
      </c>
    </row>
    <row r="1513" spans="1:15" ht="12.75" customHeight="1" x14ac:dyDescent="0.3">
      <c r="A1513" s="567" t="s">
        <v>1331</v>
      </c>
      <c r="B1513" s="566"/>
      <c r="C1513" s="566"/>
      <c r="D1513" s="566"/>
      <c r="E1513" s="566"/>
      <c r="F1513" s="566"/>
      <c r="G1513" s="567" t="s">
        <v>2514</v>
      </c>
      <c r="H1513" s="567" t="s">
        <v>617</v>
      </c>
      <c r="I1513" s="239" t="str">
        <f>IF(ISBLANK(continental!I556),"",continental!I556)</f>
        <v/>
      </c>
      <c r="K1513" s="262" t="s">
        <v>4241</v>
      </c>
      <c r="O1513" s="262" t="s">
        <v>4241</v>
      </c>
    </row>
    <row r="1514" spans="1:15" ht="12.75" customHeight="1" x14ac:dyDescent="0.3">
      <c r="A1514" s="567" t="s">
        <v>1333</v>
      </c>
      <c r="B1514" s="566"/>
      <c r="C1514" s="566"/>
      <c r="D1514" s="566"/>
      <c r="E1514" s="566"/>
      <c r="F1514" s="566"/>
      <c r="G1514" s="567" t="s">
        <v>2515</v>
      </c>
      <c r="H1514" s="567" t="s">
        <v>617</v>
      </c>
      <c r="I1514" s="239" t="str">
        <f>IF(ISBLANK(continental!I557),"",continental!I557)</f>
        <v/>
      </c>
      <c r="K1514" s="262" t="s">
        <v>4241</v>
      </c>
      <c r="O1514" s="262" t="s">
        <v>4241</v>
      </c>
    </row>
    <row r="1515" spans="1:15" ht="12.75" customHeight="1" x14ac:dyDescent="0.3">
      <c r="A1515" s="567" t="s">
        <v>1333</v>
      </c>
      <c r="B1515" s="566"/>
      <c r="C1515" s="566"/>
      <c r="D1515" s="566"/>
      <c r="E1515" s="566"/>
      <c r="F1515" s="566"/>
      <c r="G1515" s="567" t="s">
        <v>2516</v>
      </c>
      <c r="H1515" s="567" t="s">
        <v>617</v>
      </c>
      <c r="I1515" s="239" t="str">
        <f>IF(ISBLANK(continental!I558),"",continental!I558)</f>
        <v/>
      </c>
      <c r="K1515" s="262" t="s">
        <v>4241</v>
      </c>
      <c r="O1515" s="262" t="s">
        <v>4241</v>
      </c>
    </row>
    <row r="1516" spans="1:15" ht="12.75" customHeight="1" x14ac:dyDescent="0.3">
      <c r="A1516" s="567" t="s">
        <v>1333</v>
      </c>
      <c r="B1516" s="566"/>
      <c r="C1516" s="566"/>
      <c r="D1516" s="566"/>
      <c r="E1516" s="566"/>
      <c r="F1516" s="566"/>
      <c r="G1516" s="567" t="s">
        <v>2517</v>
      </c>
      <c r="H1516" s="567" t="s">
        <v>617</v>
      </c>
      <c r="I1516" s="239" t="str">
        <f>IF(ISBLANK(continental!I559),"",continental!I559)</f>
        <v/>
      </c>
      <c r="K1516" s="262" t="s">
        <v>4241</v>
      </c>
      <c r="O1516" s="262" t="s">
        <v>4241</v>
      </c>
    </row>
    <row r="1517" spans="1:15" ht="12.75" customHeight="1" x14ac:dyDescent="0.3">
      <c r="A1517" s="566"/>
      <c r="B1517" s="566" t="s">
        <v>1912</v>
      </c>
      <c r="C1517" s="566"/>
      <c r="D1517" s="566"/>
      <c r="E1517" s="566"/>
      <c r="F1517" s="566"/>
      <c r="G1517" s="567" t="s">
        <v>2518</v>
      </c>
      <c r="H1517" s="567" t="s">
        <v>335</v>
      </c>
      <c r="I1517" s="239" t="str">
        <f>IF(ISBLANK(continental!I560),"",continental!I560)</f>
        <v/>
      </c>
      <c r="K1517" s="262" t="s">
        <v>4241</v>
      </c>
      <c r="O1517" s="262" t="s">
        <v>4241</v>
      </c>
    </row>
    <row r="1518" spans="1:15" ht="12.75" customHeight="1" x14ac:dyDescent="0.3">
      <c r="A1518" s="566"/>
      <c r="B1518" s="566" t="s">
        <v>1915</v>
      </c>
      <c r="C1518" s="566"/>
      <c r="D1518" s="566"/>
      <c r="E1518" s="566"/>
      <c r="F1518" s="566"/>
      <c r="G1518" s="567" t="s">
        <v>2519</v>
      </c>
      <c r="H1518" s="567" t="s">
        <v>335</v>
      </c>
      <c r="I1518" s="239" t="str">
        <f>IF(ISBLANK(continental!I561),"",continental!I561)</f>
        <v/>
      </c>
      <c r="K1518" s="262" t="s">
        <v>4241</v>
      </c>
      <c r="O1518" s="262" t="s">
        <v>4241</v>
      </c>
    </row>
    <row r="1519" spans="1:15" ht="12.75" customHeight="1" x14ac:dyDescent="0.3">
      <c r="A1519" s="566"/>
      <c r="B1519" s="566" t="s">
        <v>1917</v>
      </c>
      <c r="C1519" s="566"/>
      <c r="D1519" s="566"/>
      <c r="E1519" s="566"/>
      <c r="F1519" s="566"/>
      <c r="G1519" s="567" t="s">
        <v>2520</v>
      </c>
      <c r="H1519" s="567" t="s">
        <v>335</v>
      </c>
      <c r="I1519" s="239" t="str">
        <f>IF(ISBLANK(continental!I562),"",continental!I562)</f>
        <v/>
      </c>
      <c r="K1519" s="262" t="s">
        <v>4241</v>
      </c>
      <c r="O1519" s="262" t="s">
        <v>4241</v>
      </c>
    </row>
    <row r="1520" spans="1:15" ht="12.75" customHeight="1" x14ac:dyDescent="0.3">
      <c r="A1520" s="566"/>
      <c r="B1520" s="566" t="s">
        <v>1919</v>
      </c>
      <c r="C1520" s="566"/>
      <c r="D1520" s="566"/>
      <c r="E1520" s="566"/>
      <c r="F1520" s="566"/>
      <c r="G1520" s="567" t="s">
        <v>2521</v>
      </c>
      <c r="H1520" s="567" t="s">
        <v>335</v>
      </c>
      <c r="I1520" s="239" t="str">
        <f>IF(ISBLANK(continental!I563),"",continental!I563)</f>
        <v/>
      </c>
      <c r="K1520" s="262" t="s">
        <v>4241</v>
      </c>
      <c r="O1520" s="262" t="s">
        <v>4241</v>
      </c>
    </row>
    <row r="1521" spans="1:15" ht="12.75" customHeight="1" x14ac:dyDescent="0.3">
      <c r="A1521" s="566"/>
      <c r="B1521" s="566" t="s">
        <v>1922</v>
      </c>
      <c r="C1521" s="566"/>
      <c r="D1521" s="566"/>
      <c r="E1521" s="566"/>
      <c r="F1521" s="566"/>
      <c r="G1521" s="567" t="s">
        <v>2522</v>
      </c>
      <c r="H1521" s="567" t="s">
        <v>335</v>
      </c>
      <c r="I1521" s="239" t="str">
        <f>IF(ISBLANK(continental!I564),"",continental!I564)</f>
        <v/>
      </c>
      <c r="K1521" s="262" t="s">
        <v>4241</v>
      </c>
      <c r="O1521" s="262" t="s">
        <v>4241</v>
      </c>
    </row>
    <row r="1522" spans="1:15" ht="12.75" customHeight="1" x14ac:dyDescent="0.3">
      <c r="A1522" s="566"/>
      <c r="B1522" s="566" t="s">
        <v>1924</v>
      </c>
      <c r="C1522" s="566"/>
      <c r="D1522" s="566"/>
      <c r="E1522" s="566"/>
      <c r="F1522" s="566"/>
      <c r="G1522" s="567" t="s">
        <v>2523</v>
      </c>
      <c r="H1522" s="567" t="s">
        <v>335</v>
      </c>
      <c r="I1522" s="239" t="str">
        <f>IF(ISBLANK(continental!I565),"",continental!I565)</f>
        <v/>
      </c>
      <c r="K1522" s="262" t="s">
        <v>4241</v>
      </c>
      <c r="O1522" s="262" t="s">
        <v>4241</v>
      </c>
    </row>
    <row r="1524" spans="1:15" ht="12.75" customHeight="1" x14ac:dyDescent="0.3">
      <c r="A1524" s="101" t="s">
        <v>2524</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947</v>
      </c>
      <c r="B1526" s="147"/>
      <c r="C1526" s="147"/>
      <c r="D1526" s="147"/>
      <c r="E1526" s="147"/>
      <c r="F1526" s="147"/>
      <c r="G1526" s="148" t="s">
        <v>258</v>
      </c>
      <c r="H1526" s="148" t="s">
        <v>274</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948</v>
      </c>
      <c r="B1528" s="17"/>
      <c r="C1528" s="17"/>
      <c r="D1528" s="17"/>
      <c r="E1528" s="17"/>
      <c r="F1528" s="17"/>
      <c r="G1528" s="38" t="s">
        <v>2525</v>
      </c>
      <c r="H1528" s="17" t="s">
        <v>950</v>
      </c>
      <c r="I1528" s="239" t="str">
        <f>IF(ISBLANK(global!I5),"",global!I5)</f>
        <v/>
      </c>
      <c r="K1528" s="262" t="s">
        <v>4241</v>
      </c>
      <c r="O1528" s="262" t="s">
        <v>4241</v>
      </c>
    </row>
    <row r="1529" spans="1:15" ht="12.75" customHeight="1" x14ac:dyDescent="0.3">
      <c r="A1529" s="567" t="s">
        <v>1928</v>
      </c>
      <c r="B1529" s="566"/>
      <c r="C1529" s="566"/>
      <c r="D1529" s="566"/>
      <c r="E1529" s="566"/>
      <c r="F1529" s="566"/>
      <c r="G1529" s="567" t="s">
        <v>2526</v>
      </c>
      <c r="H1529" s="566" t="s">
        <v>950</v>
      </c>
      <c r="I1529" s="239" t="str">
        <f>IF(ISBLANK(global!I6),"",global!I6)</f>
        <v/>
      </c>
      <c r="K1529" s="262" t="s">
        <v>4241</v>
      </c>
      <c r="O1529" s="262" t="s">
        <v>4241</v>
      </c>
    </row>
    <row r="1530" spans="1:15" ht="12.75" customHeight="1" x14ac:dyDescent="0.3">
      <c r="A1530" s="38" t="s">
        <v>2527</v>
      </c>
      <c r="B1530" s="17"/>
      <c r="C1530" s="17"/>
      <c r="D1530" s="17"/>
      <c r="E1530" s="17"/>
      <c r="F1530" s="17"/>
      <c r="G1530" s="38" t="s">
        <v>2528</v>
      </c>
      <c r="H1530" s="17" t="s">
        <v>950</v>
      </c>
      <c r="I1530" s="239" t="str">
        <f>IF(ISBLANK(global!I7),"",global!I7)</f>
        <v/>
      </c>
      <c r="K1530" s="262" t="s">
        <v>4241</v>
      </c>
      <c r="O1530" s="262" t="s">
        <v>4241</v>
      </c>
    </row>
    <row r="1531" spans="1:15" ht="12.75" customHeight="1" x14ac:dyDescent="0.3">
      <c r="A1531" s="38" t="s">
        <v>2529</v>
      </c>
      <c r="B1531" s="17"/>
      <c r="C1531" s="17"/>
      <c r="D1531" s="17"/>
      <c r="E1531" s="17"/>
      <c r="F1531" s="17"/>
      <c r="G1531" s="38" t="s">
        <v>2530</v>
      </c>
      <c r="H1531" s="17" t="s">
        <v>950</v>
      </c>
      <c r="I1531" s="239" t="str">
        <f>IF(ISBLANK(global!I8),"",global!I8)</f>
        <v/>
      </c>
      <c r="K1531" s="262" t="s">
        <v>4241</v>
      </c>
      <c r="O1531" s="262" t="s">
        <v>4241</v>
      </c>
    </row>
    <row r="1532" spans="1:15" ht="12.75" customHeight="1" x14ac:dyDescent="0.3">
      <c r="A1532" s="38" t="s">
        <v>2531</v>
      </c>
      <c r="B1532" s="17"/>
      <c r="C1532" s="17"/>
      <c r="D1532" s="17"/>
      <c r="E1532" s="17"/>
      <c r="F1532" s="17"/>
      <c r="G1532" s="38" t="s">
        <v>2532</v>
      </c>
      <c r="H1532" s="17" t="s">
        <v>950</v>
      </c>
      <c r="I1532" s="239" t="str">
        <f>IF(ISBLANK(global!I9),"",global!I9)</f>
        <v/>
      </c>
      <c r="K1532" s="262" t="s">
        <v>4241</v>
      </c>
      <c r="O1532" s="262" t="s">
        <v>4241</v>
      </c>
    </row>
    <row r="1533" spans="1:15" ht="12.75" customHeight="1" x14ac:dyDescent="0.3">
      <c r="A1533" s="38" t="s">
        <v>2533</v>
      </c>
      <c r="B1533" s="17"/>
      <c r="C1533" s="17"/>
      <c r="D1533" s="17"/>
      <c r="E1533" s="17"/>
      <c r="F1533" s="17"/>
      <c r="G1533" s="38" t="s">
        <v>2534</v>
      </c>
      <c r="H1533" s="17" t="s">
        <v>950</v>
      </c>
      <c r="I1533" s="239" t="str">
        <f>IF(ISBLANK(global!I10),"",global!I10)</f>
        <v/>
      </c>
      <c r="K1533" s="262" t="s">
        <v>4241</v>
      </c>
      <c r="O1533" s="262" t="s">
        <v>4241</v>
      </c>
    </row>
    <row r="1534" spans="1:15" ht="12.75" customHeight="1" x14ac:dyDescent="0.3">
      <c r="A1534" s="17"/>
      <c r="B1534" s="38" t="s">
        <v>2535</v>
      </c>
      <c r="C1534" s="17"/>
      <c r="D1534" s="17"/>
      <c r="E1534" s="17"/>
      <c r="F1534" s="17"/>
      <c r="G1534" s="38" t="s">
        <v>2536</v>
      </c>
      <c r="H1534" s="17" t="s">
        <v>672</v>
      </c>
      <c r="I1534" s="239" t="str">
        <f>IF(ISBLANK(global!I11),"",global!I11)</f>
        <v/>
      </c>
      <c r="K1534" s="262" t="s">
        <v>4241</v>
      </c>
      <c r="O1534" s="262" t="s">
        <v>4241</v>
      </c>
    </row>
    <row r="1535" spans="1:15" ht="12.75" customHeight="1" x14ac:dyDescent="0.3">
      <c r="A1535" s="17"/>
      <c r="B1535" s="38" t="s">
        <v>2537</v>
      </c>
      <c r="C1535" s="17"/>
      <c r="D1535" s="17"/>
      <c r="E1535" s="17"/>
      <c r="F1535" s="17"/>
      <c r="G1535" s="146" t="s">
        <v>2538</v>
      </c>
      <c r="H1535" s="17" t="s">
        <v>291</v>
      </c>
      <c r="I1535" s="239" t="str">
        <f>IF(ISBLANK(global!I12),"",global!I12)</f>
        <v/>
      </c>
      <c r="K1535" s="262" t="s">
        <v>4241</v>
      </c>
      <c r="O1535" s="262" t="s">
        <v>4241</v>
      </c>
    </row>
    <row r="1536" spans="1:15" ht="12.75" customHeight="1" x14ac:dyDescent="0.3">
      <c r="A1536" s="17"/>
      <c r="B1536" s="38" t="s">
        <v>2539</v>
      </c>
      <c r="C1536" s="17"/>
      <c r="D1536" s="17"/>
      <c r="E1536" s="17"/>
      <c r="F1536" s="17"/>
      <c r="G1536" s="146" t="s">
        <v>2540</v>
      </c>
      <c r="H1536" s="17" t="s">
        <v>291</v>
      </c>
      <c r="I1536" s="239" t="str">
        <f>IF(ISBLANK(global!I13),"",global!I13)</f>
        <v/>
      </c>
      <c r="K1536" s="262" t="s">
        <v>4241</v>
      </c>
      <c r="O1536" s="262" t="s">
        <v>4241</v>
      </c>
    </row>
    <row r="1537" spans="1:15" ht="12.75" customHeight="1" x14ac:dyDescent="0.3">
      <c r="A1537" s="17"/>
      <c r="B1537" s="17"/>
      <c r="C1537" s="38" t="s">
        <v>987</v>
      </c>
      <c r="D1537" s="17"/>
      <c r="E1537" s="17"/>
      <c r="F1537" s="17"/>
      <c r="G1537" s="146" t="s">
        <v>2541</v>
      </c>
      <c r="H1537" s="38" t="s">
        <v>813</v>
      </c>
      <c r="I1537" s="239" t="str">
        <f>IF(ISBLANK(global!I14),"",global!I14)</f>
        <v/>
      </c>
      <c r="K1537" s="262" t="s">
        <v>4241</v>
      </c>
      <c r="O1537" s="262" t="s">
        <v>4241</v>
      </c>
    </row>
    <row r="1538" spans="1:15" ht="12.75" customHeight="1" x14ac:dyDescent="0.3">
      <c r="A1538" s="17"/>
      <c r="B1538" s="17"/>
      <c r="C1538" s="38" t="s">
        <v>2542</v>
      </c>
      <c r="D1538" s="17"/>
      <c r="E1538" s="17"/>
      <c r="F1538" s="17"/>
      <c r="G1538" s="146" t="s">
        <v>2543</v>
      </c>
      <c r="H1538" s="38" t="s">
        <v>813</v>
      </c>
      <c r="I1538" s="239" t="str">
        <f>IF(ISBLANK(global!I15),"",global!I15)</f>
        <v/>
      </c>
      <c r="K1538" s="262" t="s">
        <v>4241</v>
      </c>
      <c r="O1538" s="262" t="s">
        <v>4241</v>
      </c>
    </row>
    <row r="1539" spans="1:15" ht="12.75" customHeight="1" x14ac:dyDescent="0.3">
      <c r="A1539" s="17"/>
      <c r="B1539" s="17"/>
      <c r="C1539" s="38" t="s">
        <v>2544</v>
      </c>
      <c r="D1539" s="17"/>
      <c r="E1539" s="17"/>
      <c r="F1539" s="17"/>
      <c r="G1539" s="146" t="s">
        <v>2545</v>
      </c>
      <c r="H1539" s="38" t="s">
        <v>813</v>
      </c>
      <c r="I1539" s="239" t="str">
        <f>IF(ISBLANK(global!I16),"",global!I16)</f>
        <v/>
      </c>
      <c r="K1539" s="262" t="s">
        <v>4241</v>
      </c>
      <c r="O1539" s="262" t="s">
        <v>4241</v>
      </c>
    </row>
    <row r="1540" spans="1:15" ht="12.75" customHeight="1" x14ac:dyDescent="0.3">
      <c r="A1540" s="17"/>
      <c r="B1540" s="17"/>
      <c r="C1540" s="38" t="s">
        <v>2546</v>
      </c>
      <c r="D1540" s="17"/>
      <c r="E1540" s="17"/>
      <c r="F1540" s="17"/>
      <c r="G1540" s="146" t="s">
        <v>2547</v>
      </c>
      <c r="H1540" s="38" t="s">
        <v>997</v>
      </c>
      <c r="I1540" s="239" t="str">
        <f>IF(ISBLANK(global!I17),"",global!I17)</f>
        <v/>
      </c>
      <c r="K1540" s="262" t="s">
        <v>4241</v>
      </c>
      <c r="O1540" s="262" t="s">
        <v>4241</v>
      </c>
    </row>
    <row r="1541" spans="1:15" ht="12.75" customHeight="1" x14ac:dyDescent="0.3">
      <c r="A1541" s="38"/>
      <c r="B1541" s="17"/>
      <c r="C1541" s="38" t="s">
        <v>2548</v>
      </c>
      <c r="D1541" s="146"/>
      <c r="E1541" s="146"/>
      <c r="F1541" s="17"/>
      <c r="G1541" s="146" t="s">
        <v>2549</v>
      </c>
      <c r="H1541" s="38" t="s">
        <v>813</v>
      </c>
      <c r="I1541" s="239" t="str">
        <f>IF(ISBLANK(global!I18),"",global!I18)</f>
        <v/>
      </c>
      <c r="K1541" s="262" t="s">
        <v>4241</v>
      </c>
      <c r="O1541" s="262" t="s">
        <v>4241</v>
      </c>
    </row>
    <row r="1542" spans="1:15" ht="12.75" customHeight="1" x14ac:dyDescent="0.3">
      <c r="A1542" s="566"/>
      <c r="B1542" s="566"/>
      <c r="C1542" s="566" t="s">
        <v>1008</v>
      </c>
      <c r="D1542" s="566"/>
      <c r="E1542" s="566"/>
      <c r="F1542" s="566"/>
      <c r="G1542" s="567" t="s">
        <v>2550</v>
      </c>
      <c r="H1542" s="567" t="s">
        <v>1010</v>
      </c>
      <c r="I1542" s="239" t="str">
        <f>IF(ISBLANK(global!I19),"",global!I19)</f>
        <v/>
      </c>
      <c r="K1542" s="262" t="s">
        <v>4241</v>
      </c>
      <c r="O1542" s="262" t="s">
        <v>4241</v>
      </c>
    </row>
    <row r="1543" spans="1:15" ht="12.75" customHeight="1" x14ac:dyDescent="0.3">
      <c r="A1543" s="17"/>
      <c r="B1543" s="17"/>
      <c r="C1543" s="17" t="s">
        <v>1012</v>
      </c>
      <c r="D1543" s="17"/>
      <c r="E1543" s="17"/>
      <c r="F1543" s="17"/>
      <c r="G1543" s="38" t="s">
        <v>2551</v>
      </c>
      <c r="H1543" s="38" t="s">
        <v>1010</v>
      </c>
      <c r="I1543" s="239" t="str">
        <f>IF(ISBLANK(global!I20),"",global!I20)</f>
        <v/>
      </c>
      <c r="K1543" s="262" t="s">
        <v>4241</v>
      </c>
      <c r="O1543" s="262" t="s">
        <v>4241</v>
      </c>
    </row>
    <row r="1544" spans="1:15" ht="12.75" customHeight="1" x14ac:dyDescent="0.3">
      <c r="A1544" s="17"/>
      <c r="B1544" s="17"/>
      <c r="C1544" s="17" t="s">
        <v>1015</v>
      </c>
      <c r="D1544" s="17"/>
      <c r="E1544" s="17"/>
      <c r="F1544" s="17"/>
      <c r="G1544" s="38" t="s">
        <v>2552</v>
      </c>
      <c r="H1544" s="38" t="s">
        <v>1010</v>
      </c>
      <c r="I1544" s="239" t="str">
        <f>IF(ISBLANK(global!I21),"",global!I21)</f>
        <v/>
      </c>
      <c r="K1544" s="262" t="s">
        <v>4241</v>
      </c>
      <c r="O1544" s="262" t="s">
        <v>4241</v>
      </c>
    </row>
    <row r="1545" spans="1:15" ht="12.75" customHeight="1" x14ac:dyDescent="0.3">
      <c r="A1545" s="38"/>
      <c r="B1545" s="17"/>
      <c r="C1545" s="38" t="s">
        <v>2553</v>
      </c>
      <c r="D1545" s="146"/>
      <c r="E1545" s="146"/>
      <c r="F1545" s="17"/>
      <c r="G1545" s="146" t="s">
        <v>2554</v>
      </c>
      <c r="H1545" s="38" t="s">
        <v>1010</v>
      </c>
      <c r="I1545" s="239" t="str">
        <f>IF(ISBLANK(global!I22),"",global!I22)</f>
        <v/>
      </c>
      <c r="K1545" s="262" t="s">
        <v>4241</v>
      </c>
      <c r="O1545" s="262" t="s">
        <v>4241</v>
      </c>
    </row>
    <row r="1546" spans="1:15" ht="12.75" customHeight="1" x14ac:dyDescent="0.3">
      <c r="A1546" s="17"/>
      <c r="B1546" s="17"/>
      <c r="C1546" s="38" t="s">
        <v>2555</v>
      </c>
      <c r="D1546" s="17"/>
      <c r="E1546" s="17"/>
      <c r="F1546" s="17"/>
      <c r="G1546" s="146" t="s">
        <v>2556</v>
      </c>
      <c r="H1546" s="38" t="s">
        <v>1010</v>
      </c>
      <c r="I1546" s="239" t="str">
        <f>IF(ISBLANK(global!I23),"",global!I23)</f>
        <v/>
      </c>
      <c r="K1546" s="262" t="s">
        <v>4241</v>
      </c>
      <c r="O1546" s="262" t="s">
        <v>4241</v>
      </c>
    </row>
    <row r="1547" spans="1:15" ht="12.75" customHeight="1" x14ac:dyDescent="0.3">
      <c r="A1547" s="17"/>
      <c r="B1547" s="17"/>
      <c r="C1547" s="38" t="s">
        <v>2557</v>
      </c>
      <c r="D1547" s="17"/>
      <c r="E1547" s="17"/>
      <c r="F1547" s="17"/>
      <c r="G1547" s="146" t="s">
        <v>2558</v>
      </c>
      <c r="H1547" s="38" t="s">
        <v>1010</v>
      </c>
      <c r="I1547" s="239" t="str">
        <f>IF(ISBLANK(global!I24),"",global!I24)</f>
        <v/>
      </c>
      <c r="K1547" s="262" t="s">
        <v>4241</v>
      </c>
      <c r="O1547" s="262" t="s">
        <v>4241</v>
      </c>
    </row>
    <row r="1548" spans="1:15" ht="12.75" customHeight="1" x14ac:dyDescent="0.3">
      <c r="A1548" s="38"/>
      <c r="B1548" s="17"/>
      <c r="C1548" s="38" t="s">
        <v>1035</v>
      </c>
      <c r="D1548" s="146"/>
      <c r="E1548" s="146"/>
      <c r="F1548" s="17"/>
      <c r="G1548" s="146" t="s">
        <v>2559</v>
      </c>
      <c r="H1548" s="38" t="s">
        <v>1010</v>
      </c>
      <c r="I1548" s="239" t="str">
        <f>IF(ISBLANK(global!I25),"",global!I25)</f>
        <v/>
      </c>
      <c r="K1548" s="262" t="s">
        <v>4241</v>
      </c>
      <c r="O1548" s="262" t="s">
        <v>4241</v>
      </c>
    </row>
    <row r="1549" spans="1:15" ht="12.75" customHeight="1" x14ac:dyDescent="0.3">
      <c r="A1549" s="38"/>
      <c r="B1549" s="17"/>
      <c r="C1549" s="38" t="s">
        <v>1037</v>
      </c>
      <c r="D1549" s="146"/>
      <c r="E1549" s="146"/>
      <c r="F1549" s="17"/>
      <c r="G1549" s="146" t="s">
        <v>2560</v>
      </c>
      <c r="H1549" s="38" t="s">
        <v>1010</v>
      </c>
      <c r="I1549" s="239" t="str">
        <f>IF(ISBLANK(global!I26),"",global!I26)</f>
        <v/>
      </c>
      <c r="K1549" s="262" t="s">
        <v>4241</v>
      </c>
      <c r="O1549" s="262" t="s">
        <v>4241</v>
      </c>
    </row>
    <row r="1550" spans="1:15" ht="12.75" customHeight="1" x14ac:dyDescent="0.3">
      <c r="A1550" s="17"/>
      <c r="B1550" s="17"/>
      <c r="C1550" s="17"/>
      <c r="D1550" s="17"/>
      <c r="E1550" s="17"/>
      <c r="F1550" s="17"/>
      <c r="G1550" s="17"/>
      <c r="H1550" s="17"/>
      <c r="I1550" s="239" t="str">
        <f>IF(ISBLANK(global!I27),"",global!I27)</f>
        <v/>
      </c>
      <c r="K1550" s="262" t="s">
        <v>4241</v>
      </c>
      <c r="O1550" s="262" t="s">
        <v>4241</v>
      </c>
    </row>
    <row r="1551" spans="1:15" ht="12.75" customHeight="1" x14ac:dyDescent="0.3">
      <c r="A1551" s="216" t="s">
        <v>2561</v>
      </c>
      <c r="B1551" s="228"/>
      <c r="C1551" s="228"/>
      <c r="D1551" s="228"/>
      <c r="E1551" s="228"/>
      <c r="F1551" s="228"/>
      <c r="G1551" s="216" t="s">
        <v>2562</v>
      </c>
      <c r="H1551" s="216" t="s">
        <v>617</v>
      </c>
      <c r="I1551" s="239" t="str">
        <f>IF(ISBLANK(global!I28),"",global!I28)</f>
        <v/>
      </c>
      <c r="K1551" s="262" t="s">
        <v>4241</v>
      </c>
      <c r="O1551" s="262" t="s">
        <v>4241</v>
      </c>
    </row>
    <row r="1552" spans="1:15" ht="12.75" customHeight="1" x14ac:dyDescent="0.3">
      <c r="A1552" s="216" t="s">
        <v>2563</v>
      </c>
      <c r="B1552" s="228"/>
      <c r="C1552" s="228"/>
      <c r="D1552" s="228"/>
      <c r="E1552" s="228"/>
      <c r="F1552" s="228"/>
      <c r="G1552" s="216" t="s">
        <v>2564</v>
      </c>
      <c r="H1552" s="216" t="s">
        <v>617</v>
      </c>
      <c r="I1552" s="239" t="str">
        <f>IF(ISBLANK(global!I29),"",global!I29)</f>
        <v/>
      </c>
      <c r="K1552" s="262" t="s">
        <v>4241</v>
      </c>
      <c r="O1552" s="262" t="s">
        <v>4241</v>
      </c>
    </row>
    <row r="1553" spans="1:15" ht="12.75" customHeight="1" x14ac:dyDescent="0.3">
      <c r="A1553" s="216" t="s">
        <v>2565</v>
      </c>
      <c r="B1553" s="228"/>
      <c r="C1553" s="228"/>
      <c r="D1553" s="228"/>
      <c r="E1553" s="228"/>
      <c r="F1553" s="228"/>
      <c r="G1553" s="216" t="s">
        <v>2566</v>
      </c>
      <c r="H1553" s="216" t="s">
        <v>617</v>
      </c>
      <c r="I1553" s="239" t="str">
        <f>IF(ISBLANK(global!I30),"",global!I30)</f>
        <v/>
      </c>
      <c r="K1553" s="262" t="s">
        <v>4241</v>
      </c>
      <c r="O1553" s="262" t="s">
        <v>4241</v>
      </c>
    </row>
    <row r="1554" spans="1:15" ht="12.75" customHeight="1" x14ac:dyDescent="0.3">
      <c r="A1554" s="17"/>
      <c r="B1554" s="17"/>
      <c r="C1554" s="17"/>
      <c r="D1554" s="146"/>
      <c r="E1554" s="17"/>
      <c r="F1554" s="17"/>
      <c r="G1554" s="38"/>
      <c r="H1554" s="17"/>
      <c r="I1554" s="239" t="str">
        <f>IF(ISBLANK(global!I31),"",global!I31)</f>
        <v/>
      </c>
      <c r="K1554" s="262" t="s">
        <v>4241</v>
      </c>
      <c r="O1554" s="262" t="s">
        <v>4241</v>
      </c>
    </row>
    <row r="1555" spans="1:15" ht="12.75" customHeight="1" x14ac:dyDescent="0.3">
      <c r="A1555" s="38" t="s">
        <v>2567</v>
      </c>
      <c r="B1555" s="17"/>
      <c r="C1555" s="17"/>
      <c r="D1555" s="17"/>
      <c r="E1555" s="17"/>
      <c r="F1555" s="17"/>
      <c r="G1555" s="38" t="s">
        <v>2568</v>
      </c>
      <c r="H1555" s="38" t="s">
        <v>617</v>
      </c>
      <c r="I1555" s="239" t="str">
        <f>IF(ISBLANK(global!I32),"",global!I32)</f>
        <v/>
      </c>
      <c r="K1555" s="262" t="s">
        <v>4241</v>
      </c>
      <c r="O1555" s="262" t="s">
        <v>4241</v>
      </c>
    </row>
    <row r="1556" spans="1:15" ht="12.75" customHeight="1" x14ac:dyDescent="0.3">
      <c r="A1556" s="38" t="s">
        <v>2569</v>
      </c>
      <c r="B1556" s="17"/>
      <c r="C1556" s="17"/>
      <c r="D1556" s="17"/>
      <c r="E1556" s="17"/>
      <c r="F1556" s="17"/>
      <c r="G1556" s="38" t="s">
        <v>2570</v>
      </c>
      <c r="H1556" s="38" t="s">
        <v>617</v>
      </c>
      <c r="I1556" s="239" t="str">
        <f>IF(ISBLANK(global!I33),"",global!I33)</f>
        <v/>
      </c>
      <c r="K1556" s="262" t="s">
        <v>4241</v>
      </c>
      <c r="O1556" s="262" t="s">
        <v>4241</v>
      </c>
    </row>
    <row r="1557" spans="1:15" ht="12.75" customHeight="1" x14ac:dyDescent="0.3">
      <c r="A1557" s="38" t="s">
        <v>2571</v>
      </c>
      <c r="B1557" s="17"/>
      <c r="C1557" s="17"/>
      <c r="D1557" s="17"/>
      <c r="E1557" s="17"/>
      <c r="F1557" s="17"/>
      <c r="G1557" s="38" t="s">
        <v>2572</v>
      </c>
      <c r="H1557" s="38" t="s">
        <v>617</v>
      </c>
      <c r="I1557" s="239" t="str">
        <f>IF(ISBLANK(global!I34),"",global!I34)</f>
        <v/>
      </c>
      <c r="K1557" s="262" t="s">
        <v>4241</v>
      </c>
      <c r="O1557" s="262" t="s">
        <v>4241</v>
      </c>
    </row>
    <row r="1558" spans="1:15" ht="12.75" customHeight="1" x14ac:dyDescent="0.3">
      <c r="A1558" s="38" t="s">
        <v>2573</v>
      </c>
      <c r="B1558" s="17"/>
      <c r="C1558" s="17"/>
      <c r="D1558" s="17"/>
      <c r="E1558" s="17"/>
      <c r="F1558" s="17"/>
      <c r="G1558" s="38" t="s">
        <v>2574</v>
      </c>
      <c r="H1558" s="38" t="s">
        <v>617</v>
      </c>
      <c r="I1558" s="239" t="str">
        <f>IF(ISBLANK(global!I35),"",global!I35)</f>
        <v/>
      </c>
      <c r="K1558" s="262" t="s">
        <v>4241</v>
      </c>
      <c r="O1558" s="262" t="s">
        <v>4241</v>
      </c>
    </row>
    <row r="1559" spans="1:15" ht="12.75" customHeight="1" x14ac:dyDescent="0.3">
      <c r="A1559" s="38" t="s">
        <v>2575</v>
      </c>
      <c r="B1559" s="17"/>
      <c r="C1559" s="17"/>
      <c r="D1559" s="17"/>
      <c r="E1559" s="17"/>
      <c r="F1559" s="17"/>
      <c r="G1559" s="38" t="s">
        <v>2576</v>
      </c>
      <c r="H1559" s="38" t="s">
        <v>617</v>
      </c>
      <c r="I1559" s="239" t="str">
        <f>IF(ISBLANK(global!I36),"",global!I36)</f>
        <v/>
      </c>
      <c r="K1559" s="262" t="s">
        <v>4241</v>
      </c>
      <c r="O1559" s="262" t="s">
        <v>4241</v>
      </c>
    </row>
    <row r="1560" spans="1:15" ht="12.75" customHeight="1" x14ac:dyDescent="0.3">
      <c r="A1560" s="38"/>
      <c r="B1560" s="38" t="s">
        <v>2577</v>
      </c>
      <c r="C1560" s="17"/>
      <c r="D1560" s="17"/>
      <c r="E1560" s="17"/>
      <c r="F1560" s="17"/>
      <c r="G1560" s="146" t="s">
        <v>2578</v>
      </c>
      <c r="H1560" s="17" t="s">
        <v>1058</v>
      </c>
      <c r="I1560" s="239" t="str">
        <f>IF(ISBLANK(global!I37),"",global!I37)</f>
        <v/>
      </c>
      <c r="K1560" s="262" t="s">
        <v>4241</v>
      </c>
      <c r="O1560" s="262" t="s">
        <v>4241</v>
      </c>
    </row>
    <row r="1561" spans="1:15" ht="12.75" customHeight="1" x14ac:dyDescent="0.3">
      <c r="A1561" s="38"/>
      <c r="B1561" s="38" t="s">
        <v>2579</v>
      </c>
      <c r="C1561" s="17"/>
      <c r="D1561" s="17"/>
      <c r="E1561" s="17"/>
      <c r="F1561" s="17"/>
      <c r="G1561" s="146" t="s">
        <v>2580</v>
      </c>
      <c r="H1561" s="17" t="s">
        <v>1058</v>
      </c>
      <c r="I1561" s="239" t="str">
        <f>IF(ISBLANK(global!I38),"",global!I38)</f>
        <v/>
      </c>
      <c r="K1561" s="262" t="s">
        <v>4241</v>
      </c>
      <c r="O1561" s="262" t="s">
        <v>4241</v>
      </c>
    </row>
    <row r="1562" spans="1:15" ht="12.75" customHeight="1" x14ac:dyDescent="0.3">
      <c r="A1562" s="38"/>
      <c r="B1562" s="38" t="s">
        <v>2581</v>
      </c>
      <c r="C1562" s="17"/>
      <c r="D1562" s="17"/>
      <c r="E1562" s="17"/>
      <c r="F1562" s="17"/>
      <c r="G1562" s="146" t="s">
        <v>2582</v>
      </c>
      <c r="H1562" s="17" t="s">
        <v>1058</v>
      </c>
      <c r="I1562" s="239" t="str">
        <f>IF(ISBLANK(global!I39),"",global!I39)</f>
        <v/>
      </c>
      <c r="K1562" s="262" t="s">
        <v>4241</v>
      </c>
      <c r="O1562" s="262" t="s">
        <v>4241</v>
      </c>
    </row>
    <row r="1563" spans="1:15" ht="12.75" customHeight="1" x14ac:dyDescent="0.3">
      <c r="A1563" s="38"/>
      <c r="B1563" s="38"/>
      <c r="C1563" s="17" t="s">
        <v>2583</v>
      </c>
      <c r="D1563" s="17"/>
      <c r="E1563" s="17"/>
      <c r="F1563" s="17"/>
      <c r="G1563" s="38" t="s">
        <v>2584</v>
      </c>
      <c r="H1563" s="17" t="s">
        <v>1058</v>
      </c>
      <c r="I1563" s="239" t="str">
        <f>IF(ISBLANK(global!I40),"",global!I40)</f>
        <v/>
      </c>
      <c r="K1563" s="262" t="s">
        <v>4241</v>
      </c>
      <c r="O1563" s="262" t="s">
        <v>4241</v>
      </c>
    </row>
    <row r="1564" spans="1:15" ht="12.75" customHeight="1" x14ac:dyDescent="0.3">
      <c r="A1564" s="38" t="s">
        <v>2585</v>
      </c>
      <c r="B1564" s="17"/>
      <c r="C1564" s="17"/>
      <c r="D1564" s="17"/>
      <c r="E1564" s="17"/>
      <c r="F1564" s="17"/>
      <c r="G1564" s="38" t="s">
        <v>2586</v>
      </c>
      <c r="H1564" s="38" t="s">
        <v>617</v>
      </c>
      <c r="I1564" s="239" t="str">
        <f>IF(ISBLANK(global!I41),"",global!I41)</f>
        <v/>
      </c>
      <c r="K1564" s="262" t="s">
        <v>4241</v>
      </c>
      <c r="O1564" s="262" t="s">
        <v>4241</v>
      </c>
    </row>
    <row r="1565" spans="1:15" ht="12.75" customHeight="1" x14ac:dyDescent="0.3">
      <c r="A1565" s="38" t="s">
        <v>2587</v>
      </c>
      <c r="B1565" s="17"/>
      <c r="C1565" s="17"/>
      <c r="D1565" s="17"/>
      <c r="E1565" s="17"/>
      <c r="F1565" s="17"/>
      <c r="G1565" s="38" t="s">
        <v>2588</v>
      </c>
      <c r="H1565" s="38" t="s">
        <v>617</v>
      </c>
      <c r="I1565" s="239" t="str">
        <f>IF(ISBLANK(global!I42),"",global!I42)</f>
        <v/>
      </c>
      <c r="K1565" s="262" t="s">
        <v>4241</v>
      </c>
      <c r="O1565" s="262" t="s">
        <v>4241</v>
      </c>
    </row>
    <row r="1566" spans="1:15" ht="12.75" customHeight="1" x14ac:dyDescent="0.3">
      <c r="A1566" s="38"/>
      <c r="B1566" s="17" t="s">
        <v>2589</v>
      </c>
      <c r="C1566" s="17"/>
      <c r="D1566" s="17"/>
      <c r="E1566" s="17"/>
      <c r="F1566" s="17"/>
      <c r="G1566" s="38" t="s">
        <v>2590</v>
      </c>
      <c r="H1566" s="17" t="s">
        <v>1058</v>
      </c>
      <c r="I1566" s="239" t="str">
        <f>IF(ISBLANK(global!I43),"",global!I43)</f>
        <v/>
      </c>
      <c r="K1566" s="262" t="s">
        <v>4241</v>
      </c>
      <c r="O1566" s="262" t="s">
        <v>4241</v>
      </c>
    </row>
    <row r="1567" spans="1:15" ht="12.75" customHeight="1" x14ac:dyDescent="0.3">
      <c r="A1567" s="38"/>
      <c r="B1567" s="38"/>
      <c r="C1567" s="17" t="s">
        <v>2591</v>
      </c>
      <c r="D1567" s="17"/>
      <c r="E1567" s="17"/>
      <c r="F1567" s="17"/>
      <c r="G1567" s="38" t="s">
        <v>2592</v>
      </c>
      <c r="H1567" s="17" t="s">
        <v>1044</v>
      </c>
      <c r="I1567" s="239" t="str">
        <f>IF(ISBLANK(global!I44),"",global!I44)</f>
        <v/>
      </c>
      <c r="K1567" s="262" t="s">
        <v>4241</v>
      </c>
      <c r="O1567" s="262" t="s">
        <v>4241</v>
      </c>
    </row>
    <row r="1568" spans="1:15" ht="12.75" customHeight="1" x14ac:dyDescent="0.3">
      <c r="A1568" s="17"/>
      <c r="B1568" s="17"/>
      <c r="C1568" s="17"/>
      <c r="D1568" s="17"/>
      <c r="E1568" s="17"/>
      <c r="F1568" s="17"/>
      <c r="G1568" s="17"/>
      <c r="H1568" s="38"/>
      <c r="I1568" s="239" t="str">
        <f>IF(ISBLANK(global!I45),"",global!I45)</f>
        <v/>
      </c>
      <c r="K1568" s="262" t="s">
        <v>4241</v>
      </c>
      <c r="O1568" s="262" t="s">
        <v>4241</v>
      </c>
    </row>
    <row r="1569" spans="1:15" ht="12.75" customHeight="1" x14ac:dyDescent="0.3">
      <c r="A1569" s="148" t="s">
        <v>2010</v>
      </c>
      <c r="B1569" s="147"/>
      <c r="C1569" s="147"/>
      <c r="D1569" s="147"/>
      <c r="E1569" s="147"/>
      <c r="F1569" s="147"/>
      <c r="G1569" s="148" t="s">
        <v>258</v>
      </c>
      <c r="H1569" s="148" t="s">
        <v>274</v>
      </c>
      <c r="I1569" s="239" t="str">
        <f>IF(ISBLANK(global!I46),"",global!I46)</f>
        <v>User input</v>
      </c>
      <c r="K1569" s="262" t="s">
        <v>259</v>
      </c>
      <c r="O1569" s="262" t="s">
        <v>259</v>
      </c>
    </row>
    <row r="1570" spans="1:15" ht="12.75" customHeight="1" x14ac:dyDescent="0.3">
      <c r="A1570" s="17"/>
      <c r="B1570" s="17"/>
      <c r="C1570" s="17"/>
      <c r="D1570" s="17"/>
      <c r="E1570" s="17"/>
      <c r="F1570" s="17"/>
      <c r="G1570" s="17"/>
      <c r="H1570" s="38"/>
      <c r="I1570" s="239" t="str">
        <f>IF(ISBLANK(global!I47),"",global!I47)</f>
        <v/>
      </c>
      <c r="K1570" s="262" t="s">
        <v>4241</v>
      </c>
      <c r="O1570" s="262" t="s">
        <v>4241</v>
      </c>
    </row>
    <row r="1571" spans="1:15" ht="12.75" customHeight="1" x14ac:dyDescent="0.3">
      <c r="A1571" s="17"/>
      <c r="B1571" s="38" t="s">
        <v>2593</v>
      </c>
      <c r="C1571" s="38"/>
      <c r="D1571" s="38"/>
      <c r="E1571" s="38"/>
      <c r="F1571" s="38"/>
      <c r="G1571" s="38" t="s">
        <v>2594</v>
      </c>
      <c r="H1571" s="38" t="s">
        <v>291</v>
      </c>
      <c r="I1571" s="239" t="str">
        <f>IF(ISBLANK(global!I48),"",global!I48)</f>
        <v/>
      </c>
      <c r="K1571" s="262" t="s">
        <v>4241</v>
      </c>
      <c r="O1571" s="262" t="s">
        <v>4241</v>
      </c>
    </row>
    <row r="1572" spans="1:15" ht="12.75" customHeight="1" x14ac:dyDescent="0.3">
      <c r="A1572" s="17"/>
      <c r="B1572" s="17" t="s">
        <v>2013</v>
      </c>
      <c r="C1572" s="17"/>
      <c r="D1572" s="17"/>
      <c r="E1572" s="17"/>
      <c r="F1572" s="17"/>
      <c r="G1572" s="17" t="s">
        <v>2595</v>
      </c>
      <c r="H1572" s="17" t="s">
        <v>291</v>
      </c>
      <c r="I1572" s="239" t="str">
        <f>IF(ISBLANK(global!I49),"",global!I49)</f>
        <v/>
      </c>
      <c r="K1572" s="262" t="s">
        <v>4241</v>
      </c>
      <c r="O1572" s="262" t="s">
        <v>4241</v>
      </c>
    </row>
    <row r="1573" spans="1:15" ht="12.75" customHeight="1" x14ac:dyDescent="0.3">
      <c r="A1573" s="17"/>
      <c r="B1573" s="17" t="s">
        <v>2015</v>
      </c>
      <c r="C1573" s="17"/>
      <c r="D1573" s="17"/>
      <c r="E1573" s="17"/>
      <c r="F1573" s="17"/>
      <c r="G1573" s="17" t="s">
        <v>2596</v>
      </c>
      <c r="H1573" s="17" t="s">
        <v>291</v>
      </c>
      <c r="I1573" s="239" t="str">
        <f>IF(ISBLANK(global!I50),"",global!I50)</f>
        <v/>
      </c>
      <c r="K1573" s="262" t="s">
        <v>4241</v>
      </c>
      <c r="O1573" s="262" t="s">
        <v>4241</v>
      </c>
    </row>
    <row r="1574" spans="1:15" ht="12.75" customHeight="1" x14ac:dyDescent="0.3">
      <c r="A1574" s="17"/>
      <c r="B1574" s="38" t="s">
        <v>2017</v>
      </c>
      <c r="C1574" s="38"/>
      <c r="D1574" s="38"/>
      <c r="E1574" s="38"/>
      <c r="F1574" s="38"/>
      <c r="G1574" s="38" t="s">
        <v>2597</v>
      </c>
      <c r="H1574" s="38" t="s">
        <v>291</v>
      </c>
      <c r="I1574" s="239" t="str">
        <f>IF(ISBLANK(global!I51),"",global!I51)</f>
        <v/>
      </c>
      <c r="K1574" s="262" t="s">
        <v>4241</v>
      </c>
      <c r="O1574" s="262" t="s">
        <v>4241</v>
      </c>
    </row>
    <row r="1575" spans="1:15" ht="12.75" customHeight="1" x14ac:dyDescent="0.3">
      <c r="A1575" s="38"/>
      <c r="B1575" s="38"/>
      <c r="C1575" s="38" t="s">
        <v>2598</v>
      </c>
      <c r="D1575" s="38"/>
      <c r="E1575" s="38"/>
      <c r="F1575" s="38"/>
      <c r="G1575" s="38" t="s">
        <v>2599</v>
      </c>
      <c r="H1575" s="38" t="s">
        <v>585</v>
      </c>
      <c r="I1575" s="239" t="str">
        <f>IF(ISBLANK(global!I52),"",global!I52)</f>
        <v/>
      </c>
      <c r="K1575" s="262" t="s">
        <v>4241</v>
      </c>
      <c r="O1575" s="262" t="s">
        <v>4241</v>
      </c>
    </row>
    <row r="1576" spans="1:15" ht="12.75" customHeight="1" x14ac:dyDescent="0.4">
      <c r="A1576" s="17"/>
      <c r="B1576" s="17"/>
      <c r="C1576" s="17" t="s">
        <v>2019</v>
      </c>
      <c r="D1576" s="17"/>
      <c r="E1576" s="17"/>
      <c r="F1576" s="17"/>
      <c r="G1576" s="17" t="s">
        <v>2600</v>
      </c>
      <c r="H1576" s="17" t="s">
        <v>1081</v>
      </c>
      <c r="I1576" s="239" t="str">
        <f>IF(ISBLANK(global!I53),"",global!I53)</f>
        <v/>
      </c>
      <c r="K1576" s="262" t="s">
        <v>4241</v>
      </c>
      <c r="O1576" s="262" t="s">
        <v>4241</v>
      </c>
    </row>
    <row r="1577" spans="1:15" ht="12.75" customHeight="1" x14ac:dyDescent="0.4">
      <c r="A1577" s="17"/>
      <c r="B1577" s="17"/>
      <c r="C1577" s="17" t="s">
        <v>2021</v>
      </c>
      <c r="D1577" s="17"/>
      <c r="E1577" s="17"/>
      <c r="F1577" s="17"/>
      <c r="G1577" s="17" t="s">
        <v>2602</v>
      </c>
      <c r="H1577" s="17" t="s">
        <v>1084</v>
      </c>
      <c r="I1577" s="239" t="str">
        <f>IF(ISBLANK(global!I54),"",global!I54)</f>
        <v/>
      </c>
      <c r="K1577" s="262" t="s">
        <v>4241</v>
      </c>
      <c r="O1577" s="262" t="s">
        <v>4241</v>
      </c>
    </row>
    <row r="1578" spans="1:15" ht="12.75" customHeight="1" x14ac:dyDescent="0.3">
      <c r="A1578" s="38"/>
      <c r="B1578" s="38" t="s">
        <v>2604</v>
      </c>
      <c r="C1578" s="146"/>
      <c r="D1578" s="17"/>
      <c r="E1578" s="17"/>
      <c r="F1578" s="17"/>
      <c r="G1578" s="38" t="s">
        <v>2605</v>
      </c>
      <c r="H1578" s="38" t="s">
        <v>291</v>
      </c>
      <c r="I1578" s="239" t="str">
        <f>IF(ISBLANK(global!I55),"",global!I55)</f>
        <v/>
      </c>
      <c r="K1578" s="262" t="s">
        <v>4241</v>
      </c>
      <c r="O1578" s="262" t="s">
        <v>4241</v>
      </c>
    </row>
    <row r="1579" spans="1:15" ht="12.75" customHeight="1" x14ac:dyDescent="0.3">
      <c r="A1579" s="38"/>
      <c r="B1579" s="38" t="s">
        <v>2606</v>
      </c>
      <c r="C1579" s="146"/>
      <c r="D1579" s="17"/>
      <c r="E1579" s="17"/>
      <c r="F1579" s="17"/>
      <c r="G1579" s="38" t="s">
        <v>2607</v>
      </c>
      <c r="H1579" s="38" t="s">
        <v>291</v>
      </c>
      <c r="I1579" s="239" t="str">
        <f>IF(ISBLANK(global!I56),"",global!I56)</f>
        <v/>
      </c>
      <c r="K1579" s="262" t="s">
        <v>4241</v>
      </c>
      <c r="O1579" s="262" t="s">
        <v>4241</v>
      </c>
    </row>
    <row r="1580" spans="1:15" ht="12.75" customHeight="1" x14ac:dyDescent="0.3">
      <c r="A1580" s="38"/>
      <c r="B1580" s="17"/>
      <c r="C1580" s="38" t="s">
        <v>2608</v>
      </c>
      <c r="D1580" s="17"/>
      <c r="E1580" s="17"/>
      <c r="F1580" s="17"/>
      <c r="G1580" s="146" t="s">
        <v>2609</v>
      </c>
      <c r="H1580" s="38" t="s">
        <v>1090</v>
      </c>
      <c r="I1580" s="239" t="str">
        <f>IF(ISBLANK(global!I57),"",global!I57)</f>
        <v/>
      </c>
      <c r="K1580" s="262" t="s">
        <v>4241</v>
      </c>
      <c r="O1580" s="262" t="s">
        <v>4241</v>
      </c>
    </row>
    <row r="1581" spans="1:15" ht="12.75" customHeight="1" x14ac:dyDescent="0.3">
      <c r="A1581" s="38"/>
      <c r="B1581" s="17"/>
      <c r="C1581" s="38" t="s">
        <v>2610</v>
      </c>
      <c r="D1581" s="17"/>
      <c r="E1581" s="17"/>
      <c r="F1581" s="17"/>
      <c r="G1581" s="146" t="s">
        <v>2611</v>
      </c>
      <c r="H1581" s="38" t="s">
        <v>1091</v>
      </c>
      <c r="I1581" s="239" t="str">
        <f>IF(ISBLANK(global!I58),"",global!I58)</f>
        <v/>
      </c>
      <c r="K1581" s="262" t="s">
        <v>4241</v>
      </c>
      <c r="O1581" s="262" t="s">
        <v>4241</v>
      </c>
    </row>
    <row r="1582" spans="1:15" ht="12.75" customHeight="1" x14ac:dyDescent="0.3">
      <c r="A1582" s="38"/>
      <c r="B1582" s="17"/>
      <c r="C1582" s="38" t="s">
        <v>2612</v>
      </c>
      <c r="D1582" s="17"/>
      <c r="E1582" s="17"/>
      <c r="F1582" s="17"/>
      <c r="G1582" s="146" t="s">
        <v>2613</v>
      </c>
      <c r="H1582" s="38" t="s">
        <v>291</v>
      </c>
      <c r="I1582" s="239" t="str">
        <f>IF(ISBLANK(global!I59),"",global!I59)</f>
        <v/>
      </c>
      <c r="K1582" s="262" t="s">
        <v>4241</v>
      </c>
      <c r="O1582" s="262" t="s">
        <v>4241</v>
      </c>
    </row>
    <row r="1583" spans="1:15" ht="12.75" customHeight="1" x14ac:dyDescent="0.3">
      <c r="A1583" s="38"/>
      <c r="B1583" s="17"/>
      <c r="C1583" s="38" t="s">
        <v>2614</v>
      </c>
      <c r="D1583" s="17"/>
      <c r="E1583" s="17"/>
      <c r="F1583" s="17"/>
      <c r="G1583" s="146" t="s">
        <v>2615</v>
      </c>
      <c r="H1583" s="38" t="s">
        <v>291</v>
      </c>
      <c r="I1583" s="239" t="str">
        <f>IF(ISBLANK(global!I60),"",global!I60)</f>
        <v/>
      </c>
      <c r="K1583" s="262" t="s">
        <v>4241</v>
      </c>
      <c r="O1583" s="262" t="s">
        <v>4241</v>
      </c>
    </row>
    <row r="1584" spans="1:15" ht="12.75" customHeight="1" x14ac:dyDescent="0.3">
      <c r="A1584" s="38"/>
      <c r="B1584" s="17"/>
      <c r="C1584" s="38" t="s">
        <v>2616</v>
      </c>
      <c r="D1584" s="17"/>
      <c r="E1584" s="17"/>
      <c r="F1584" s="17"/>
      <c r="G1584" s="146" t="s">
        <v>2617</v>
      </c>
      <c r="H1584" s="38" t="s">
        <v>579</v>
      </c>
      <c r="I1584" s="239" t="str">
        <f>IF(ISBLANK(global!I61),"",global!I61)</f>
        <v/>
      </c>
      <c r="K1584" s="262" t="s">
        <v>4241</v>
      </c>
      <c r="O1584" s="262" t="s">
        <v>4241</v>
      </c>
    </row>
    <row r="1585" spans="1:15" ht="12.75" customHeight="1" x14ac:dyDescent="0.3">
      <c r="A1585" s="38"/>
      <c r="B1585" s="17"/>
      <c r="C1585" s="38" t="s">
        <v>2618</v>
      </c>
      <c r="D1585" s="17"/>
      <c r="E1585" s="17"/>
      <c r="F1585" s="17"/>
      <c r="G1585" s="146" t="s">
        <v>2619</v>
      </c>
      <c r="H1585" s="38" t="s">
        <v>579</v>
      </c>
      <c r="I1585" s="239" t="str">
        <f>IF(ISBLANK(global!I62),"",global!I62)</f>
        <v/>
      </c>
      <c r="K1585" s="262" t="s">
        <v>4241</v>
      </c>
      <c r="O1585" s="262" t="s">
        <v>4241</v>
      </c>
    </row>
    <row r="1586" spans="1:15" ht="12.75" customHeight="1" x14ac:dyDescent="0.3">
      <c r="A1586" s="38"/>
      <c r="B1586" s="17"/>
      <c r="C1586" s="38" t="s">
        <v>2620</v>
      </c>
      <c r="D1586" s="17"/>
      <c r="E1586" s="17"/>
      <c r="F1586" s="17"/>
      <c r="G1586" s="146" t="s">
        <v>2621</v>
      </c>
      <c r="H1586" s="38" t="s">
        <v>1096</v>
      </c>
      <c r="I1586" s="239" t="str">
        <f>IF(ISBLANK(global!I63),"",global!I63)</f>
        <v/>
      </c>
      <c r="K1586" s="262" t="s">
        <v>4241</v>
      </c>
      <c r="O1586" s="262" t="s">
        <v>4241</v>
      </c>
    </row>
    <row r="1587" spans="1:15" ht="12.75" customHeight="1" x14ac:dyDescent="0.3">
      <c r="A1587" s="38"/>
      <c r="B1587" s="17"/>
      <c r="C1587" s="38" t="s">
        <v>2622</v>
      </c>
      <c r="D1587" s="17"/>
      <c r="E1587" s="17"/>
      <c r="F1587" s="17"/>
      <c r="G1587" s="146" t="s">
        <v>2623</v>
      </c>
      <c r="H1587" s="38" t="s">
        <v>1096</v>
      </c>
      <c r="I1587" s="239" t="str">
        <f>IF(ISBLANK(global!I64),"",global!I64)</f>
        <v/>
      </c>
      <c r="K1587" s="262" t="s">
        <v>4241</v>
      </c>
      <c r="O1587" s="262" t="s">
        <v>4241</v>
      </c>
    </row>
    <row r="1588" spans="1:15" ht="12.75" customHeight="1" x14ac:dyDescent="0.3">
      <c r="A1588" s="38"/>
      <c r="B1588" s="17"/>
      <c r="C1588" s="38" t="s">
        <v>2624</v>
      </c>
      <c r="D1588" s="17"/>
      <c r="E1588" s="17"/>
      <c r="F1588" s="17"/>
      <c r="G1588" s="146" t="s">
        <v>2625</v>
      </c>
      <c r="H1588" s="38" t="s">
        <v>716</v>
      </c>
      <c r="I1588" s="239" t="str">
        <f>IF(ISBLANK(global!I65),"",global!I65)</f>
        <v/>
      </c>
      <c r="K1588" s="262" t="s">
        <v>4241</v>
      </c>
      <c r="O1588" s="262" t="s">
        <v>4241</v>
      </c>
    </row>
    <row r="1589" spans="1:15" ht="12.75" customHeight="1" x14ac:dyDescent="0.3">
      <c r="A1589" s="38"/>
      <c r="B1589" s="17"/>
      <c r="C1589" s="38" t="s">
        <v>2626</v>
      </c>
      <c r="D1589" s="17"/>
      <c r="E1589" s="17"/>
      <c r="F1589" s="17"/>
      <c r="G1589" s="146" t="s">
        <v>2627</v>
      </c>
      <c r="H1589" s="38" t="s">
        <v>716</v>
      </c>
      <c r="I1589" s="239" t="str">
        <f>IF(ISBLANK(global!I66),"",global!I66)</f>
        <v/>
      </c>
      <c r="K1589" s="262" t="s">
        <v>4241</v>
      </c>
      <c r="O1589" s="262" t="s">
        <v>4241</v>
      </c>
    </row>
    <row r="1590" spans="1:15" ht="12.75" customHeight="1" x14ac:dyDescent="0.3">
      <c r="A1590" s="38"/>
      <c r="B1590" s="38" t="s">
        <v>2628</v>
      </c>
      <c r="C1590" s="146"/>
      <c r="D1590" s="17"/>
      <c r="E1590" s="17"/>
      <c r="F1590" s="17"/>
      <c r="G1590" s="146" t="s">
        <v>2629</v>
      </c>
      <c r="H1590" s="38" t="s">
        <v>291</v>
      </c>
      <c r="I1590" s="239" t="str">
        <f>IF(ISBLANK(global!I67),"",global!I67)</f>
        <v/>
      </c>
      <c r="K1590" s="262" t="s">
        <v>4241</v>
      </c>
      <c r="O1590" s="262" t="s">
        <v>4241</v>
      </c>
    </row>
    <row r="1591" spans="1:15" ht="12.75" customHeight="1" x14ac:dyDescent="0.3">
      <c r="A1591" s="38"/>
      <c r="B1591" s="17"/>
      <c r="C1591" s="38" t="s">
        <v>2630</v>
      </c>
      <c r="D1591" s="17"/>
      <c r="E1591" s="17"/>
      <c r="F1591" s="17"/>
      <c r="G1591" s="146" t="s">
        <v>2631</v>
      </c>
      <c r="H1591" s="38" t="s">
        <v>1090</v>
      </c>
      <c r="I1591" s="239" t="str">
        <f>IF(ISBLANK(global!I68),"",global!I68)</f>
        <v/>
      </c>
      <c r="K1591" s="262" t="s">
        <v>4241</v>
      </c>
      <c r="O1591" s="262" t="s">
        <v>4241</v>
      </c>
    </row>
    <row r="1592" spans="1:15" ht="12.75" customHeight="1" x14ac:dyDescent="0.3">
      <c r="A1592" s="38"/>
      <c r="B1592" s="17"/>
      <c r="C1592" s="38" t="s">
        <v>2632</v>
      </c>
      <c r="D1592" s="17"/>
      <c r="E1592" s="17"/>
      <c r="F1592" s="17"/>
      <c r="G1592" s="146" t="s">
        <v>2633</v>
      </c>
      <c r="H1592" s="38" t="s">
        <v>291</v>
      </c>
      <c r="I1592" s="239" t="str">
        <f>IF(ISBLANK(global!I69),"",global!I69)</f>
        <v/>
      </c>
      <c r="K1592" s="262" t="s">
        <v>4241</v>
      </c>
      <c r="O1592" s="262" t="s">
        <v>4241</v>
      </c>
    </row>
    <row r="1593" spans="1:15" ht="12.75" customHeight="1" x14ac:dyDescent="0.3">
      <c r="A1593" s="38"/>
      <c r="B1593" s="38" t="s">
        <v>2634</v>
      </c>
      <c r="C1593" s="146"/>
      <c r="D1593" s="17"/>
      <c r="E1593" s="17"/>
      <c r="F1593" s="17"/>
      <c r="G1593" s="146" t="s">
        <v>2635</v>
      </c>
      <c r="H1593" s="38" t="s">
        <v>291</v>
      </c>
      <c r="I1593" s="239" t="str">
        <f>IF(ISBLANK(global!I70),"",global!I70)</f>
        <v/>
      </c>
      <c r="K1593" s="262" t="s">
        <v>4241</v>
      </c>
      <c r="O1593" s="262" t="s">
        <v>4241</v>
      </c>
    </row>
    <row r="1594" spans="1:15" ht="12.75" customHeight="1" x14ac:dyDescent="0.3">
      <c r="A1594" s="38"/>
      <c r="B1594" s="38" t="s">
        <v>2636</v>
      </c>
      <c r="C1594" s="146"/>
      <c r="D1594" s="17"/>
      <c r="E1594" s="17"/>
      <c r="F1594" s="17"/>
      <c r="G1594" s="146" t="s">
        <v>2637</v>
      </c>
      <c r="H1594" s="38" t="s">
        <v>291</v>
      </c>
      <c r="I1594" s="239" t="str">
        <f>IF(ISBLANK(global!I71),"",global!I71)</f>
        <v/>
      </c>
      <c r="K1594" s="262" t="s">
        <v>4241</v>
      </c>
      <c r="O1594" s="262" t="s">
        <v>4241</v>
      </c>
    </row>
    <row r="1595" spans="1:15" ht="12.75" customHeight="1" x14ac:dyDescent="0.3">
      <c r="A1595" s="38"/>
      <c r="B1595" s="38" t="s">
        <v>2638</v>
      </c>
      <c r="C1595" s="146"/>
      <c r="D1595" s="17"/>
      <c r="E1595" s="17"/>
      <c r="F1595" s="17"/>
      <c r="G1595" s="146" t="s">
        <v>2639</v>
      </c>
      <c r="H1595" s="38" t="s">
        <v>291</v>
      </c>
      <c r="I1595" s="239" t="str">
        <f>IF(ISBLANK(global!I72),"",global!I72)</f>
        <v/>
      </c>
      <c r="K1595" s="262" t="s">
        <v>4241</v>
      </c>
      <c r="O1595" s="262" t="s">
        <v>4241</v>
      </c>
    </row>
    <row r="1596" spans="1:15" ht="12.75" customHeight="1" x14ac:dyDescent="0.3">
      <c r="A1596" s="38"/>
      <c r="B1596" s="17"/>
      <c r="C1596" s="38" t="s">
        <v>2640</v>
      </c>
      <c r="D1596" s="17"/>
      <c r="E1596" s="17"/>
      <c r="F1596" s="17"/>
      <c r="G1596" s="146" t="s">
        <v>2641</v>
      </c>
      <c r="H1596" s="38" t="s">
        <v>1090</v>
      </c>
      <c r="I1596" s="239" t="str">
        <f>IF(ISBLANK(global!I73),"",global!I73)</f>
        <v/>
      </c>
      <c r="K1596" s="262" t="s">
        <v>4241</v>
      </c>
      <c r="O1596" s="262" t="s">
        <v>4241</v>
      </c>
    </row>
    <row r="1597" spans="1:15" ht="12.75" customHeight="1" x14ac:dyDescent="0.3">
      <c r="A1597" s="38"/>
      <c r="B1597" s="17"/>
      <c r="C1597" s="38" t="s">
        <v>2642</v>
      </c>
      <c r="D1597" s="17"/>
      <c r="E1597" s="17"/>
      <c r="F1597" s="17"/>
      <c r="G1597" s="146" t="s">
        <v>2643</v>
      </c>
      <c r="H1597" s="38" t="s">
        <v>291</v>
      </c>
      <c r="I1597" s="239" t="str">
        <f>IF(ISBLANK(global!I74),"",global!I74)</f>
        <v/>
      </c>
      <c r="K1597" s="262" t="s">
        <v>4241</v>
      </c>
      <c r="O1597" s="262" t="s">
        <v>4241</v>
      </c>
    </row>
    <row r="1598" spans="1:15" ht="12.75" customHeight="1" x14ac:dyDescent="0.3">
      <c r="A1598" s="17"/>
      <c r="B1598" s="17"/>
      <c r="C1598" s="17"/>
      <c r="D1598" s="17"/>
      <c r="E1598" s="17"/>
      <c r="F1598" s="17"/>
      <c r="G1598" s="17"/>
      <c r="H1598" s="38"/>
      <c r="I1598" s="239" t="str">
        <f>IF(ISBLANK(global!I75),"",global!I75)</f>
        <v/>
      </c>
      <c r="K1598" s="262" t="s">
        <v>4241</v>
      </c>
      <c r="O1598" s="262" t="s">
        <v>4241</v>
      </c>
    </row>
    <row r="1599" spans="1:15" ht="12.75" customHeight="1" x14ac:dyDescent="0.3">
      <c r="A1599" s="148" t="s">
        <v>1155</v>
      </c>
      <c r="B1599" s="147"/>
      <c r="C1599" s="147"/>
      <c r="D1599" s="147"/>
      <c r="E1599" s="147"/>
      <c r="F1599" s="147"/>
      <c r="G1599" s="148" t="s">
        <v>258</v>
      </c>
      <c r="H1599" s="148" t="s">
        <v>274</v>
      </c>
      <c r="I1599" s="239" t="str">
        <f>IF(ISBLANK(global!I76),"",global!I76)</f>
        <v>User input</v>
      </c>
      <c r="K1599" s="262" t="s">
        <v>259</v>
      </c>
      <c r="O1599" s="262" t="s">
        <v>259</v>
      </c>
    </row>
    <row r="1600" spans="1:15" ht="12.75" customHeight="1" x14ac:dyDescent="0.3">
      <c r="A1600" s="17"/>
      <c r="B1600" s="17"/>
      <c r="C1600" s="17"/>
      <c r="D1600" s="17"/>
      <c r="E1600" s="17"/>
      <c r="F1600" s="17"/>
      <c r="G1600" s="17"/>
      <c r="H1600" s="38"/>
      <c r="I1600" s="239" t="str">
        <f>IF(ISBLANK(global!I77),"",global!I77)</f>
        <v/>
      </c>
      <c r="K1600" s="262" t="s">
        <v>4241</v>
      </c>
      <c r="O1600" s="262" t="s">
        <v>4241</v>
      </c>
    </row>
    <row r="1601" spans="1:15" ht="12.75" customHeight="1" x14ac:dyDescent="0.3">
      <c r="A1601" s="38" t="s">
        <v>2644</v>
      </c>
      <c r="B1601" s="17"/>
      <c r="C1601" s="17"/>
      <c r="D1601" s="17"/>
      <c r="E1601" s="17"/>
      <c r="F1601" s="17"/>
      <c r="G1601" s="38" t="s">
        <v>2645</v>
      </c>
      <c r="H1601" s="38" t="s">
        <v>617</v>
      </c>
      <c r="I1601" s="239" t="str">
        <f>IF(ISBLANK(global!I78),"",global!I78)</f>
        <v/>
      </c>
      <c r="K1601" s="262" t="s">
        <v>4241</v>
      </c>
      <c r="O1601" s="262" t="s">
        <v>4241</v>
      </c>
    </row>
    <row r="1602" spans="1:15" ht="12.75" customHeight="1" x14ac:dyDescent="0.3">
      <c r="A1602" s="38" t="s">
        <v>2646</v>
      </c>
      <c r="B1602" s="17"/>
      <c r="C1602" s="17"/>
      <c r="D1602" s="17"/>
      <c r="E1602" s="17"/>
      <c r="F1602" s="17"/>
      <c r="G1602" s="38" t="s">
        <v>2647</v>
      </c>
      <c r="H1602" s="38" t="s">
        <v>617</v>
      </c>
      <c r="I1602" s="239" t="str">
        <f>IF(ISBLANK(global!I79),"",global!I79)</f>
        <v/>
      </c>
      <c r="K1602" s="262" t="s">
        <v>4241</v>
      </c>
      <c r="O1602" s="262" t="s">
        <v>4241</v>
      </c>
    </row>
    <row r="1603" spans="1:15" ht="12.75" customHeight="1" x14ac:dyDescent="0.3">
      <c r="A1603" s="38" t="s">
        <v>2648</v>
      </c>
      <c r="B1603" s="17"/>
      <c r="C1603" s="17"/>
      <c r="D1603" s="17"/>
      <c r="E1603" s="17"/>
      <c r="F1603" s="17"/>
      <c r="G1603" s="38" t="s">
        <v>2649</v>
      </c>
      <c r="H1603" s="38" t="s">
        <v>617</v>
      </c>
      <c r="I1603" s="239" t="str">
        <f>IF(ISBLANK(global!I80),"",global!I80)</f>
        <v/>
      </c>
      <c r="K1603" s="262" t="s">
        <v>4241</v>
      </c>
      <c r="O1603" s="262" t="s">
        <v>4241</v>
      </c>
    </row>
    <row r="1604" spans="1:15" ht="12.75" customHeight="1" x14ac:dyDescent="0.3">
      <c r="A1604" s="38" t="s">
        <v>2650</v>
      </c>
      <c r="B1604" s="17"/>
      <c r="C1604" s="17"/>
      <c r="D1604" s="17"/>
      <c r="E1604" s="17"/>
      <c r="F1604" s="17"/>
      <c r="G1604" s="38" t="s">
        <v>2651</v>
      </c>
      <c r="H1604" s="38" t="s">
        <v>617</v>
      </c>
      <c r="I1604" s="239" t="str">
        <f>IF(ISBLANK(global!I81),"",global!I81)</f>
        <v/>
      </c>
      <c r="K1604" s="262" t="s">
        <v>4241</v>
      </c>
      <c r="O1604" s="262" t="s">
        <v>4241</v>
      </c>
    </row>
    <row r="1605" spans="1:15" ht="12.75" customHeight="1" x14ac:dyDescent="0.3">
      <c r="A1605" s="38"/>
      <c r="B1605" s="38" t="s">
        <v>2652</v>
      </c>
      <c r="C1605" s="17"/>
      <c r="D1605" s="17"/>
      <c r="E1605" s="17"/>
      <c r="F1605" s="17"/>
      <c r="G1605" s="38" t="s">
        <v>2653</v>
      </c>
      <c r="H1605" s="38" t="s">
        <v>617</v>
      </c>
      <c r="I1605" s="239" t="str">
        <f>IF(ISBLANK(global!I82),"",global!I82)</f>
        <v/>
      </c>
      <c r="K1605" s="262" t="s">
        <v>4241</v>
      </c>
      <c r="O1605" s="262" t="s">
        <v>4241</v>
      </c>
    </row>
    <row r="1606" spans="1:15" ht="12.75" customHeight="1" x14ac:dyDescent="0.3">
      <c r="A1606" s="38"/>
      <c r="B1606" s="38"/>
      <c r="C1606" s="17" t="s">
        <v>2654</v>
      </c>
      <c r="D1606" s="17"/>
      <c r="E1606" s="17"/>
      <c r="F1606" s="17"/>
      <c r="G1606" s="38" t="s">
        <v>2655</v>
      </c>
      <c r="H1606" s="38" t="s">
        <v>617</v>
      </c>
      <c r="I1606" s="239" t="str">
        <f>IF(ISBLANK(global!I83),"",global!I83)</f>
        <v/>
      </c>
      <c r="K1606" s="262" t="s">
        <v>4241</v>
      </c>
      <c r="O1606" s="262" t="s">
        <v>4241</v>
      </c>
    </row>
    <row r="1607" spans="1:15" ht="12.75" customHeight="1" x14ac:dyDescent="0.3">
      <c r="A1607" s="38"/>
      <c r="B1607" s="38"/>
      <c r="C1607" s="38"/>
      <c r="D1607" s="38" t="s">
        <v>2656</v>
      </c>
      <c r="E1607" s="17"/>
      <c r="F1607" s="17"/>
      <c r="G1607" s="38" t="s">
        <v>2657</v>
      </c>
      <c r="H1607" s="38" t="s">
        <v>617</v>
      </c>
      <c r="I1607" s="239" t="str">
        <f>IF(ISBLANK(global!I84),"",global!I84)</f>
        <v/>
      </c>
      <c r="K1607" s="262" t="s">
        <v>4241</v>
      </c>
      <c r="O1607" s="262" t="s">
        <v>4241</v>
      </c>
    </row>
    <row r="1608" spans="1:15" ht="12.75" customHeight="1" x14ac:dyDescent="0.3">
      <c r="A1608" s="38"/>
      <c r="B1608" s="38"/>
      <c r="C1608" s="38"/>
      <c r="D1608" s="38" t="s">
        <v>2658</v>
      </c>
      <c r="E1608" s="17"/>
      <c r="F1608" s="17"/>
      <c r="G1608" s="38" t="s">
        <v>2659</v>
      </c>
      <c r="H1608" s="38" t="s">
        <v>617</v>
      </c>
      <c r="I1608" s="239" t="str">
        <f>IF(ISBLANK(global!I85),"",global!I85)</f>
        <v/>
      </c>
      <c r="K1608" s="262" t="s">
        <v>4241</v>
      </c>
      <c r="O1608" s="262" t="s">
        <v>4241</v>
      </c>
    </row>
    <row r="1609" spans="1:15" ht="12.75" customHeight="1" x14ac:dyDescent="0.3">
      <c r="A1609" s="38"/>
      <c r="B1609" s="38"/>
      <c r="C1609" s="17" t="s">
        <v>1188</v>
      </c>
      <c r="D1609" s="17"/>
      <c r="E1609" s="17"/>
      <c r="F1609" s="17"/>
      <c r="G1609" s="17" t="s">
        <v>2660</v>
      </c>
      <c r="H1609" s="17" t="s">
        <v>1190</v>
      </c>
      <c r="I1609" s="239" t="str">
        <f>IF(ISBLANK(global!I86),"",global!I86)</f>
        <v/>
      </c>
      <c r="K1609" s="262" t="s">
        <v>4241</v>
      </c>
      <c r="O1609" s="262" t="s">
        <v>4241</v>
      </c>
    </row>
    <row r="1610" spans="1:15" ht="12.75" customHeight="1" x14ac:dyDescent="0.3">
      <c r="A1610" s="38"/>
      <c r="B1610" s="38"/>
      <c r="C1610" s="17" t="s">
        <v>1191</v>
      </c>
      <c r="D1610" s="17"/>
      <c r="E1610" s="17"/>
      <c r="F1610" s="17"/>
      <c r="G1610" s="17" t="s">
        <v>2661</v>
      </c>
      <c r="H1610" s="17" t="s">
        <v>1190</v>
      </c>
      <c r="I1610" s="239" t="str">
        <f>IF(ISBLANK(global!I87),"",global!I87)</f>
        <v/>
      </c>
      <c r="K1610" s="262" t="s">
        <v>4241</v>
      </c>
      <c r="O1610" s="262" t="s">
        <v>4241</v>
      </c>
    </row>
    <row r="1611" spans="1:15" ht="12.75" customHeight="1" x14ac:dyDescent="0.3">
      <c r="A1611" s="38"/>
      <c r="B1611" s="38"/>
      <c r="C1611" s="38" t="s">
        <v>1193</v>
      </c>
      <c r="D1611" s="17"/>
      <c r="E1611" s="17"/>
      <c r="F1611" s="17"/>
      <c r="G1611" s="146" t="s">
        <v>2662</v>
      </c>
      <c r="H1611" s="31" t="s">
        <v>1195</v>
      </c>
      <c r="I1611" s="239" t="str">
        <f>IF(ISBLANK(global!I88),"",global!I88)</f>
        <v/>
      </c>
      <c r="K1611" s="262" t="s">
        <v>4241</v>
      </c>
      <c r="O1611" s="262" t="s">
        <v>4241</v>
      </c>
    </row>
    <row r="1612" spans="1:15" ht="12.75" customHeight="1" x14ac:dyDescent="0.3">
      <c r="A1612" s="38"/>
      <c r="B1612" s="38"/>
      <c r="C1612" s="38" t="s">
        <v>1196</v>
      </c>
      <c r="D1612" s="17"/>
      <c r="E1612" s="17"/>
      <c r="F1612" s="17"/>
      <c r="G1612" s="38" t="s">
        <v>2663</v>
      </c>
      <c r="H1612" s="146" t="s">
        <v>1195</v>
      </c>
      <c r="I1612" s="239" t="str">
        <f>IF(ISBLANK(global!I89),"",global!I89)</f>
        <v/>
      </c>
      <c r="K1612" s="262" t="s">
        <v>4241</v>
      </c>
      <c r="O1612" s="262" t="s">
        <v>4241</v>
      </c>
    </row>
    <row r="1613" spans="1:15" ht="12.75" customHeight="1" x14ac:dyDescent="0.3">
      <c r="A1613" s="38"/>
      <c r="B1613" s="38"/>
      <c r="C1613" s="38" t="s">
        <v>2103</v>
      </c>
      <c r="D1613" s="17"/>
      <c r="E1613" s="17"/>
      <c r="F1613" s="17"/>
      <c r="G1613" s="38" t="s">
        <v>2664</v>
      </c>
      <c r="H1613" s="146" t="s">
        <v>1195</v>
      </c>
      <c r="I1613" s="239" t="str">
        <f>IF(ISBLANK(global!I90),"",global!I90)</f>
        <v/>
      </c>
      <c r="K1613" s="262" t="s">
        <v>4241</v>
      </c>
      <c r="O1613" s="262" t="s">
        <v>4241</v>
      </c>
    </row>
    <row r="1614" spans="1:15" ht="12.75" customHeight="1" x14ac:dyDescent="0.3">
      <c r="A1614" s="38"/>
      <c r="B1614" s="38"/>
      <c r="C1614" s="17"/>
      <c r="D1614" s="146" t="s">
        <v>1200</v>
      </c>
      <c r="E1614" s="146"/>
      <c r="F1614" s="146"/>
      <c r="G1614" s="146" t="s">
        <v>2665</v>
      </c>
      <c r="H1614" s="31" t="s">
        <v>1195</v>
      </c>
      <c r="I1614" s="239" t="str">
        <f>IF(ISBLANK(global!I91),"",global!I91)</f>
        <v/>
      </c>
      <c r="K1614" s="262" t="s">
        <v>4241</v>
      </c>
      <c r="O1614" s="262" t="s">
        <v>4241</v>
      </c>
    </row>
    <row r="1615" spans="1:15" ht="12.75" customHeight="1" x14ac:dyDescent="0.3">
      <c r="A1615" s="38"/>
      <c r="B1615" s="38"/>
      <c r="C1615" s="17"/>
      <c r="D1615" s="38" t="s">
        <v>2666</v>
      </c>
      <c r="E1615" s="146"/>
      <c r="F1615" s="146"/>
      <c r="G1615" s="146" t="s">
        <v>2667</v>
      </c>
      <c r="H1615" s="146" t="s">
        <v>2668</v>
      </c>
      <c r="I1615" s="239" t="str">
        <f>IF(ISBLANK(global!I92),"",global!I92)</f>
        <v/>
      </c>
      <c r="K1615" s="262" t="s">
        <v>4241</v>
      </c>
      <c r="O1615" s="262" t="s">
        <v>4241</v>
      </c>
    </row>
    <row r="1616" spans="1:15" ht="12.75" customHeight="1" x14ac:dyDescent="0.3">
      <c r="A1616" s="38"/>
      <c r="B1616" s="38"/>
      <c r="C1616" s="17"/>
      <c r="D1616" s="38" t="s">
        <v>1202</v>
      </c>
      <c r="E1616" s="17"/>
      <c r="F1616" s="17"/>
      <c r="G1616" s="146" t="s">
        <v>2669</v>
      </c>
      <c r="H1616" s="38" t="s">
        <v>291</v>
      </c>
      <c r="I1616" s="239" t="str">
        <f>IF(ISBLANK(global!I93),"",global!I93)</f>
        <v/>
      </c>
      <c r="K1616" s="262" t="s">
        <v>4241</v>
      </c>
      <c r="O1616" s="262" t="s">
        <v>4241</v>
      </c>
    </row>
    <row r="1617" spans="1:15" ht="12.75" customHeight="1" x14ac:dyDescent="0.3">
      <c r="A1617" s="38"/>
      <c r="B1617" s="38" t="s">
        <v>1204</v>
      </c>
      <c r="C1617" s="17"/>
      <c r="D1617" s="38"/>
      <c r="E1617" s="17"/>
      <c r="F1617" s="17"/>
      <c r="G1617" s="146" t="s">
        <v>2670</v>
      </c>
      <c r="H1617" s="38" t="s">
        <v>1195</v>
      </c>
      <c r="I1617" s="239" t="str">
        <f>IF(ISBLANK(global!I94),"",global!I94)</f>
        <v/>
      </c>
      <c r="K1617" s="262" t="s">
        <v>4241</v>
      </c>
      <c r="O1617" s="262" t="s">
        <v>4241</v>
      </c>
    </row>
    <row r="1618" spans="1:15" ht="12.75" customHeight="1" x14ac:dyDescent="0.3">
      <c r="A1618" s="38"/>
      <c r="B1618" s="38" t="s">
        <v>1206</v>
      </c>
      <c r="C1618" s="17"/>
      <c r="D1618" s="38"/>
      <c r="E1618" s="17"/>
      <c r="F1618" s="17"/>
      <c r="G1618" s="146" t="s">
        <v>2671</v>
      </c>
      <c r="H1618" s="38" t="s">
        <v>1195</v>
      </c>
      <c r="I1618" s="239" t="str">
        <f>IF(ISBLANK(global!I95),"",global!I95)</f>
        <v/>
      </c>
      <c r="K1618" s="262" t="s">
        <v>4241</v>
      </c>
      <c r="O1618" s="262" t="s">
        <v>4241</v>
      </c>
    </row>
    <row r="1619" spans="1:15" ht="12.75" customHeight="1" x14ac:dyDescent="0.3">
      <c r="A1619" s="38"/>
      <c r="B1619" s="38" t="s">
        <v>2672</v>
      </c>
      <c r="C1619" s="17"/>
      <c r="D1619" s="38"/>
      <c r="E1619" s="17"/>
      <c r="F1619" s="17"/>
      <c r="G1619" s="38" t="s">
        <v>2673</v>
      </c>
      <c r="H1619" s="38" t="s">
        <v>1195</v>
      </c>
      <c r="I1619" s="239" t="str">
        <f>IF(ISBLANK(global!I96),"",global!I96)</f>
        <v/>
      </c>
      <c r="K1619" s="262" t="s">
        <v>4241</v>
      </c>
      <c r="O1619" s="262" t="s">
        <v>4241</v>
      </c>
    </row>
    <row r="1620" spans="1:15" ht="12.75" customHeight="1" x14ac:dyDescent="0.3">
      <c r="A1620" s="38"/>
      <c r="B1620" s="38" t="s">
        <v>2674</v>
      </c>
      <c r="C1620" s="17"/>
      <c r="D1620" s="38"/>
      <c r="E1620" s="17"/>
      <c r="F1620" s="17"/>
      <c r="G1620" s="38" t="s">
        <v>2675</v>
      </c>
      <c r="H1620" s="38" t="s">
        <v>1195</v>
      </c>
      <c r="I1620" s="239" t="str">
        <f>IF(ISBLANK(global!I97),"",global!I97)</f>
        <v/>
      </c>
      <c r="K1620" s="262" t="s">
        <v>4241</v>
      </c>
      <c r="O1620" s="262" t="s">
        <v>4241</v>
      </c>
    </row>
    <row r="1621" spans="1:15" ht="12.75" customHeight="1" x14ac:dyDescent="0.3">
      <c r="A1621" s="38"/>
      <c r="B1621" s="38"/>
      <c r="C1621" s="17" t="s">
        <v>1215</v>
      </c>
      <c r="D1621" s="17"/>
      <c r="E1621" s="17"/>
      <c r="F1621" s="17"/>
      <c r="G1621" s="17" t="s">
        <v>2676</v>
      </c>
      <c r="H1621" s="31" t="s">
        <v>1195</v>
      </c>
      <c r="I1621" s="239" t="str">
        <f>IF(ISBLANK(global!I98),"",global!I98)</f>
        <v/>
      </c>
      <c r="K1621" s="262" t="s">
        <v>4241</v>
      </c>
      <c r="O1621" s="262" t="s">
        <v>4241</v>
      </c>
    </row>
    <row r="1622" spans="1:15" ht="12.75" customHeight="1" x14ac:dyDescent="0.3">
      <c r="A1622" s="38"/>
      <c r="B1622" s="38"/>
      <c r="C1622" s="17" t="s">
        <v>1217</v>
      </c>
      <c r="D1622" s="17"/>
      <c r="E1622" s="17"/>
      <c r="F1622" s="17"/>
      <c r="G1622" s="17" t="s">
        <v>2677</v>
      </c>
      <c r="H1622" s="31" t="s">
        <v>1195</v>
      </c>
      <c r="I1622" s="239" t="str">
        <f>IF(ISBLANK(global!I99),"",global!I99)</f>
        <v/>
      </c>
      <c r="K1622" s="262" t="s">
        <v>4241</v>
      </c>
      <c r="O1622" s="262" t="s">
        <v>4241</v>
      </c>
    </row>
    <row r="1623" spans="1:15" ht="12.75" customHeight="1" x14ac:dyDescent="0.3">
      <c r="A1623" s="38"/>
      <c r="B1623" s="38"/>
      <c r="C1623" s="17"/>
      <c r="D1623" s="146" t="s">
        <v>2678</v>
      </c>
      <c r="E1623" s="17"/>
      <c r="F1623" s="17"/>
      <c r="G1623" s="38" t="s">
        <v>2679</v>
      </c>
      <c r="H1623" s="31" t="s">
        <v>1195</v>
      </c>
      <c r="I1623" s="239" t="str">
        <f>IF(ISBLANK(global!I100),"",global!I100)</f>
        <v/>
      </c>
      <c r="K1623" s="262" t="s">
        <v>4241</v>
      </c>
      <c r="O1623" s="262" t="s">
        <v>4241</v>
      </c>
    </row>
    <row r="1624" spans="1:15" ht="12.75" customHeight="1" x14ac:dyDescent="0.3">
      <c r="A1624" s="38"/>
      <c r="B1624" s="38"/>
      <c r="C1624" s="17" t="s">
        <v>1225</v>
      </c>
      <c r="D1624" s="17"/>
      <c r="E1624" s="146"/>
      <c r="F1624" s="146"/>
      <c r="G1624" s="17" t="s">
        <v>2680</v>
      </c>
      <c r="H1624" s="31" t="s">
        <v>1195</v>
      </c>
      <c r="I1624" s="239" t="str">
        <f>IF(ISBLANK(global!I101),"",global!I101)</f>
        <v/>
      </c>
      <c r="K1624" s="262" t="s">
        <v>4241</v>
      </c>
      <c r="O1624" s="262" t="s">
        <v>4241</v>
      </c>
    </row>
    <row r="1625" spans="1:15" ht="12.75" customHeight="1" x14ac:dyDescent="0.3">
      <c r="A1625" s="38"/>
      <c r="B1625" s="38"/>
      <c r="C1625" s="17" t="s">
        <v>1227</v>
      </c>
      <c r="D1625" s="17"/>
      <c r="E1625" s="17"/>
      <c r="F1625" s="146"/>
      <c r="G1625" s="17" t="s">
        <v>2681</v>
      </c>
      <c r="H1625" s="146" t="s">
        <v>1195</v>
      </c>
      <c r="I1625" s="239" t="str">
        <f>IF(ISBLANK(global!I102),"",global!I102)</f>
        <v/>
      </c>
      <c r="K1625" s="262" t="s">
        <v>4241</v>
      </c>
      <c r="O1625" s="262" t="s">
        <v>4241</v>
      </c>
    </row>
    <row r="1626" spans="1:15" ht="12.75" customHeight="1" x14ac:dyDescent="0.3">
      <c r="A1626" s="38"/>
      <c r="B1626" s="38"/>
      <c r="C1626" s="17" t="s">
        <v>1229</v>
      </c>
      <c r="D1626" s="17"/>
      <c r="E1626" s="146"/>
      <c r="F1626" s="146"/>
      <c r="G1626" s="38" t="s">
        <v>2682</v>
      </c>
      <c r="H1626" s="17" t="s">
        <v>291</v>
      </c>
      <c r="I1626" s="239" t="str">
        <f>IF(ISBLANK(global!I103),"",global!I103)</f>
        <v/>
      </c>
      <c r="K1626" s="262" t="s">
        <v>4241</v>
      </c>
      <c r="O1626" s="262" t="s">
        <v>4241</v>
      </c>
    </row>
    <row r="1627" spans="1:15" ht="12.75" customHeight="1" x14ac:dyDescent="0.3">
      <c r="A1627" s="17"/>
      <c r="B1627" s="17"/>
      <c r="C1627" s="17"/>
      <c r="D1627" s="17"/>
      <c r="E1627" s="17"/>
      <c r="F1627" s="17"/>
      <c r="G1627" s="17"/>
      <c r="H1627" s="17"/>
      <c r="I1627" s="239" t="str">
        <f>IF(ISBLANK(global!I104),"",global!I104)</f>
        <v/>
      </c>
      <c r="K1627" s="262" t="s">
        <v>4241</v>
      </c>
      <c r="O1627" s="262" t="s">
        <v>4241</v>
      </c>
    </row>
    <row r="1628" spans="1:15" ht="12.75" customHeight="1" x14ac:dyDescent="0.3">
      <c r="A1628" s="38" t="s">
        <v>2683</v>
      </c>
      <c r="B1628" s="17"/>
      <c r="C1628" s="17"/>
      <c r="D1628" s="17"/>
      <c r="E1628" s="17"/>
      <c r="F1628" s="17"/>
      <c r="G1628" s="38" t="s">
        <v>2684</v>
      </c>
      <c r="H1628" s="38" t="s">
        <v>335</v>
      </c>
      <c r="I1628" s="239" t="str">
        <f>IF(ISBLANK(global!I105),"",global!I105)</f>
        <v/>
      </c>
      <c r="K1628" s="262" t="s">
        <v>4241</v>
      </c>
      <c r="O1628" s="262" t="s">
        <v>4241</v>
      </c>
    </row>
    <row r="1629" spans="1:15" ht="12.75" customHeight="1" x14ac:dyDescent="0.3">
      <c r="A1629" s="38" t="s">
        <v>2685</v>
      </c>
      <c r="B1629" s="17"/>
      <c r="C1629" s="17"/>
      <c r="D1629" s="17"/>
      <c r="E1629" s="17"/>
      <c r="F1629" s="17"/>
      <c r="G1629" s="38" t="s">
        <v>2686</v>
      </c>
      <c r="H1629" s="38" t="s">
        <v>335</v>
      </c>
      <c r="I1629" s="239" t="str">
        <f>IF(ISBLANK(global!I106),"",global!I106)</f>
        <v/>
      </c>
      <c r="K1629" s="262" t="s">
        <v>4241</v>
      </c>
      <c r="O1629" s="262" t="s">
        <v>4241</v>
      </c>
    </row>
    <row r="1630" spans="1:15" ht="12.75" customHeight="1" x14ac:dyDescent="0.3">
      <c r="A1630" s="38"/>
      <c r="B1630" s="38" t="s">
        <v>2687</v>
      </c>
      <c r="C1630" s="17"/>
      <c r="D1630" s="17"/>
      <c r="E1630" s="17"/>
      <c r="F1630" s="17"/>
      <c r="G1630" s="38" t="s">
        <v>2688</v>
      </c>
      <c r="H1630" s="17" t="s">
        <v>866</v>
      </c>
      <c r="I1630" s="239" t="str">
        <f>IF(ISBLANK(global!I107),"",global!I107)</f>
        <v/>
      </c>
      <c r="K1630" s="262" t="s">
        <v>4241</v>
      </c>
      <c r="O1630" s="262" t="s">
        <v>4241</v>
      </c>
    </row>
    <row r="1631" spans="1:15" ht="12.75" customHeight="1" x14ac:dyDescent="0.3">
      <c r="A1631" s="38"/>
      <c r="B1631" s="38" t="s">
        <v>2689</v>
      </c>
      <c r="C1631" s="17"/>
      <c r="D1631" s="17"/>
      <c r="E1631" s="17"/>
      <c r="F1631" s="17"/>
      <c r="G1631" s="38" t="s">
        <v>2690</v>
      </c>
      <c r="H1631" s="17" t="s">
        <v>866</v>
      </c>
      <c r="I1631" s="239" t="str">
        <f>IF(ISBLANK(global!I108),"",global!I108)</f>
        <v/>
      </c>
      <c r="K1631" s="262" t="s">
        <v>4241</v>
      </c>
      <c r="O1631" s="262" t="s">
        <v>4241</v>
      </c>
    </row>
    <row r="1632" spans="1:15" ht="12.75" customHeight="1" x14ac:dyDescent="0.3">
      <c r="A1632" s="38"/>
      <c r="B1632" s="38"/>
      <c r="C1632" s="38" t="s">
        <v>1261</v>
      </c>
      <c r="D1632" s="38"/>
      <c r="E1632" s="17"/>
      <c r="F1632" s="17"/>
      <c r="G1632" s="146" t="s">
        <v>2691</v>
      </c>
      <c r="H1632" s="31" t="s">
        <v>866</v>
      </c>
      <c r="I1632" s="239" t="str">
        <f>IF(ISBLANK(global!I109),"",global!I109)</f>
        <v/>
      </c>
      <c r="K1632" s="262" t="s">
        <v>4241</v>
      </c>
      <c r="O1632" s="262" t="s">
        <v>4241</v>
      </c>
    </row>
    <row r="1633" spans="1:15" ht="12.75" customHeight="1" x14ac:dyDescent="0.3">
      <c r="A1633" s="38"/>
      <c r="B1633" s="38"/>
      <c r="C1633" s="17"/>
      <c r="D1633" s="38" t="s">
        <v>1265</v>
      </c>
      <c r="E1633" s="146"/>
      <c r="F1633" s="146"/>
      <c r="G1633" s="146" t="s">
        <v>2692</v>
      </c>
      <c r="H1633" s="31" t="s">
        <v>866</v>
      </c>
      <c r="I1633" s="239" t="str">
        <f>IF(ISBLANK(global!I110),"",global!I110)</f>
        <v/>
      </c>
      <c r="K1633" s="262" t="s">
        <v>4241</v>
      </c>
      <c r="O1633" s="262" t="s">
        <v>4241</v>
      </c>
    </row>
    <row r="1634" spans="1:15" ht="12.75" customHeight="1" x14ac:dyDescent="0.3">
      <c r="A1634" s="38"/>
      <c r="B1634" s="38"/>
      <c r="C1634" s="17"/>
      <c r="D1634" s="38" t="s">
        <v>2693</v>
      </c>
      <c r="E1634" s="146"/>
      <c r="F1634" s="146"/>
      <c r="G1634" s="146" t="s">
        <v>2694</v>
      </c>
      <c r="H1634" s="31" t="s">
        <v>866</v>
      </c>
      <c r="I1634" s="239" t="str">
        <f>IF(ISBLANK(global!I111),"",global!I111)</f>
        <v/>
      </c>
      <c r="K1634" s="262" t="s">
        <v>4241</v>
      </c>
      <c r="O1634" s="262" t="s">
        <v>4241</v>
      </c>
    </row>
    <row r="1635" spans="1:15" ht="12.75" customHeight="1" x14ac:dyDescent="0.3">
      <c r="A1635" s="38"/>
      <c r="B1635" s="38"/>
      <c r="C1635" s="38"/>
      <c r="D1635" s="17"/>
      <c r="E1635" s="38" t="s">
        <v>2695</v>
      </c>
      <c r="F1635" s="38"/>
      <c r="G1635" s="146" t="s">
        <v>2696</v>
      </c>
      <c r="H1635" s="38" t="s">
        <v>2697</v>
      </c>
      <c r="I1635" s="239" t="str">
        <f>IF(ISBLANK(global!I112),"",global!I112)</f>
        <v/>
      </c>
      <c r="K1635" s="262" t="s">
        <v>4241</v>
      </c>
      <c r="O1635" s="262" t="s">
        <v>4241</v>
      </c>
    </row>
    <row r="1636" spans="1:15" ht="12.75" customHeight="1" x14ac:dyDescent="0.3">
      <c r="A1636" s="17"/>
      <c r="B1636" s="17" t="s">
        <v>2698</v>
      </c>
      <c r="C1636" s="38"/>
      <c r="D1636" s="17"/>
      <c r="E1636" s="146"/>
      <c r="F1636" s="146"/>
      <c r="G1636" s="38" t="s">
        <v>2699</v>
      </c>
      <c r="H1636" s="17" t="s">
        <v>866</v>
      </c>
      <c r="I1636" s="239" t="str">
        <f>IF(ISBLANK(global!I113),"",global!I113)</f>
        <v/>
      </c>
      <c r="K1636" s="262" t="s">
        <v>4241</v>
      </c>
      <c r="O1636" s="262" t="s">
        <v>4241</v>
      </c>
    </row>
    <row r="1637" spans="1:15" ht="12.75" customHeight="1" x14ac:dyDescent="0.3">
      <c r="A1637" s="17"/>
      <c r="B1637" s="17" t="s">
        <v>2700</v>
      </c>
      <c r="C1637" s="38"/>
      <c r="D1637" s="17"/>
      <c r="E1637" s="146"/>
      <c r="F1637" s="146"/>
      <c r="G1637" s="38" t="s">
        <v>2701</v>
      </c>
      <c r="H1637" s="17" t="s">
        <v>866</v>
      </c>
      <c r="I1637" s="239" t="str">
        <f>IF(ISBLANK(global!I114),"",global!I114)</f>
        <v/>
      </c>
      <c r="K1637" s="262" t="s">
        <v>4241</v>
      </c>
      <c r="O1637" s="262" t="s">
        <v>4241</v>
      </c>
    </row>
    <row r="1638" spans="1:15" ht="12.75" customHeight="1" x14ac:dyDescent="0.3">
      <c r="A1638" s="38"/>
      <c r="B1638" s="38"/>
      <c r="C1638" s="17" t="s">
        <v>1289</v>
      </c>
      <c r="D1638" s="17"/>
      <c r="E1638" s="17"/>
      <c r="F1638" s="17"/>
      <c r="G1638" s="17" t="s">
        <v>2702</v>
      </c>
      <c r="H1638" s="31" t="s">
        <v>866</v>
      </c>
      <c r="I1638" s="239" t="str">
        <f>IF(ISBLANK(global!I115),"",global!I115)</f>
        <v/>
      </c>
      <c r="K1638" s="262" t="s">
        <v>4241</v>
      </c>
      <c r="O1638" s="262" t="s">
        <v>4241</v>
      </c>
    </row>
    <row r="1639" spans="1:15" ht="12.75" customHeight="1" x14ac:dyDescent="0.3">
      <c r="A1639" s="38"/>
      <c r="B1639" s="38"/>
      <c r="C1639" s="17" t="s">
        <v>1291</v>
      </c>
      <c r="D1639" s="17"/>
      <c r="E1639" s="17"/>
      <c r="F1639" s="17"/>
      <c r="G1639" s="17" t="s">
        <v>2703</v>
      </c>
      <c r="H1639" s="31" t="s">
        <v>866</v>
      </c>
      <c r="I1639" s="239" t="str">
        <f>IF(ISBLANK(global!I116),"",global!I116)</f>
        <v/>
      </c>
      <c r="K1639" s="262" t="s">
        <v>4241</v>
      </c>
      <c r="O1639" s="262" t="s">
        <v>4241</v>
      </c>
    </row>
    <row r="1640" spans="1:15" ht="12.75" customHeight="1" x14ac:dyDescent="0.3">
      <c r="A1640" s="17"/>
      <c r="B1640" s="17"/>
      <c r="C1640" s="17"/>
      <c r="D1640" s="17"/>
      <c r="E1640" s="17"/>
      <c r="F1640" s="17"/>
      <c r="G1640" s="17"/>
      <c r="H1640" s="17"/>
      <c r="I1640" s="239" t="str">
        <f>IF(ISBLANK(global!I117),"",global!I117)</f>
        <v/>
      </c>
      <c r="K1640" s="262" t="s">
        <v>4241</v>
      </c>
      <c r="O1640" s="262" t="s">
        <v>4241</v>
      </c>
    </row>
    <row r="1641" spans="1:15" ht="12.75" customHeight="1" x14ac:dyDescent="0.3">
      <c r="A1641" s="38" t="s">
        <v>2704</v>
      </c>
      <c r="B1641" s="17"/>
      <c r="C1641" s="17"/>
      <c r="D1641" s="17"/>
      <c r="E1641" s="17"/>
      <c r="F1641" s="17"/>
      <c r="G1641" s="38" t="s">
        <v>2705</v>
      </c>
      <c r="H1641" s="38" t="s">
        <v>617</v>
      </c>
      <c r="I1641" s="239" t="str">
        <f>IF(ISBLANK(global!I118),"",global!I118)</f>
        <v/>
      </c>
      <c r="K1641" s="262" t="s">
        <v>4241</v>
      </c>
      <c r="O1641" s="262" t="s">
        <v>4241</v>
      </c>
    </row>
    <row r="1642" spans="1:15" ht="12.75" customHeight="1" x14ac:dyDescent="0.3">
      <c r="A1642" s="17"/>
      <c r="B1642" s="146" t="s">
        <v>2706</v>
      </c>
      <c r="C1642" s="17"/>
      <c r="D1642" s="17"/>
      <c r="E1642" s="17"/>
      <c r="F1642" s="17"/>
      <c r="G1642" s="146" t="s">
        <v>2707</v>
      </c>
      <c r="H1642" s="31" t="s">
        <v>1195</v>
      </c>
      <c r="I1642" s="239" t="str">
        <f>IF(ISBLANK(global!I119),"",global!I119)</f>
        <v/>
      </c>
      <c r="K1642" s="262" t="s">
        <v>4241</v>
      </c>
      <c r="O1642" s="262" t="s">
        <v>4241</v>
      </c>
    </row>
    <row r="1643" spans="1:15" ht="12.75" customHeight="1" x14ac:dyDescent="0.3">
      <c r="A1643" s="17"/>
      <c r="B1643" s="38" t="s">
        <v>2708</v>
      </c>
      <c r="C1643" s="17"/>
      <c r="D1643" s="17"/>
      <c r="E1643" s="17"/>
      <c r="F1643" s="17"/>
      <c r="G1643" s="146" t="s">
        <v>2709</v>
      </c>
      <c r="H1643" s="38" t="s">
        <v>291</v>
      </c>
      <c r="I1643" s="239" t="str">
        <f>IF(ISBLANK(global!I120),"",global!I120)</f>
        <v/>
      </c>
      <c r="K1643" s="262" t="s">
        <v>4241</v>
      </c>
      <c r="O1643" s="262" t="s">
        <v>4241</v>
      </c>
    </row>
    <row r="1644" spans="1:15" ht="12.75" customHeight="1" x14ac:dyDescent="0.3">
      <c r="A1644" s="38"/>
      <c r="B1644" s="17" t="s">
        <v>1229</v>
      </c>
      <c r="C1644" s="17"/>
      <c r="D1644" s="146"/>
      <c r="E1644" s="146"/>
      <c r="F1644" s="17"/>
      <c r="G1644" s="38" t="s">
        <v>2710</v>
      </c>
      <c r="H1644" s="17" t="s">
        <v>291</v>
      </c>
      <c r="I1644" s="239" t="str">
        <f>IF(ISBLANK(global!I121),"",global!I121)</f>
        <v/>
      </c>
      <c r="K1644" s="262" t="s">
        <v>4241</v>
      </c>
      <c r="O1644" s="262" t="s">
        <v>4241</v>
      </c>
    </row>
    <row r="1645" spans="1:15" ht="12.75" customHeight="1" x14ac:dyDescent="0.3">
      <c r="A1645" s="17"/>
      <c r="B1645" s="17"/>
      <c r="C1645" s="17"/>
      <c r="D1645" s="17"/>
      <c r="E1645" s="17"/>
      <c r="F1645" s="17"/>
      <c r="G1645" s="17"/>
      <c r="H1645" s="38"/>
      <c r="I1645" s="239" t="str">
        <f>IF(ISBLANK(global!I122),"",global!I122)</f>
        <v/>
      </c>
      <c r="K1645" s="262" t="s">
        <v>4241</v>
      </c>
      <c r="O1645" s="262" t="s">
        <v>4241</v>
      </c>
    </row>
    <row r="1646" spans="1:15" ht="12.75" customHeight="1" x14ac:dyDescent="0.3">
      <c r="A1646" s="148" t="s">
        <v>1314</v>
      </c>
      <c r="B1646" s="147"/>
      <c r="C1646" s="147"/>
      <c r="D1646" s="147"/>
      <c r="E1646" s="147"/>
      <c r="F1646" s="147"/>
      <c r="G1646" s="148" t="s">
        <v>258</v>
      </c>
      <c r="H1646" s="148" t="s">
        <v>274</v>
      </c>
      <c r="I1646" s="239" t="str">
        <f>IF(ISBLANK(global!I123),"",global!I123)</f>
        <v>User input</v>
      </c>
      <c r="K1646" s="262" t="s">
        <v>259</v>
      </c>
      <c r="O1646" s="262" t="s">
        <v>259</v>
      </c>
    </row>
    <row r="1647" spans="1:15" ht="12.75" customHeight="1" x14ac:dyDescent="0.3">
      <c r="A1647" s="38"/>
      <c r="B1647" s="17"/>
      <c r="C1647" s="17"/>
      <c r="D1647" s="17"/>
      <c r="E1647" s="17"/>
      <c r="F1647" s="17"/>
      <c r="G1647" s="17"/>
      <c r="H1647" s="38"/>
      <c r="I1647" s="239" t="str">
        <f>IF(ISBLANK(global!I124),"",global!I124)</f>
        <v/>
      </c>
      <c r="K1647" s="262" t="s">
        <v>4241</v>
      </c>
      <c r="O1647" s="262" t="s">
        <v>4241</v>
      </c>
    </row>
    <row r="1648" spans="1:15" ht="12.75" customHeight="1" x14ac:dyDescent="0.3">
      <c r="A1648" s="38" t="s">
        <v>1315</v>
      </c>
      <c r="B1648" s="17"/>
      <c r="C1648" s="17"/>
      <c r="D1648" s="17"/>
      <c r="E1648" s="17"/>
      <c r="F1648" s="17"/>
      <c r="G1648" s="38" t="s">
        <v>2711</v>
      </c>
      <c r="H1648" s="38" t="s">
        <v>617</v>
      </c>
      <c r="I1648" s="239" t="str">
        <f>IF(ISBLANK(global!I125),"",global!I125)</f>
        <v/>
      </c>
      <c r="K1648" s="262" t="s">
        <v>4241</v>
      </c>
      <c r="O1648" s="262" t="s">
        <v>4241</v>
      </c>
    </row>
    <row r="1649" spans="1:15" ht="12.75" customHeight="1" x14ac:dyDescent="0.3">
      <c r="A1649" s="38" t="s">
        <v>2712</v>
      </c>
      <c r="B1649" s="17"/>
      <c r="C1649" s="17"/>
      <c r="D1649" s="17"/>
      <c r="E1649" s="17"/>
      <c r="F1649" s="17"/>
      <c r="G1649" s="38" t="s">
        <v>2713</v>
      </c>
      <c r="H1649" s="38" t="s">
        <v>617</v>
      </c>
      <c r="I1649" s="239" t="str">
        <f>IF(ISBLANK(global!I126),"",global!I126)</f>
        <v/>
      </c>
      <c r="K1649" s="262" t="s">
        <v>4241</v>
      </c>
      <c r="O1649" s="262" t="s">
        <v>4241</v>
      </c>
    </row>
    <row r="1650" spans="1:15" ht="12.75" customHeight="1" x14ac:dyDescent="0.3">
      <c r="A1650" s="38" t="s">
        <v>2714</v>
      </c>
      <c r="B1650" s="17"/>
      <c r="C1650" s="17"/>
      <c r="D1650" s="17"/>
      <c r="E1650" s="17"/>
      <c r="F1650" s="17"/>
      <c r="G1650" s="38" t="s">
        <v>2715</v>
      </c>
      <c r="H1650" s="38" t="s">
        <v>617</v>
      </c>
      <c r="I1650" s="239" t="str">
        <f>IF(ISBLANK(global!I127),"",global!I127)</f>
        <v/>
      </c>
      <c r="K1650" s="262" t="s">
        <v>4241</v>
      </c>
      <c r="O1650" s="262" t="s">
        <v>4241</v>
      </c>
    </row>
    <row r="1651" spans="1:15" ht="12.75" customHeight="1" x14ac:dyDescent="0.3">
      <c r="A1651" s="38" t="s">
        <v>2716</v>
      </c>
      <c r="B1651" s="17"/>
      <c r="C1651" s="17"/>
      <c r="D1651" s="17"/>
      <c r="E1651" s="17"/>
      <c r="F1651" s="17"/>
      <c r="G1651" s="38" t="s">
        <v>2717</v>
      </c>
      <c r="H1651" s="38" t="s">
        <v>617</v>
      </c>
      <c r="I1651" s="239" t="str">
        <f>IF(ISBLANK(global!I128),"",global!I128)</f>
        <v/>
      </c>
      <c r="K1651" s="262" t="s">
        <v>4241</v>
      </c>
      <c r="O1651" s="262" t="s">
        <v>4241</v>
      </c>
    </row>
    <row r="1652" spans="1:15" ht="12.75" customHeight="1" x14ac:dyDescent="0.3">
      <c r="A1652" s="38" t="s">
        <v>2718</v>
      </c>
      <c r="B1652" s="17"/>
      <c r="C1652" s="17"/>
      <c r="D1652" s="17"/>
      <c r="E1652" s="17"/>
      <c r="F1652" s="17"/>
      <c r="G1652" s="38" t="s">
        <v>2719</v>
      </c>
      <c r="H1652" s="38" t="s">
        <v>617</v>
      </c>
      <c r="I1652" s="239" t="str">
        <f>IF(ISBLANK(global!I129),"",global!I129)</f>
        <v/>
      </c>
      <c r="K1652" s="262" t="s">
        <v>4241</v>
      </c>
      <c r="O1652" s="262" t="s">
        <v>4241</v>
      </c>
    </row>
    <row r="1653" spans="1:15" ht="12.75" customHeight="1" x14ac:dyDescent="0.3">
      <c r="A1653" s="38"/>
      <c r="B1653" s="38" t="s">
        <v>1335</v>
      </c>
      <c r="C1653" s="146"/>
      <c r="D1653" s="17"/>
      <c r="E1653" s="17"/>
      <c r="F1653" s="17"/>
      <c r="G1653" s="146" t="s">
        <v>2720</v>
      </c>
      <c r="H1653" s="38" t="s">
        <v>617</v>
      </c>
      <c r="I1653" s="239" t="str">
        <f>IF(ISBLANK(global!I130),"",global!I130)</f>
        <v/>
      </c>
      <c r="K1653" s="262" t="s">
        <v>4241</v>
      </c>
      <c r="O1653" s="262" t="s">
        <v>4241</v>
      </c>
    </row>
    <row r="1654" spans="1:15" ht="12.75" customHeight="1" x14ac:dyDescent="0.3">
      <c r="A1654" s="38"/>
      <c r="B1654" s="38" t="s">
        <v>1337</v>
      </c>
      <c r="C1654" s="17"/>
      <c r="D1654" s="17"/>
      <c r="E1654" s="17"/>
      <c r="F1654" s="17"/>
      <c r="G1654" s="38" t="s">
        <v>2721</v>
      </c>
      <c r="H1654" s="38" t="s">
        <v>617</v>
      </c>
      <c r="I1654" s="239" t="str">
        <f>IF(ISBLANK(global!I131),"",global!I131)</f>
        <v/>
      </c>
      <c r="K1654" s="262" t="s">
        <v>4241</v>
      </c>
      <c r="O1654" s="262" t="s">
        <v>4241</v>
      </c>
    </row>
    <row r="1655" spans="1:15" ht="12.75" customHeight="1" x14ac:dyDescent="0.3">
      <c r="A1655" s="146"/>
      <c r="B1655" s="146"/>
      <c r="C1655" s="38" t="s">
        <v>2722</v>
      </c>
      <c r="D1655" s="17"/>
      <c r="E1655" s="17"/>
      <c r="F1655" s="17"/>
      <c r="G1655" s="38" t="s">
        <v>2723</v>
      </c>
      <c r="H1655" s="38" t="s">
        <v>620</v>
      </c>
      <c r="I1655" s="239" t="str">
        <f>IF(ISBLANK(global!I132),"",global!I132)</f>
        <v/>
      </c>
      <c r="K1655" s="262" t="s">
        <v>4241</v>
      </c>
      <c r="O1655" s="262" t="s">
        <v>4241</v>
      </c>
    </row>
    <row r="1656" spans="1:15" ht="12.75" customHeight="1" x14ac:dyDescent="0.3">
      <c r="A1656" s="146"/>
      <c r="B1656" s="146"/>
      <c r="C1656" s="38" t="s">
        <v>2183</v>
      </c>
      <c r="D1656" s="17"/>
      <c r="E1656" s="17"/>
      <c r="F1656" s="17"/>
      <c r="G1656" s="38" t="s">
        <v>2724</v>
      </c>
      <c r="H1656" s="38" t="s">
        <v>291</v>
      </c>
      <c r="I1656" s="239" t="str">
        <f>IF(ISBLANK(global!I133),"",global!I133)</f>
        <v/>
      </c>
      <c r="K1656" s="262" t="s">
        <v>4241</v>
      </c>
      <c r="O1656" s="262" t="s">
        <v>4241</v>
      </c>
    </row>
    <row r="1657" spans="1:15" ht="12.75" customHeight="1" x14ac:dyDescent="0.3">
      <c r="A1657" s="38"/>
      <c r="B1657" s="38" t="s">
        <v>2725</v>
      </c>
      <c r="C1657" s="17"/>
      <c r="D1657" s="17"/>
      <c r="E1657" s="17"/>
      <c r="F1657" s="17"/>
      <c r="G1657" s="38" t="s">
        <v>2726</v>
      </c>
      <c r="H1657" s="38" t="s">
        <v>617</v>
      </c>
      <c r="I1657" s="239" t="str">
        <f>IF(ISBLANK(global!I134),"",global!I134)</f>
        <v/>
      </c>
      <c r="K1657" s="262" t="s">
        <v>4241</v>
      </c>
      <c r="O1657" s="262" t="s">
        <v>4241</v>
      </c>
    </row>
    <row r="1658" spans="1:15" ht="12.75" customHeight="1" x14ac:dyDescent="0.3">
      <c r="A1658" s="38"/>
      <c r="B1658" s="38" t="s">
        <v>2727</v>
      </c>
      <c r="C1658" s="17"/>
      <c r="D1658" s="17"/>
      <c r="E1658" s="17"/>
      <c r="F1658" s="17"/>
      <c r="G1658" s="38" t="s">
        <v>2728</v>
      </c>
      <c r="H1658" s="38" t="s">
        <v>617</v>
      </c>
      <c r="I1658" s="239" t="str">
        <f>IF(ISBLANK(global!I135),"",global!I135)</f>
        <v/>
      </c>
      <c r="K1658" s="262" t="s">
        <v>4241</v>
      </c>
      <c r="O1658" s="262" t="s">
        <v>4241</v>
      </c>
    </row>
    <row r="1659" spans="1:15" ht="12.75" customHeight="1" x14ac:dyDescent="0.3">
      <c r="A1659" s="38"/>
      <c r="B1659" s="38"/>
      <c r="C1659" s="38" t="s">
        <v>2729</v>
      </c>
      <c r="D1659" s="17"/>
      <c r="E1659" s="17"/>
      <c r="F1659" s="17"/>
      <c r="G1659" s="146" t="s">
        <v>2730</v>
      </c>
      <c r="H1659" s="38" t="s">
        <v>1352</v>
      </c>
      <c r="I1659" s="239" t="str">
        <f>IF(ISBLANK(global!I136),"",global!I136)</f>
        <v/>
      </c>
      <c r="K1659" s="262" t="s">
        <v>4241</v>
      </c>
      <c r="O1659" s="262" t="s">
        <v>4241</v>
      </c>
    </row>
    <row r="1660" spans="1:15" ht="12.75" customHeight="1" x14ac:dyDescent="0.3">
      <c r="A1660" s="38"/>
      <c r="B1660" s="38"/>
      <c r="C1660" s="38" t="s">
        <v>2731</v>
      </c>
      <c r="D1660" s="17"/>
      <c r="E1660" s="17"/>
      <c r="F1660" s="17"/>
      <c r="G1660" s="146" t="s">
        <v>2732</v>
      </c>
      <c r="H1660" s="38" t="s">
        <v>1352</v>
      </c>
      <c r="I1660" s="239" t="str">
        <f>IF(ISBLANK(global!I137),"",global!I137)</f>
        <v/>
      </c>
      <c r="K1660" s="262" t="s">
        <v>4241</v>
      </c>
      <c r="O1660" s="262" t="s">
        <v>4241</v>
      </c>
    </row>
    <row r="1661" spans="1:15" ht="12.75" customHeight="1" x14ac:dyDescent="0.3">
      <c r="A1661" s="146"/>
      <c r="B1661" s="146"/>
      <c r="C1661" s="38" t="s">
        <v>1358</v>
      </c>
      <c r="D1661" s="17"/>
      <c r="E1661" s="17"/>
      <c r="F1661" s="17"/>
      <c r="G1661" s="38" t="s">
        <v>2733</v>
      </c>
      <c r="H1661" s="38" t="s">
        <v>291</v>
      </c>
      <c r="I1661" s="239" t="str">
        <f>IF(ISBLANK(global!I138),"",global!I138)</f>
        <v/>
      </c>
      <c r="K1661" s="262" t="s">
        <v>4241</v>
      </c>
      <c r="O1661" s="262" t="s">
        <v>4241</v>
      </c>
    </row>
    <row r="1662" spans="1:15" ht="12.75" customHeight="1" x14ac:dyDescent="0.3">
      <c r="A1662" s="38"/>
      <c r="B1662" s="38" t="s">
        <v>2734</v>
      </c>
      <c r="C1662" s="17"/>
      <c r="D1662" s="17"/>
      <c r="E1662" s="17"/>
      <c r="F1662" s="17"/>
      <c r="G1662" s="38" t="s">
        <v>2735</v>
      </c>
      <c r="H1662" s="38" t="s">
        <v>617</v>
      </c>
      <c r="I1662" s="239" t="str">
        <f>IF(ISBLANK(global!I139),"",global!I139)</f>
        <v/>
      </c>
      <c r="K1662" s="262" t="s">
        <v>4241</v>
      </c>
      <c r="O1662" s="262" t="s">
        <v>4241</v>
      </c>
    </row>
    <row r="1663" spans="1:15" ht="12.75" customHeight="1" x14ac:dyDescent="0.3">
      <c r="A1663" s="38"/>
      <c r="B1663" s="38" t="s">
        <v>2736</v>
      </c>
      <c r="C1663" s="17"/>
      <c r="D1663" s="17"/>
      <c r="E1663" s="17"/>
      <c r="F1663" s="17"/>
      <c r="G1663" s="38" t="s">
        <v>2737</v>
      </c>
      <c r="H1663" s="216" t="s">
        <v>617</v>
      </c>
      <c r="I1663" s="239" t="str">
        <f>IF(ISBLANK(global!I140),"",global!I140)</f>
        <v/>
      </c>
      <c r="K1663" s="262" t="s">
        <v>4241</v>
      </c>
      <c r="O1663" s="262" t="s">
        <v>4241</v>
      </c>
    </row>
    <row r="1664" spans="1:15" ht="12.75" customHeight="1" x14ac:dyDescent="0.3">
      <c r="A1664" s="17"/>
      <c r="B1664" s="17"/>
      <c r="C1664" s="38" t="s">
        <v>2738</v>
      </c>
      <c r="D1664" s="17"/>
      <c r="E1664" s="17"/>
      <c r="F1664" s="17"/>
      <c r="G1664" s="146" t="s">
        <v>2739</v>
      </c>
      <c r="H1664" s="38" t="s">
        <v>291</v>
      </c>
      <c r="I1664" s="239" t="str">
        <f>IF(ISBLANK(global!I141),"",global!I141)</f>
        <v/>
      </c>
      <c r="K1664" s="262" t="s">
        <v>4241</v>
      </c>
      <c r="O1664" s="262" t="s">
        <v>4241</v>
      </c>
    </row>
    <row r="1665" spans="1:15" ht="12.75" customHeight="1" x14ac:dyDescent="0.3">
      <c r="A1665" s="38"/>
      <c r="B1665" s="38"/>
      <c r="C1665" s="17" t="s">
        <v>1229</v>
      </c>
      <c r="D1665" s="17"/>
      <c r="E1665" s="146"/>
      <c r="F1665" s="146"/>
      <c r="G1665" s="38" t="s">
        <v>2740</v>
      </c>
      <c r="H1665" s="17" t="s">
        <v>291</v>
      </c>
      <c r="I1665" s="239" t="str">
        <f>IF(ISBLANK(global!I142),"",global!I142)</f>
        <v/>
      </c>
      <c r="K1665" s="262" t="s">
        <v>4241</v>
      </c>
      <c r="O1665" s="262" t="s">
        <v>4241</v>
      </c>
    </row>
    <row r="1666" spans="1:15" ht="12.75" customHeight="1" x14ac:dyDescent="0.3">
      <c r="G1666"/>
      <c r="I1666" s="239" t="str">
        <f>IF(ISBLANK(global!I143),"",global!I143)</f>
        <v/>
      </c>
      <c r="K1666" s="262" t="s">
        <v>4241</v>
      </c>
      <c r="O1666" s="262" t="s">
        <v>4241</v>
      </c>
    </row>
    <row r="1667" spans="1:15" ht="12.75" customHeight="1" x14ac:dyDescent="0.3">
      <c r="A1667" s="487"/>
      <c r="B1667" s="487"/>
      <c r="C1667" s="487"/>
      <c r="D1667" s="487"/>
      <c r="E1667" s="487"/>
      <c r="F1667" s="487"/>
      <c r="G1667" s="487"/>
      <c r="H1667" s="650"/>
      <c r="I1667" s="239" t="str">
        <f>IF(ISBLANK(global!I144),"",global!I144)</f>
        <v/>
      </c>
      <c r="K1667" s="262" t="s">
        <v>4241</v>
      </c>
      <c r="O1667" s="262" t="s">
        <v>4241</v>
      </c>
    </row>
    <row r="1668" spans="1:15" ht="12.75" customHeight="1" x14ac:dyDescent="0.3">
      <c r="A1668" s="630" t="s">
        <v>1382</v>
      </c>
      <c r="B1668" s="413"/>
      <c r="C1668" s="413"/>
      <c r="D1668" s="413"/>
      <c r="E1668" s="413"/>
      <c r="F1668" s="413"/>
      <c r="G1668" s="630" t="s">
        <v>258</v>
      </c>
      <c r="H1668" s="630" t="s">
        <v>274</v>
      </c>
      <c r="I1668" s="239" t="str">
        <f>IF(ISBLANK(global!I145),"",global!I145)</f>
        <v>User input</v>
      </c>
      <c r="K1668" s="262" t="s">
        <v>259</v>
      </c>
      <c r="O1668" s="262" t="s">
        <v>259</v>
      </c>
    </row>
    <row r="1669" spans="1:15" ht="12.75" customHeight="1" x14ac:dyDescent="0.3">
      <c r="A1669" s="410" t="s">
        <v>2741</v>
      </c>
      <c r="B1669" s="410"/>
      <c r="C1669" s="410"/>
      <c r="D1669" s="410"/>
      <c r="E1669" s="410"/>
      <c r="F1669" s="410"/>
      <c r="G1669" s="654"/>
      <c r="H1669" s="654"/>
      <c r="I1669" s="239" t="str">
        <f>IF(ISBLANK(global!I146),"",global!I146)</f>
        <v/>
      </c>
      <c r="K1669" s="262" t="s">
        <v>4241</v>
      </c>
      <c r="O1669" s="262" t="s">
        <v>4241</v>
      </c>
    </row>
    <row r="1670" spans="1:15" ht="12.75" customHeight="1" x14ac:dyDescent="0.3">
      <c r="A1670" s="566" t="s">
        <v>1386</v>
      </c>
      <c r="B1670" s="566"/>
      <c r="C1670" s="566"/>
      <c r="D1670" s="566"/>
      <c r="E1670" s="566"/>
      <c r="F1670" s="566"/>
      <c r="G1670" s="566" t="s">
        <v>2742</v>
      </c>
      <c r="H1670" s="567" t="s">
        <v>335</v>
      </c>
      <c r="I1670" s="239" t="str">
        <f>IF(ISBLANK(global!I147),"",global!I147)</f>
        <v/>
      </c>
      <c r="K1670" s="262" t="s">
        <v>4241</v>
      </c>
      <c r="O1670" s="262" t="s">
        <v>4241</v>
      </c>
    </row>
    <row r="1671" spans="1:15" ht="12.75" customHeight="1" x14ac:dyDescent="0.3">
      <c r="A1671" s="566"/>
      <c r="B1671" s="566" t="s">
        <v>1389</v>
      </c>
      <c r="C1671" s="566"/>
      <c r="D1671" s="566"/>
      <c r="E1671" s="566"/>
      <c r="F1671" s="566"/>
      <c r="G1671" s="566" t="s">
        <v>2743</v>
      </c>
      <c r="H1671" s="566" t="s">
        <v>335</v>
      </c>
      <c r="I1671" s="239" t="str">
        <f>IF(ISBLANK(global!I148),"",global!I148)</f>
        <v/>
      </c>
      <c r="K1671" s="262" t="s">
        <v>4241</v>
      </c>
      <c r="O1671" s="262" t="s">
        <v>4241</v>
      </c>
    </row>
    <row r="1672" spans="1:15" ht="12.75" customHeight="1" x14ac:dyDescent="0.3">
      <c r="A1672" s="566"/>
      <c r="B1672" s="566"/>
      <c r="C1672" s="566" t="s">
        <v>706</v>
      </c>
      <c r="D1672" s="566"/>
      <c r="E1672" s="566"/>
      <c r="F1672" s="566"/>
      <c r="G1672" s="566" t="s">
        <v>2744</v>
      </c>
      <c r="H1672" s="567" t="s">
        <v>708</v>
      </c>
      <c r="I1672" s="239" t="str">
        <f>IF(ISBLANK(global!I149),"",global!I149)</f>
        <v/>
      </c>
      <c r="K1672" s="262" t="s">
        <v>4241</v>
      </c>
      <c r="O1672" s="262" t="s">
        <v>4241</v>
      </c>
    </row>
    <row r="1673" spans="1:15" ht="12.75" customHeight="1" x14ac:dyDescent="0.3">
      <c r="A1673" s="566"/>
      <c r="B1673" s="566"/>
      <c r="C1673" s="566" t="s">
        <v>1396</v>
      </c>
      <c r="D1673" s="566"/>
      <c r="E1673" s="566"/>
      <c r="F1673" s="566"/>
      <c r="G1673" s="567" t="s">
        <v>2745</v>
      </c>
      <c r="H1673" s="567" t="s">
        <v>866</v>
      </c>
      <c r="I1673" s="239" t="str">
        <f>IF(ISBLANK(global!I150),"",global!I150)</f>
        <v/>
      </c>
      <c r="K1673" s="262" t="s">
        <v>4241</v>
      </c>
      <c r="O1673" s="262" t="s">
        <v>4241</v>
      </c>
    </row>
    <row r="1674" spans="1:15" ht="12.75" customHeight="1" x14ac:dyDescent="0.3">
      <c r="A1674" s="566"/>
      <c r="B1674" s="566"/>
      <c r="C1674" s="566" t="s">
        <v>1394</v>
      </c>
      <c r="D1674" s="566"/>
      <c r="E1674" s="566"/>
      <c r="F1674" s="566"/>
      <c r="G1674" s="566" t="s">
        <v>2746</v>
      </c>
      <c r="H1674" s="566" t="s">
        <v>900</v>
      </c>
      <c r="I1674" s="239" t="str">
        <f>IF(ISBLANK(global!I151),"",global!I151)</f>
        <v/>
      </c>
      <c r="K1674" s="262" t="s">
        <v>4241</v>
      </c>
      <c r="O1674" s="262" t="s">
        <v>4241</v>
      </c>
    </row>
    <row r="1675" spans="1:15" ht="12.75" customHeight="1" x14ac:dyDescent="0.3">
      <c r="A1675" s="566"/>
      <c r="B1675" s="566"/>
      <c r="C1675" s="566" t="s">
        <v>1391</v>
      </c>
      <c r="D1675" s="566"/>
      <c r="E1675" s="566"/>
      <c r="F1675" s="566"/>
      <c r="G1675" s="567" t="s">
        <v>2747</v>
      </c>
      <c r="H1675" s="567" t="s">
        <v>291</v>
      </c>
      <c r="I1675" s="239" t="str">
        <f>IF(ISBLANK(global!I152),"",global!I152)</f>
        <v/>
      </c>
      <c r="K1675" s="262" t="s">
        <v>4241</v>
      </c>
      <c r="O1675" s="262" t="s">
        <v>4241</v>
      </c>
    </row>
    <row r="1676" spans="1:15" ht="12.75" customHeight="1" x14ac:dyDescent="0.3">
      <c r="A1676" s="566" t="s">
        <v>1398</v>
      </c>
      <c r="B1676" s="566"/>
      <c r="C1676" s="566"/>
      <c r="D1676" s="566"/>
      <c r="E1676" s="566"/>
      <c r="F1676" s="566"/>
      <c r="G1676" s="566" t="s">
        <v>2748</v>
      </c>
      <c r="H1676" s="566" t="s">
        <v>335</v>
      </c>
      <c r="I1676" s="239" t="str">
        <f>IF(ISBLANK(global!I153),"",global!I153)</f>
        <v/>
      </c>
      <c r="K1676" s="262" t="s">
        <v>4241</v>
      </c>
      <c r="O1676" s="262" t="s">
        <v>4241</v>
      </c>
    </row>
    <row r="1677" spans="1:15" ht="12.75" customHeight="1" x14ac:dyDescent="0.3">
      <c r="A1677" s="566"/>
      <c r="B1677" s="566"/>
      <c r="C1677" s="566" t="s">
        <v>710</v>
      </c>
      <c r="D1677" s="566"/>
      <c r="E1677" s="566"/>
      <c r="F1677" s="566"/>
      <c r="G1677" s="566" t="s">
        <v>2749</v>
      </c>
      <c r="H1677" s="567" t="s">
        <v>708</v>
      </c>
      <c r="I1677" s="239" t="str">
        <f>IF(ISBLANK(global!I154),"",global!I154)</f>
        <v/>
      </c>
      <c r="K1677" s="262" t="s">
        <v>4241</v>
      </c>
      <c r="O1677" s="262" t="s">
        <v>4241</v>
      </c>
    </row>
    <row r="1678" spans="1:15" ht="12.75" customHeight="1" x14ac:dyDescent="0.3">
      <c r="A1678" s="566"/>
      <c r="B1678" s="566"/>
      <c r="C1678" s="566" t="s">
        <v>1400</v>
      </c>
      <c r="D1678" s="566"/>
      <c r="E1678" s="566"/>
      <c r="F1678" s="566"/>
      <c r="G1678" s="567" t="s">
        <v>2750</v>
      </c>
      <c r="H1678" s="567" t="s">
        <v>866</v>
      </c>
      <c r="I1678" s="239" t="str">
        <f>IF(ISBLANK(global!I155),"",global!I155)</f>
        <v/>
      </c>
      <c r="K1678" s="262" t="s">
        <v>4241</v>
      </c>
      <c r="O1678" s="262" t="s">
        <v>4241</v>
      </c>
    </row>
    <row r="1679" spans="1:15" ht="12.75" customHeight="1" x14ac:dyDescent="0.3">
      <c r="A1679" s="566"/>
      <c r="B1679" s="566"/>
      <c r="C1679" s="566" t="s">
        <v>1402</v>
      </c>
      <c r="D1679" s="566"/>
      <c r="E1679" s="566"/>
      <c r="F1679" s="566"/>
      <c r="G1679" s="566" t="s">
        <v>2751</v>
      </c>
      <c r="H1679" s="566" t="s">
        <v>900</v>
      </c>
      <c r="I1679" s="239" t="str">
        <f>IF(ISBLANK(global!I156),"",global!I156)</f>
        <v/>
      </c>
      <c r="K1679" s="262" t="s">
        <v>4241</v>
      </c>
      <c r="O1679" s="262" t="s">
        <v>4241</v>
      </c>
    </row>
    <row r="1680" spans="1:15" ht="12.75" customHeight="1" x14ac:dyDescent="0.3">
      <c r="A1680" s="566"/>
      <c r="B1680" s="566"/>
      <c r="C1680" s="566" t="s">
        <v>1404</v>
      </c>
      <c r="D1680" s="566"/>
      <c r="E1680" s="566"/>
      <c r="F1680" s="566"/>
      <c r="G1680" s="567" t="s">
        <v>2752</v>
      </c>
      <c r="H1680" s="567" t="s">
        <v>291</v>
      </c>
      <c r="I1680" s="239" t="str">
        <f>IF(ISBLANK(global!I157),"",global!I157)</f>
        <v/>
      </c>
      <c r="K1680" s="262" t="s">
        <v>4241</v>
      </c>
      <c r="O1680" s="262" t="s">
        <v>4241</v>
      </c>
    </row>
    <row r="1681" spans="1:15" ht="12.75" customHeight="1" x14ac:dyDescent="0.3">
      <c r="A1681" s="566" t="s">
        <v>1406</v>
      </c>
      <c r="B1681" s="566"/>
      <c r="C1681" s="566"/>
      <c r="D1681" s="566"/>
      <c r="E1681" s="566"/>
      <c r="F1681" s="566"/>
      <c r="G1681" s="567" t="s">
        <v>2753</v>
      </c>
      <c r="H1681" s="567" t="s">
        <v>335</v>
      </c>
      <c r="I1681" s="239" t="str">
        <f>IF(ISBLANK(global!I158),"",global!I158)</f>
        <v/>
      </c>
      <c r="K1681" s="262" t="s">
        <v>4241</v>
      </c>
      <c r="O1681" s="262" t="s">
        <v>4241</v>
      </c>
    </row>
    <row r="1682" spans="1:15" ht="12.75" customHeight="1" x14ac:dyDescent="0.3">
      <c r="A1682" s="566"/>
      <c r="B1682" s="566" t="s">
        <v>712</v>
      </c>
      <c r="C1682" s="566"/>
      <c r="D1682" s="566"/>
      <c r="E1682" s="566"/>
      <c r="F1682" s="566"/>
      <c r="G1682" s="566" t="s">
        <v>2754</v>
      </c>
      <c r="H1682" s="567" t="s">
        <v>708</v>
      </c>
      <c r="I1682" s="239" t="str">
        <f>IF(ISBLANK(global!I159),"",global!I159)</f>
        <v/>
      </c>
      <c r="K1682" s="262" t="s">
        <v>4241</v>
      </c>
      <c r="O1682" s="262" t="s">
        <v>4241</v>
      </c>
    </row>
    <row r="1683" spans="1:15" ht="12.75" customHeight="1" x14ac:dyDescent="0.3">
      <c r="A1683" s="566"/>
      <c r="B1683" s="566" t="s">
        <v>1408</v>
      </c>
      <c r="C1683" s="566"/>
      <c r="D1683" s="566"/>
      <c r="E1683" s="566"/>
      <c r="F1683" s="566"/>
      <c r="G1683" s="567" t="s">
        <v>2755</v>
      </c>
      <c r="H1683" s="567" t="s">
        <v>866</v>
      </c>
      <c r="I1683" s="239" t="str">
        <f>IF(ISBLANK(global!I160),"",global!I160)</f>
        <v/>
      </c>
      <c r="K1683" s="262" t="s">
        <v>4241</v>
      </c>
      <c r="O1683" s="262" t="s">
        <v>4241</v>
      </c>
    </row>
    <row r="1684" spans="1:15" ht="12.75" customHeight="1" x14ac:dyDescent="0.3">
      <c r="A1684" s="566"/>
      <c r="B1684" s="566" t="s">
        <v>1410</v>
      </c>
      <c r="C1684" s="566"/>
      <c r="D1684" s="566"/>
      <c r="E1684" s="566"/>
      <c r="F1684" s="566"/>
      <c r="G1684" s="566" t="s">
        <v>2756</v>
      </c>
      <c r="H1684" s="566" t="s">
        <v>900</v>
      </c>
      <c r="I1684" s="239" t="str">
        <f>IF(ISBLANK(global!I161),"",global!I161)</f>
        <v/>
      </c>
      <c r="K1684" s="262" t="s">
        <v>4241</v>
      </c>
      <c r="O1684" s="262" t="s">
        <v>4241</v>
      </c>
    </row>
    <row r="1685" spans="1:15" ht="12.75" customHeight="1" x14ac:dyDescent="0.3">
      <c r="A1685" s="566"/>
      <c r="B1685" s="566" t="s">
        <v>1412</v>
      </c>
      <c r="C1685" s="566"/>
      <c r="D1685" s="566"/>
      <c r="E1685" s="566"/>
      <c r="F1685" s="566"/>
      <c r="G1685" s="567" t="s">
        <v>2757</v>
      </c>
      <c r="H1685" s="567" t="s">
        <v>291</v>
      </c>
      <c r="I1685" s="239" t="str">
        <f>IF(ISBLANK(global!I162),"",global!I162)</f>
        <v/>
      </c>
      <c r="K1685" s="262" t="s">
        <v>4241</v>
      </c>
      <c r="O1685" s="262" t="s">
        <v>4241</v>
      </c>
    </row>
    <row r="1686" spans="1:15" ht="12.75" customHeight="1" x14ac:dyDescent="0.3">
      <c r="A1686" s="410" t="s">
        <v>2758</v>
      </c>
      <c r="B1686" s="410"/>
      <c r="C1686" s="410"/>
      <c r="D1686" s="410"/>
      <c r="E1686" s="410"/>
      <c r="F1686" s="410"/>
      <c r="G1686" s="654"/>
      <c r="H1686" s="654"/>
      <c r="I1686" s="239" t="str">
        <f>IF(ISBLANK(global!I163),"",global!I163)</f>
        <v/>
      </c>
      <c r="K1686" s="262" t="s">
        <v>4241</v>
      </c>
      <c r="O1686" s="262" t="s">
        <v>4241</v>
      </c>
    </row>
    <row r="1687" spans="1:15" ht="12.75" customHeight="1" x14ac:dyDescent="0.3">
      <c r="A1687" s="566" t="s">
        <v>1437</v>
      </c>
      <c r="B1687" s="566"/>
      <c r="C1687" s="566"/>
      <c r="D1687" s="566"/>
      <c r="E1687" s="566"/>
      <c r="F1687" s="566"/>
      <c r="G1687" s="567" t="s">
        <v>2759</v>
      </c>
      <c r="H1687" s="567" t="s">
        <v>335</v>
      </c>
      <c r="I1687" s="239" t="str">
        <f>IF(ISBLANK(global!I164),"",global!I164)</f>
        <v/>
      </c>
      <c r="K1687" s="262" t="s">
        <v>4241</v>
      </c>
      <c r="O1687" s="262" t="s">
        <v>4241</v>
      </c>
    </row>
    <row r="1688" spans="1:15" ht="12.75" customHeight="1" x14ac:dyDescent="0.3">
      <c r="A1688" s="566"/>
      <c r="B1688" s="566" t="s">
        <v>1439</v>
      </c>
      <c r="C1688" s="566"/>
      <c r="D1688" s="566"/>
      <c r="E1688" s="566"/>
      <c r="F1688" s="566"/>
      <c r="G1688" s="567" t="s">
        <v>2760</v>
      </c>
      <c r="H1688" s="567" t="s">
        <v>708</v>
      </c>
      <c r="I1688" s="239" t="str">
        <f>IF(ISBLANK(global!I165),"",global!I165)</f>
        <v/>
      </c>
      <c r="K1688" s="262" t="s">
        <v>4241</v>
      </c>
      <c r="O1688" s="262" t="s">
        <v>4241</v>
      </c>
    </row>
    <row r="1689" spans="1:15" ht="12.75" customHeight="1" x14ac:dyDescent="0.3">
      <c r="A1689" s="566"/>
      <c r="B1689" s="566" t="s">
        <v>1442</v>
      </c>
      <c r="C1689" s="566"/>
      <c r="D1689" s="566"/>
      <c r="E1689" s="566"/>
      <c r="F1689" s="566"/>
      <c r="G1689" s="567" t="s">
        <v>2761</v>
      </c>
      <c r="H1689" s="567" t="s">
        <v>335</v>
      </c>
      <c r="I1689" s="239" t="str">
        <f>IF(ISBLANK(global!I166),"",global!I166)</f>
        <v/>
      </c>
      <c r="K1689" s="262" t="s">
        <v>4241</v>
      </c>
      <c r="O1689" s="262" t="s">
        <v>4241</v>
      </c>
    </row>
    <row r="1690" spans="1:15" ht="12.75" customHeight="1" x14ac:dyDescent="0.3">
      <c r="A1690" s="566"/>
      <c r="B1690" s="566"/>
      <c r="C1690" s="566" t="s">
        <v>1421</v>
      </c>
      <c r="D1690" s="566"/>
      <c r="E1690" s="566"/>
      <c r="F1690" s="566"/>
      <c r="G1690" s="567" t="s">
        <v>2762</v>
      </c>
      <c r="H1690" s="567" t="s">
        <v>335</v>
      </c>
      <c r="I1690" s="239" t="str">
        <f>IF(ISBLANK(global!I167),"",global!I167)</f>
        <v/>
      </c>
      <c r="K1690" s="262" t="s">
        <v>4241</v>
      </c>
      <c r="O1690" s="262" t="s">
        <v>4241</v>
      </c>
    </row>
    <row r="1691" spans="1:15" ht="12.75" customHeight="1" x14ac:dyDescent="0.3">
      <c r="A1691" s="566"/>
      <c r="B1691" s="566"/>
      <c r="C1691" s="566"/>
      <c r="D1691" s="566" t="s">
        <v>1445</v>
      </c>
      <c r="E1691" s="566"/>
      <c r="F1691" s="566"/>
      <c r="G1691" s="567" t="s">
        <v>2763</v>
      </c>
      <c r="H1691" s="567" t="s">
        <v>335</v>
      </c>
      <c r="I1691" s="239" t="str">
        <f>IF(ISBLANK(global!I168),"",global!I168)</f>
        <v/>
      </c>
      <c r="K1691" s="262" t="s">
        <v>4241</v>
      </c>
      <c r="O1691" s="262" t="s">
        <v>4241</v>
      </c>
    </row>
    <row r="1692" spans="1:15" ht="12.75" customHeight="1" x14ac:dyDescent="0.3">
      <c r="A1692" s="566" t="s">
        <v>1437</v>
      </c>
      <c r="B1692" s="566"/>
      <c r="C1692" s="566"/>
      <c r="D1692" s="566"/>
      <c r="E1692" s="566"/>
      <c r="F1692" s="566"/>
      <c r="G1692" s="567" t="s">
        <v>2764</v>
      </c>
      <c r="H1692" s="567" t="s">
        <v>335</v>
      </c>
      <c r="I1692" s="239" t="str">
        <f>IF(ISBLANK(global!I169),"",global!I169)</f>
        <v/>
      </c>
      <c r="K1692" s="262" t="s">
        <v>4241</v>
      </c>
      <c r="O1692" s="262" t="s">
        <v>4241</v>
      </c>
    </row>
    <row r="1693" spans="1:15" ht="12.75" customHeight="1" x14ac:dyDescent="0.3">
      <c r="A1693" s="566"/>
      <c r="B1693" s="566" t="s">
        <v>1439</v>
      </c>
      <c r="C1693" s="566"/>
      <c r="D1693" s="566"/>
      <c r="E1693" s="566"/>
      <c r="F1693" s="566"/>
      <c r="G1693" s="567" t="s">
        <v>2765</v>
      </c>
      <c r="H1693" s="567" t="s">
        <v>708</v>
      </c>
      <c r="I1693" s="239" t="str">
        <f>IF(ISBLANK(global!I170),"",global!I170)</f>
        <v/>
      </c>
      <c r="K1693" s="262" t="s">
        <v>4241</v>
      </c>
      <c r="O1693" s="262" t="s">
        <v>4241</v>
      </c>
    </row>
    <row r="1694" spans="1:15" ht="12.75" customHeight="1" x14ac:dyDescent="0.3">
      <c r="A1694" s="566"/>
      <c r="B1694" s="566" t="s">
        <v>1442</v>
      </c>
      <c r="C1694" s="566"/>
      <c r="D1694" s="566"/>
      <c r="E1694" s="566"/>
      <c r="F1694" s="566"/>
      <c r="G1694" s="567" t="s">
        <v>2766</v>
      </c>
      <c r="H1694" s="567" t="s">
        <v>335</v>
      </c>
      <c r="I1694" s="239" t="str">
        <f>IF(ISBLANK(global!I171),"",global!I171)</f>
        <v/>
      </c>
      <c r="K1694" s="262" t="s">
        <v>4241</v>
      </c>
      <c r="O1694" s="262" t="s">
        <v>4241</v>
      </c>
    </row>
    <row r="1695" spans="1:15" ht="12.75" customHeight="1" x14ac:dyDescent="0.3">
      <c r="A1695" s="566"/>
      <c r="B1695" s="566"/>
      <c r="C1695" s="566" t="s">
        <v>1421</v>
      </c>
      <c r="D1695" s="566"/>
      <c r="E1695" s="566"/>
      <c r="F1695" s="566"/>
      <c r="G1695" s="567" t="s">
        <v>2767</v>
      </c>
      <c r="H1695" s="567" t="s">
        <v>335</v>
      </c>
      <c r="I1695" s="239" t="str">
        <f>IF(ISBLANK(global!I172),"",global!I172)</f>
        <v/>
      </c>
      <c r="K1695" s="262" t="s">
        <v>4241</v>
      </c>
      <c r="O1695" s="262" t="s">
        <v>4241</v>
      </c>
    </row>
    <row r="1696" spans="1:15" ht="12.75" customHeight="1" x14ac:dyDescent="0.3">
      <c r="A1696" s="566"/>
      <c r="B1696" s="566"/>
      <c r="C1696" s="566"/>
      <c r="D1696" s="566" t="s">
        <v>1445</v>
      </c>
      <c r="E1696" s="566"/>
      <c r="F1696" s="566"/>
      <c r="G1696" s="567" t="s">
        <v>2768</v>
      </c>
      <c r="H1696" s="567" t="s">
        <v>335</v>
      </c>
      <c r="I1696" s="239" t="str">
        <f>IF(ISBLANK(global!I173),"",global!I173)</f>
        <v/>
      </c>
      <c r="K1696" s="262" t="s">
        <v>4241</v>
      </c>
      <c r="O1696" s="262" t="s">
        <v>4241</v>
      </c>
    </row>
    <row r="1697" spans="1:15" ht="12.75" customHeight="1" x14ac:dyDescent="0.3">
      <c r="A1697" s="566"/>
      <c r="B1697" s="566"/>
      <c r="C1697" s="566" t="s">
        <v>1447</v>
      </c>
      <c r="D1697" s="566"/>
      <c r="E1697" s="566"/>
      <c r="F1697" s="566"/>
      <c r="G1697" s="566" t="s">
        <v>2769</v>
      </c>
      <c r="H1697" s="566" t="s">
        <v>335</v>
      </c>
      <c r="I1697" s="239" t="str">
        <f>IF(ISBLANK(global!I174),"",global!I174)</f>
        <v/>
      </c>
      <c r="K1697" s="262" t="s">
        <v>4241</v>
      </c>
      <c r="O1697" s="262" t="s">
        <v>4241</v>
      </c>
    </row>
    <row r="1698" spans="1:15" ht="12.75" customHeight="1" x14ac:dyDescent="0.3">
      <c r="A1698" s="566"/>
      <c r="B1698" s="566"/>
      <c r="C1698" s="566" t="s">
        <v>1449</v>
      </c>
      <c r="D1698" s="566"/>
      <c r="E1698" s="566"/>
      <c r="F1698" s="566"/>
      <c r="G1698" s="567" t="s">
        <v>2770</v>
      </c>
      <c r="H1698" s="567" t="s">
        <v>335</v>
      </c>
      <c r="I1698" s="239" t="str">
        <f>IF(ISBLANK(global!I175),"",global!I175)</f>
        <v/>
      </c>
      <c r="K1698" s="262" t="s">
        <v>4241</v>
      </c>
      <c r="O1698" s="262" t="s">
        <v>4241</v>
      </c>
    </row>
    <row r="1699" spans="1:15" ht="12.75" customHeight="1" x14ac:dyDescent="0.3">
      <c r="A1699" s="566" t="s">
        <v>1469</v>
      </c>
      <c r="B1699" s="566"/>
      <c r="C1699" s="566"/>
      <c r="D1699" s="566"/>
      <c r="E1699" s="566"/>
      <c r="F1699" s="566"/>
      <c r="G1699" s="567" t="s">
        <v>2771</v>
      </c>
      <c r="H1699" s="567" t="s">
        <v>335</v>
      </c>
      <c r="I1699" s="239" t="str">
        <f>IF(ISBLANK(global!I176),"",global!I176)</f>
        <v/>
      </c>
      <c r="K1699" s="262" t="s">
        <v>4241</v>
      </c>
      <c r="O1699" s="262" t="s">
        <v>4241</v>
      </c>
    </row>
    <row r="1700" spans="1:15" ht="12.75" customHeight="1" x14ac:dyDescent="0.3">
      <c r="A1700" s="566"/>
      <c r="B1700" s="566" t="s">
        <v>1471</v>
      </c>
      <c r="C1700" s="566"/>
      <c r="D1700" s="566"/>
      <c r="E1700" s="566"/>
      <c r="F1700" s="566"/>
      <c r="G1700" s="567" t="s">
        <v>2772</v>
      </c>
      <c r="H1700" s="567" t="s">
        <v>708</v>
      </c>
      <c r="I1700" s="239" t="str">
        <f>IF(ISBLANK(global!I177),"",global!I177)</f>
        <v/>
      </c>
      <c r="K1700" s="262" t="s">
        <v>4241</v>
      </c>
      <c r="O1700" s="262" t="s">
        <v>4241</v>
      </c>
    </row>
    <row r="1701" spans="1:15" ht="12.75" customHeight="1" x14ac:dyDescent="0.3">
      <c r="A1701" s="566"/>
      <c r="B1701" s="566" t="s">
        <v>1474</v>
      </c>
      <c r="C1701" s="566"/>
      <c r="D1701" s="566"/>
      <c r="E1701" s="566"/>
      <c r="F1701" s="566"/>
      <c r="G1701" s="567" t="s">
        <v>2773</v>
      </c>
      <c r="H1701" s="566" t="s">
        <v>335</v>
      </c>
      <c r="I1701" s="239" t="str">
        <f>IF(ISBLANK(global!I178),"",global!I178)</f>
        <v/>
      </c>
      <c r="K1701" s="262" t="s">
        <v>4241</v>
      </c>
      <c r="O1701" s="262" t="s">
        <v>4241</v>
      </c>
    </row>
    <row r="1702" spans="1:15" ht="12.75" customHeight="1" x14ac:dyDescent="0.3">
      <c r="A1702" s="566"/>
      <c r="B1702" s="566"/>
      <c r="C1702" s="566" t="s">
        <v>1459</v>
      </c>
      <c r="D1702" s="566"/>
      <c r="E1702" s="566"/>
      <c r="F1702" s="566"/>
      <c r="G1702" s="567" t="s">
        <v>2774</v>
      </c>
      <c r="H1702" s="567" t="s">
        <v>335</v>
      </c>
      <c r="I1702" s="239" t="str">
        <f>IF(ISBLANK(global!I179),"",global!I179)</f>
        <v/>
      </c>
      <c r="K1702" s="262" t="s">
        <v>4241</v>
      </c>
      <c r="O1702" s="262" t="s">
        <v>4241</v>
      </c>
    </row>
    <row r="1703" spans="1:15" ht="12.75" customHeight="1" x14ac:dyDescent="0.3">
      <c r="A1703" s="566" t="s">
        <v>1469</v>
      </c>
      <c r="B1703" s="566"/>
      <c r="C1703" s="566"/>
      <c r="D1703" s="566"/>
      <c r="E1703" s="566"/>
      <c r="F1703" s="566"/>
      <c r="G1703" s="567" t="s">
        <v>2775</v>
      </c>
      <c r="H1703" s="567" t="s">
        <v>335</v>
      </c>
      <c r="I1703" s="239" t="str">
        <f>IF(ISBLANK(global!I180),"",global!I180)</f>
        <v/>
      </c>
      <c r="K1703" s="262" t="s">
        <v>4241</v>
      </c>
      <c r="O1703" s="262" t="s">
        <v>4241</v>
      </c>
    </row>
    <row r="1704" spans="1:15" ht="12.75" customHeight="1" x14ac:dyDescent="0.3">
      <c r="A1704" s="566"/>
      <c r="B1704" s="566" t="s">
        <v>1471</v>
      </c>
      <c r="C1704" s="566"/>
      <c r="D1704" s="566"/>
      <c r="E1704" s="566"/>
      <c r="F1704" s="566"/>
      <c r="G1704" s="567" t="s">
        <v>2776</v>
      </c>
      <c r="H1704" s="567" t="s">
        <v>708</v>
      </c>
      <c r="I1704" s="239" t="str">
        <f>IF(ISBLANK(global!I181),"",global!I181)</f>
        <v/>
      </c>
      <c r="K1704" s="262" t="s">
        <v>4241</v>
      </c>
      <c r="O1704" s="262" t="s">
        <v>4241</v>
      </c>
    </row>
    <row r="1705" spans="1:15" ht="12.75" customHeight="1" x14ac:dyDescent="0.3">
      <c r="A1705" s="566"/>
      <c r="B1705" s="566" t="s">
        <v>1474</v>
      </c>
      <c r="C1705" s="566"/>
      <c r="D1705" s="566"/>
      <c r="E1705" s="566"/>
      <c r="F1705" s="566"/>
      <c r="G1705" s="567" t="s">
        <v>2777</v>
      </c>
      <c r="H1705" s="566" t="s">
        <v>335</v>
      </c>
      <c r="I1705" s="239" t="str">
        <f>IF(ISBLANK(global!I182),"",global!I182)</f>
        <v/>
      </c>
      <c r="K1705" s="262" t="s">
        <v>4241</v>
      </c>
      <c r="O1705" s="262" t="s">
        <v>4241</v>
      </c>
    </row>
    <row r="1706" spans="1:15" ht="12.75" customHeight="1" x14ac:dyDescent="0.3">
      <c r="A1706" s="566"/>
      <c r="B1706" s="566"/>
      <c r="C1706" s="566" t="s">
        <v>1459</v>
      </c>
      <c r="D1706" s="566"/>
      <c r="E1706" s="566"/>
      <c r="F1706" s="566"/>
      <c r="G1706" s="567" t="s">
        <v>2778</v>
      </c>
      <c r="H1706" s="567" t="s">
        <v>335</v>
      </c>
      <c r="I1706" s="239" t="str">
        <f>IF(ISBLANK(global!I183),"",global!I183)</f>
        <v/>
      </c>
      <c r="K1706" s="262" t="s">
        <v>4241</v>
      </c>
      <c r="O1706" s="262" t="s">
        <v>4241</v>
      </c>
    </row>
    <row r="1707" spans="1:15" ht="12.75" customHeight="1" x14ac:dyDescent="0.3">
      <c r="A1707" s="566"/>
      <c r="B1707" s="566"/>
      <c r="C1707" s="566" t="s">
        <v>1477</v>
      </c>
      <c r="D1707" s="566"/>
      <c r="E1707" s="566"/>
      <c r="F1707" s="566"/>
      <c r="G1707" s="567" t="s">
        <v>2779</v>
      </c>
      <c r="H1707" s="567" t="s">
        <v>335</v>
      </c>
      <c r="I1707" s="239" t="str">
        <f>IF(ISBLANK(global!I184),"",global!I184)</f>
        <v/>
      </c>
      <c r="K1707" s="262" t="s">
        <v>4241</v>
      </c>
      <c r="O1707" s="262" t="s">
        <v>4241</v>
      </c>
    </row>
    <row r="1708" spans="1:15" ht="12.75" customHeight="1" x14ac:dyDescent="0.3">
      <c r="A1708" s="566"/>
      <c r="B1708" s="566"/>
      <c r="C1708" s="566" t="s">
        <v>2248</v>
      </c>
      <c r="D1708" s="566"/>
      <c r="E1708" s="566"/>
      <c r="F1708" s="566"/>
      <c r="G1708" s="567" t="s">
        <v>2780</v>
      </c>
      <c r="H1708" s="567" t="s">
        <v>335</v>
      </c>
      <c r="I1708" s="239" t="str">
        <f>IF(ISBLANK(global!I185),"",global!I185)</f>
        <v/>
      </c>
      <c r="K1708" s="262" t="s">
        <v>4241</v>
      </c>
      <c r="O1708" s="262" t="s">
        <v>4241</v>
      </c>
    </row>
    <row r="1709" spans="1:15" ht="12.75" customHeight="1" x14ac:dyDescent="0.3">
      <c r="A1709" s="410" t="s">
        <v>2781</v>
      </c>
      <c r="I1709" s="239" t="str">
        <f>IF(ISBLANK(global!I186),"",global!I186)</f>
        <v/>
      </c>
      <c r="K1709" s="262" t="s">
        <v>4241</v>
      </c>
      <c r="O1709" s="262" t="s">
        <v>4241</v>
      </c>
    </row>
    <row r="1710" spans="1:15" ht="12.75" customHeight="1" x14ac:dyDescent="0.3">
      <c r="A1710" s="566" t="s">
        <v>2782</v>
      </c>
      <c r="B1710" s="566"/>
      <c r="C1710" s="566"/>
      <c r="D1710" s="566"/>
      <c r="E1710" s="566"/>
      <c r="F1710" s="566"/>
      <c r="G1710" s="567" t="s">
        <v>2783</v>
      </c>
      <c r="H1710" s="567" t="s">
        <v>335</v>
      </c>
      <c r="I1710" s="239" t="str">
        <f>IF(ISBLANK(global!I187),"",global!I187)</f>
        <v/>
      </c>
      <c r="K1710" s="262" t="s">
        <v>4241</v>
      </c>
      <c r="O1710" s="262" t="s">
        <v>4241</v>
      </c>
    </row>
    <row r="1711" spans="1:15" ht="12.75" customHeight="1" x14ac:dyDescent="0.3">
      <c r="A1711" s="566"/>
      <c r="B1711" s="566" t="s">
        <v>1493</v>
      </c>
      <c r="C1711" s="566"/>
      <c r="D1711" s="566"/>
      <c r="E1711" s="566"/>
      <c r="F1711" s="566"/>
      <c r="G1711" s="567" t="s">
        <v>2785</v>
      </c>
      <c r="H1711" s="567" t="s">
        <v>708</v>
      </c>
      <c r="I1711" s="239" t="str">
        <f>IF(ISBLANK(global!I188),"",global!I188)</f>
        <v/>
      </c>
      <c r="K1711" s="262" t="s">
        <v>4241</v>
      </c>
      <c r="O1711" s="262" t="s">
        <v>4241</v>
      </c>
    </row>
    <row r="1712" spans="1:15" ht="12.75" customHeight="1" x14ac:dyDescent="0.3">
      <c r="A1712" s="566"/>
      <c r="B1712" s="566"/>
      <c r="C1712" s="566" t="s">
        <v>1447</v>
      </c>
      <c r="D1712" s="566"/>
      <c r="E1712" s="566"/>
      <c r="F1712" s="566"/>
      <c r="G1712" s="566" t="s">
        <v>2786</v>
      </c>
      <c r="H1712" s="566" t="s">
        <v>335</v>
      </c>
      <c r="I1712" s="239" t="str">
        <f>IF(ISBLANK(global!I189),"",global!I189)</f>
        <v/>
      </c>
      <c r="K1712" s="262" t="s">
        <v>4241</v>
      </c>
      <c r="O1712" s="262" t="s">
        <v>4241</v>
      </c>
    </row>
    <row r="1713" spans="1:15" ht="12.75" customHeight="1" x14ac:dyDescent="0.3">
      <c r="A1713" s="566"/>
      <c r="B1713" s="566"/>
      <c r="C1713" s="566" t="s">
        <v>1449</v>
      </c>
      <c r="D1713" s="566"/>
      <c r="E1713" s="566"/>
      <c r="F1713" s="566"/>
      <c r="G1713" s="567" t="s">
        <v>2787</v>
      </c>
      <c r="H1713" s="567" t="s">
        <v>335</v>
      </c>
      <c r="I1713" s="239" t="str">
        <f>IF(ISBLANK(global!I190),"",global!I190)</f>
        <v/>
      </c>
      <c r="K1713" s="262" t="s">
        <v>4241</v>
      </c>
      <c r="O1713" s="262" t="s">
        <v>4241</v>
      </c>
    </row>
    <row r="1714" spans="1:15" ht="12.75" customHeight="1" x14ac:dyDescent="0.3">
      <c r="A1714" s="566" t="s">
        <v>2788</v>
      </c>
      <c r="B1714" s="566"/>
      <c r="C1714" s="566"/>
      <c r="D1714" s="566"/>
      <c r="E1714" s="566"/>
      <c r="F1714" s="566"/>
      <c r="G1714" s="567" t="s">
        <v>2789</v>
      </c>
      <c r="H1714" s="567" t="s">
        <v>335</v>
      </c>
      <c r="I1714" s="239" t="str">
        <f>IF(ISBLANK(global!I191),"",global!I191)</f>
        <v/>
      </c>
      <c r="K1714" s="262" t="s">
        <v>4241</v>
      </c>
      <c r="O1714" s="262" t="s">
        <v>4241</v>
      </c>
    </row>
    <row r="1715" spans="1:15" ht="12.75" customHeight="1" x14ac:dyDescent="0.3">
      <c r="A1715" s="566"/>
      <c r="B1715" s="566" t="s">
        <v>1504</v>
      </c>
      <c r="C1715" s="566"/>
      <c r="D1715" s="566"/>
      <c r="E1715" s="566"/>
      <c r="F1715" s="566"/>
      <c r="G1715" s="567" t="s">
        <v>2790</v>
      </c>
      <c r="H1715" s="567" t="s">
        <v>1506</v>
      </c>
      <c r="I1715" s="239" t="str">
        <f>IF(ISBLANK(global!I192),"",global!I192)</f>
        <v/>
      </c>
      <c r="K1715" s="262" t="s">
        <v>4241</v>
      </c>
      <c r="O1715" s="262" t="s">
        <v>4241</v>
      </c>
    </row>
    <row r="1716" spans="1:15" ht="12.75" customHeight="1" x14ac:dyDescent="0.3">
      <c r="A1716" s="566"/>
      <c r="B1716" s="566" t="s">
        <v>1507</v>
      </c>
      <c r="C1716" s="566"/>
      <c r="D1716" s="566"/>
      <c r="E1716" s="566"/>
      <c r="F1716" s="566"/>
      <c r="G1716" s="566" t="s">
        <v>2791</v>
      </c>
      <c r="H1716" s="567" t="s">
        <v>866</v>
      </c>
      <c r="I1716" s="239" t="str">
        <f>IF(ISBLANK(global!I193),"",global!I193)</f>
        <v/>
      </c>
      <c r="K1716" s="262" t="s">
        <v>4241</v>
      </c>
      <c r="O1716" s="262" t="s">
        <v>4241</v>
      </c>
    </row>
    <row r="1717" spans="1:15" ht="12.75" customHeight="1" x14ac:dyDescent="0.3">
      <c r="A1717" s="566"/>
      <c r="B1717" s="566" t="s">
        <v>1510</v>
      </c>
      <c r="C1717" s="566"/>
      <c r="D1717" s="566"/>
      <c r="E1717" s="566"/>
      <c r="F1717" s="566"/>
      <c r="G1717" s="567" t="s">
        <v>2792</v>
      </c>
      <c r="H1717" s="567" t="s">
        <v>291</v>
      </c>
      <c r="I1717" s="239" t="str">
        <f>IF(ISBLANK(global!I194),"",global!I194)</f>
        <v/>
      </c>
      <c r="K1717" s="262" t="s">
        <v>4241</v>
      </c>
      <c r="O1717" s="262" t="s">
        <v>4241</v>
      </c>
    </row>
    <row r="1718" spans="1:15" ht="12.75" customHeight="1" x14ac:dyDescent="0.3">
      <c r="A1718" s="566"/>
      <c r="B1718" s="566"/>
      <c r="C1718" s="566" t="s">
        <v>1512</v>
      </c>
      <c r="D1718" s="566"/>
      <c r="E1718" s="566"/>
      <c r="F1718" s="566"/>
      <c r="G1718" s="567" t="s">
        <v>2793</v>
      </c>
      <c r="H1718" s="567" t="s">
        <v>291</v>
      </c>
      <c r="I1718" s="239" t="str">
        <f>IF(ISBLANK(global!I195),"",global!I195)</f>
        <v/>
      </c>
      <c r="K1718" s="262" t="s">
        <v>4241</v>
      </c>
      <c r="O1718" s="262" t="s">
        <v>4241</v>
      </c>
    </row>
    <row r="1719" spans="1:15" ht="12.75" customHeight="1" x14ac:dyDescent="0.3">
      <c r="A1719" s="566"/>
      <c r="B1719" s="566"/>
      <c r="C1719" s="566"/>
      <c r="D1719" s="566" t="s">
        <v>1514</v>
      </c>
      <c r="E1719" s="566"/>
      <c r="F1719" s="566"/>
      <c r="G1719" s="566" t="s">
        <v>2794</v>
      </c>
      <c r="H1719" s="567" t="s">
        <v>291</v>
      </c>
      <c r="I1719" s="239" t="str">
        <f>IF(ISBLANK(global!I196),"",global!I196)</f>
        <v/>
      </c>
      <c r="K1719" s="262" t="s">
        <v>4241</v>
      </c>
      <c r="O1719" s="262" t="s">
        <v>4241</v>
      </c>
    </row>
    <row r="1720" spans="1:15" ht="12.75" customHeight="1" x14ac:dyDescent="0.3">
      <c r="A1720" s="566"/>
      <c r="B1720" s="566"/>
      <c r="C1720" s="566"/>
      <c r="D1720" s="566"/>
      <c r="E1720" s="566" t="s">
        <v>1516</v>
      </c>
      <c r="F1720" s="566"/>
      <c r="G1720" s="566" t="s">
        <v>2795</v>
      </c>
      <c r="H1720" s="567" t="s">
        <v>291</v>
      </c>
      <c r="I1720" s="239" t="str">
        <f>IF(ISBLANK(global!I197),"",global!I197)</f>
        <v/>
      </c>
      <c r="K1720" s="262" t="s">
        <v>4241</v>
      </c>
      <c r="O1720" s="262" t="s">
        <v>4241</v>
      </c>
    </row>
    <row r="1721" spans="1:15" ht="12.75" customHeight="1" x14ac:dyDescent="0.3">
      <c r="A1721" s="566"/>
      <c r="B1721" s="566"/>
      <c r="C1721" s="566"/>
      <c r="D1721" s="566"/>
      <c r="E1721" s="566"/>
      <c r="F1721" s="566" t="s">
        <v>1518</v>
      </c>
      <c r="G1721" s="566" t="s">
        <v>2796</v>
      </c>
      <c r="H1721" s="567" t="s">
        <v>1520</v>
      </c>
      <c r="I1721" s="239" t="str">
        <f>IF(ISBLANK(global!I198),"",global!I198)</f>
        <v/>
      </c>
      <c r="K1721" s="262" t="s">
        <v>4241</v>
      </c>
      <c r="O1721" s="262" t="s">
        <v>4241</v>
      </c>
    </row>
    <row r="1722" spans="1:15" ht="12.75" customHeight="1" x14ac:dyDescent="0.3">
      <c r="A1722" s="566"/>
      <c r="B1722" s="566"/>
      <c r="C1722" s="566" t="s">
        <v>1522</v>
      </c>
      <c r="D1722" s="566"/>
      <c r="E1722" s="566"/>
      <c r="F1722" s="566"/>
      <c r="G1722" s="567" t="s">
        <v>2797</v>
      </c>
      <c r="H1722" s="567" t="s">
        <v>291</v>
      </c>
      <c r="I1722" s="239" t="str">
        <f>IF(ISBLANK(global!I199),"",global!I199)</f>
        <v/>
      </c>
      <c r="K1722" s="262" t="s">
        <v>4241</v>
      </c>
      <c r="O1722" s="262" t="s">
        <v>4241</v>
      </c>
    </row>
    <row r="1723" spans="1:15" ht="12.75" customHeight="1" x14ac:dyDescent="0.3">
      <c r="A1723" s="566"/>
      <c r="B1723" s="566"/>
      <c r="C1723" s="566" t="s">
        <v>1524</v>
      </c>
      <c r="D1723" s="566"/>
      <c r="E1723" s="566"/>
      <c r="F1723" s="566"/>
      <c r="G1723" s="567" t="s">
        <v>2798</v>
      </c>
      <c r="H1723" s="567" t="s">
        <v>291</v>
      </c>
      <c r="I1723" s="239" t="str">
        <f>IF(ISBLANK(global!I200),"",global!I200)</f>
        <v/>
      </c>
      <c r="K1723" s="262" t="s">
        <v>4241</v>
      </c>
      <c r="O1723" s="262" t="s">
        <v>4241</v>
      </c>
    </row>
    <row r="1724" spans="1:15" ht="12.75" customHeight="1" x14ac:dyDescent="0.3">
      <c r="A1724" s="566"/>
      <c r="B1724" s="566"/>
      <c r="C1724" s="566"/>
      <c r="D1724" s="566" t="s">
        <v>1526</v>
      </c>
      <c r="E1724" s="566"/>
      <c r="F1724" s="566"/>
      <c r="G1724" s="566" t="s">
        <v>2799</v>
      </c>
      <c r="H1724" s="567" t="s">
        <v>291</v>
      </c>
      <c r="I1724" s="239" t="str">
        <f>IF(ISBLANK(global!I201),"",global!I201)</f>
        <v/>
      </c>
      <c r="K1724" s="262" t="s">
        <v>4241</v>
      </c>
      <c r="O1724" s="262" t="s">
        <v>4241</v>
      </c>
    </row>
    <row r="1725" spans="1:15" ht="12.75" customHeight="1" x14ac:dyDescent="0.3">
      <c r="A1725" s="566"/>
      <c r="B1725" s="566"/>
      <c r="C1725" s="566"/>
      <c r="D1725" s="566" t="s">
        <v>1528</v>
      </c>
      <c r="E1725" s="566"/>
      <c r="F1725" s="566"/>
      <c r="G1725" s="566" t="s">
        <v>2800</v>
      </c>
      <c r="H1725" s="567" t="s">
        <v>1530</v>
      </c>
      <c r="I1725" s="239" t="str">
        <f>IF(ISBLANK(global!I202),"",global!I202)</f>
        <v/>
      </c>
      <c r="K1725" s="262" t="s">
        <v>4241</v>
      </c>
      <c r="O1725" s="262" t="s">
        <v>4241</v>
      </c>
    </row>
    <row r="1726" spans="1:15" ht="12.75" customHeight="1" x14ac:dyDescent="0.3">
      <c r="A1726" s="566"/>
      <c r="B1726" s="566"/>
      <c r="C1726" s="566"/>
      <c r="D1726" s="566" t="s">
        <v>1531</v>
      </c>
      <c r="E1726" s="566"/>
      <c r="F1726" s="566"/>
      <c r="G1726" s="566" t="s">
        <v>2801</v>
      </c>
      <c r="H1726" s="567" t="s">
        <v>291</v>
      </c>
      <c r="I1726" s="239" t="str">
        <f>IF(ISBLANK(global!I203),"",global!I203)</f>
        <v/>
      </c>
      <c r="K1726" s="262" t="s">
        <v>4241</v>
      </c>
      <c r="O1726" s="262" t="s">
        <v>4241</v>
      </c>
    </row>
    <row r="1727" spans="1:15" ht="12.75" customHeight="1" x14ac:dyDescent="0.3">
      <c r="A1727" s="566"/>
      <c r="B1727" s="566"/>
      <c r="C1727" s="566"/>
      <c r="D1727" s="566" t="s">
        <v>1533</v>
      </c>
      <c r="E1727" s="566"/>
      <c r="F1727" s="566"/>
      <c r="G1727" s="567" t="s">
        <v>2802</v>
      </c>
      <c r="H1727" s="567" t="s">
        <v>291</v>
      </c>
      <c r="I1727" s="239" t="str">
        <f>IF(ISBLANK(global!I204),"",global!I204)</f>
        <v/>
      </c>
      <c r="K1727" s="262" t="s">
        <v>4241</v>
      </c>
      <c r="O1727" s="262" t="s">
        <v>4241</v>
      </c>
    </row>
    <row r="1728" spans="1:15" ht="12.75" customHeight="1" x14ac:dyDescent="0.3">
      <c r="A1728" s="410" t="s">
        <v>2803</v>
      </c>
      <c r="I1728" s="239" t="str">
        <f>IF(ISBLANK(global!I205),"",global!I205)</f>
        <v/>
      </c>
      <c r="K1728" s="262" t="s">
        <v>4241</v>
      </c>
      <c r="O1728" s="262" t="s">
        <v>4241</v>
      </c>
    </row>
    <row r="1729" spans="1:15" ht="12.75" customHeight="1" x14ac:dyDescent="0.3">
      <c r="A1729" s="566" t="s">
        <v>2804</v>
      </c>
      <c r="B1729" s="566"/>
      <c r="C1729" s="566"/>
      <c r="D1729" s="566"/>
      <c r="E1729" s="566"/>
      <c r="F1729" s="566"/>
      <c r="G1729" s="567" t="s">
        <v>2805</v>
      </c>
      <c r="H1729" s="567" t="s">
        <v>335</v>
      </c>
      <c r="I1729" s="239" t="str">
        <f>IF(ISBLANK(global!I206),"",global!I206)</f>
        <v/>
      </c>
      <c r="K1729" s="262" t="s">
        <v>4241</v>
      </c>
      <c r="O1729" s="262" t="s">
        <v>4241</v>
      </c>
    </row>
    <row r="1730" spans="1:15" ht="12.75" customHeight="1" x14ac:dyDescent="0.3">
      <c r="A1730" s="566"/>
      <c r="B1730" s="566" t="s">
        <v>1542</v>
      </c>
      <c r="C1730" s="566"/>
      <c r="D1730" s="566"/>
      <c r="E1730" s="566"/>
      <c r="F1730" s="566"/>
      <c r="G1730" s="567" t="s">
        <v>2807</v>
      </c>
      <c r="H1730" s="567" t="s">
        <v>708</v>
      </c>
      <c r="I1730" s="239" t="str">
        <f>IF(ISBLANK(global!I207),"",global!I207)</f>
        <v/>
      </c>
      <c r="K1730" s="262" t="s">
        <v>4241</v>
      </c>
      <c r="O1730" s="262" t="s">
        <v>4241</v>
      </c>
    </row>
    <row r="1731" spans="1:15" ht="12.75" customHeight="1" x14ac:dyDescent="0.3">
      <c r="A1731" s="566"/>
      <c r="B1731" s="566" t="s">
        <v>727</v>
      </c>
      <c r="C1731" s="566"/>
      <c r="D1731" s="566"/>
      <c r="E1731" s="566"/>
      <c r="F1731" s="566"/>
      <c r="G1731" s="567" t="s">
        <v>2808</v>
      </c>
      <c r="H1731" s="567" t="s">
        <v>729</v>
      </c>
      <c r="I1731" s="239" t="str">
        <f>IF(ISBLANK(global!I208),"",global!I208)</f>
        <v/>
      </c>
      <c r="K1731" s="262" t="s">
        <v>4241</v>
      </c>
      <c r="O1731" s="262" t="s">
        <v>4241</v>
      </c>
    </row>
    <row r="1732" spans="1:15" ht="12.75" customHeight="1" x14ac:dyDescent="0.3">
      <c r="A1732" s="566"/>
      <c r="B1732" s="566" t="s">
        <v>1447</v>
      </c>
      <c r="C1732" s="566"/>
      <c r="D1732" s="566"/>
      <c r="E1732" s="566"/>
      <c r="F1732" s="566"/>
      <c r="G1732" s="567" t="s">
        <v>2809</v>
      </c>
      <c r="H1732" s="567" t="s">
        <v>335</v>
      </c>
      <c r="I1732" s="239" t="str">
        <f>IF(ISBLANK(global!I209),"",global!I209)</f>
        <v/>
      </c>
      <c r="K1732" s="262" t="s">
        <v>4241</v>
      </c>
      <c r="O1732" s="262" t="s">
        <v>4241</v>
      </c>
    </row>
    <row r="1733" spans="1:15" ht="12.75" customHeight="1" x14ac:dyDescent="0.3">
      <c r="A1733" s="566"/>
      <c r="B1733" s="566" t="s">
        <v>1449</v>
      </c>
      <c r="C1733" s="566"/>
      <c r="D1733" s="566"/>
      <c r="E1733" s="566"/>
      <c r="F1733" s="566"/>
      <c r="G1733" s="567" t="s">
        <v>2810</v>
      </c>
      <c r="H1733" s="567" t="s">
        <v>335</v>
      </c>
      <c r="I1733" s="239" t="str">
        <f>IF(ISBLANK(global!I210),"",global!I210)</f>
        <v/>
      </c>
      <c r="K1733" s="262" t="s">
        <v>4241</v>
      </c>
      <c r="O1733" s="262" t="s">
        <v>4241</v>
      </c>
    </row>
    <row r="1734" spans="1:15" ht="12.75" customHeight="1" x14ac:dyDescent="0.3">
      <c r="A1734" s="566" t="s">
        <v>2811</v>
      </c>
      <c r="B1734" s="566"/>
      <c r="C1734" s="566"/>
      <c r="D1734" s="566"/>
      <c r="E1734" s="566"/>
      <c r="F1734" s="566"/>
      <c r="G1734" s="567" t="s">
        <v>2812</v>
      </c>
      <c r="H1734" s="567" t="s">
        <v>335</v>
      </c>
      <c r="I1734" s="239" t="str">
        <f>IF(ISBLANK(global!I211),"",global!I211)</f>
        <v/>
      </c>
      <c r="K1734" s="262" t="s">
        <v>4241</v>
      </c>
      <c r="O1734" s="262" t="s">
        <v>4241</v>
      </c>
    </row>
    <row r="1735" spans="1:15" ht="12.75" customHeight="1" x14ac:dyDescent="0.3">
      <c r="A1735" s="566"/>
      <c r="B1735" s="566" t="s">
        <v>1549</v>
      </c>
      <c r="C1735" s="566"/>
      <c r="D1735" s="566"/>
      <c r="E1735" s="566"/>
      <c r="F1735" s="566"/>
      <c r="G1735" s="567" t="s">
        <v>2813</v>
      </c>
      <c r="H1735" s="567" t="s">
        <v>1506</v>
      </c>
      <c r="I1735" s="239" t="str">
        <f>IF(ISBLANK(global!I212),"",global!I212)</f>
        <v/>
      </c>
      <c r="K1735" s="262" t="s">
        <v>4241</v>
      </c>
      <c r="O1735" s="262" t="s">
        <v>4241</v>
      </c>
    </row>
    <row r="1736" spans="1:15" ht="12.75" customHeight="1" x14ac:dyDescent="0.3">
      <c r="A1736" s="566"/>
      <c r="B1736" s="566" t="s">
        <v>1551</v>
      </c>
      <c r="C1736" s="566"/>
      <c r="D1736" s="566"/>
      <c r="E1736" s="566"/>
      <c r="F1736" s="566"/>
      <c r="G1736" s="566" t="s">
        <v>2814</v>
      </c>
      <c r="H1736" s="567" t="s">
        <v>866</v>
      </c>
      <c r="I1736" s="239" t="str">
        <f>IF(ISBLANK(global!I213),"",global!I213)</f>
        <v/>
      </c>
      <c r="K1736" s="262" t="s">
        <v>4241</v>
      </c>
      <c r="O1736" s="262" t="s">
        <v>4241</v>
      </c>
    </row>
    <row r="1737" spans="1:15" ht="12.75" customHeight="1" x14ac:dyDescent="0.3">
      <c r="A1737" s="566"/>
      <c r="B1737" s="566" t="s">
        <v>1510</v>
      </c>
      <c r="C1737" s="566"/>
      <c r="D1737" s="566"/>
      <c r="E1737" s="566"/>
      <c r="F1737" s="566"/>
      <c r="G1737" s="567" t="s">
        <v>2815</v>
      </c>
      <c r="H1737" s="567" t="s">
        <v>291</v>
      </c>
      <c r="I1737" s="239" t="str">
        <f>IF(ISBLANK(global!I214),"",global!I214)</f>
        <v/>
      </c>
      <c r="K1737" s="262" t="s">
        <v>4241</v>
      </c>
      <c r="O1737" s="262" t="s">
        <v>4241</v>
      </c>
    </row>
    <row r="1738" spans="1:15" ht="12.75" customHeight="1" x14ac:dyDescent="0.3">
      <c r="A1738" s="566"/>
      <c r="B1738" s="566"/>
      <c r="C1738" s="566" t="s">
        <v>1512</v>
      </c>
      <c r="D1738" s="566"/>
      <c r="E1738" s="566"/>
      <c r="F1738" s="566"/>
      <c r="G1738" s="567" t="s">
        <v>2816</v>
      </c>
      <c r="H1738" s="567" t="s">
        <v>291</v>
      </c>
      <c r="I1738" s="239" t="str">
        <f>IF(ISBLANK(global!I215),"",global!I215)</f>
        <v/>
      </c>
      <c r="K1738" s="262" t="s">
        <v>4241</v>
      </c>
      <c r="O1738" s="262" t="s">
        <v>4241</v>
      </c>
    </row>
    <row r="1739" spans="1:15" ht="12.75" customHeight="1" x14ac:dyDescent="0.3">
      <c r="A1739" s="566"/>
      <c r="B1739" s="566"/>
      <c r="C1739" s="566"/>
      <c r="D1739" s="566" t="s">
        <v>1514</v>
      </c>
      <c r="E1739" s="566"/>
      <c r="F1739" s="566"/>
      <c r="G1739" s="566" t="s">
        <v>2817</v>
      </c>
      <c r="H1739" s="567" t="s">
        <v>291</v>
      </c>
      <c r="I1739" s="239" t="str">
        <f>IF(ISBLANK(global!I216),"",global!I216)</f>
        <v/>
      </c>
      <c r="K1739" s="262" t="s">
        <v>4241</v>
      </c>
      <c r="O1739" s="262" t="s">
        <v>4241</v>
      </c>
    </row>
    <row r="1740" spans="1:15" ht="12.75" customHeight="1" x14ac:dyDescent="0.3">
      <c r="A1740" s="566"/>
      <c r="B1740" s="566"/>
      <c r="C1740" s="566"/>
      <c r="D1740" s="566"/>
      <c r="E1740" s="566" t="s">
        <v>1556</v>
      </c>
      <c r="F1740" s="566"/>
      <c r="G1740" s="566" t="s">
        <v>2818</v>
      </c>
      <c r="H1740" s="567" t="s">
        <v>291</v>
      </c>
      <c r="I1740" s="239" t="str">
        <f>IF(ISBLANK(global!I217),"",global!I217)</f>
        <v/>
      </c>
      <c r="K1740" s="262" t="s">
        <v>4241</v>
      </c>
      <c r="O1740" s="262" t="s">
        <v>4241</v>
      </c>
    </row>
    <row r="1741" spans="1:15" ht="12.75" customHeight="1" x14ac:dyDescent="0.3">
      <c r="A1741" s="566"/>
      <c r="B1741" s="566"/>
      <c r="C1741" s="566"/>
      <c r="D1741" s="566"/>
      <c r="E1741" s="566"/>
      <c r="F1741" s="566" t="s">
        <v>1558</v>
      </c>
      <c r="G1741" s="566" t="s">
        <v>2819</v>
      </c>
      <c r="H1741" s="567" t="s">
        <v>1520</v>
      </c>
      <c r="I1741" s="239" t="str">
        <f>IF(ISBLANK(global!I218),"",global!I218)</f>
        <v/>
      </c>
      <c r="K1741" s="262" t="s">
        <v>4241</v>
      </c>
      <c r="O1741" s="262" t="s">
        <v>4241</v>
      </c>
    </row>
    <row r="1742" spans="1:15" ht="12.75" customHeight="1" x14ac:dyDescent="0.3">
      <c r="A1742" s="566"/>
      <c r="B1742" s="566"/>
      <c r="C1742" s="566" t="s">
        <v>1522</v>
      </c>
      <c r="D1742" s="566"/>
      <c r="E1742" s="566"/>
      <c r="F1742" s="566"/>
      <c r="G1742" s="567" t="s">
        <v>2820</v>
      </c>
      <c r="H1742" s="567" t="s">
        <v>291</v>
      </c>
      <c r="I1742" s="239" t="str">
        <f>IF(ISBLANK(global!I219),"",global!I219)</f>
        <v/>
      </c>
      <c r="K1742" s="262" t="s">
        <v>4241</v>
      </c>
      <c r="O1742" s="262" t="s">
        <v>4241</v>
      </c>
    </row>
    <row r="1743" spans="1:15" ht="12.75" customHeight="1" x14ac:dyDescent="0.3">
      <c r="A1743" s="566"/>
      <c r="B1743" s="566"/>
      <c r="C1743" s="566" t="s">
        <v>1524</v>
      </c>
      <c r="D1743" s="566"/>
      <c r="E1743" s="566"/>
      <c r="F1743" s="566"/>
      <c r="G1743" s="567" t="s">
        <v>2821</v>
      </c>
      <c r="H1743" s="567" t="s">
        <v>291</v>
      </c>
      <c r="I1743" s="239" t="str">
        <f>IF(ISBLANK(global!I220),"",global!I220)</f>
        <v/>
      </c>
      <c r="K1743" s="262" t="s">
        <v>4241</v>
      </c>
      <c r="O1743" s="262" t="s">
        <v>4241</v>
      </c>
    </row>
    <row r="1744" spans="1:15" ht="12.75" customHeight="1" x14ac:dyDescent="0.3">
      <c r="A1744" s="566"/>
      <c r="B1744" s="566"/>
      <c r="C1744" s="566"/>
      <c r="D1744" s="566" t="s">
        <v>1528</v>
      </c>
      <c r="E1744" s="566"/>
      <c r="F1744" s="566"/>
      <c r="G1744" s="566" t="s">
        <v>2822</v>
      </c>
      <c r="H1744" s="567" t="s">
        <v>1530</v>
      </c>
      <c r="I1744" s="239" t="str">
        <f>IF(ISBLANK(global!I221),"",global!I221)</f>
        <v/>
      </c>
      <c r="K1744" s="262" t="s">
        <v>4241</v>
      </c>
      <c r="O1744" s="262" t="s">
        <v>4241</v>
      </c>
    </row>
    <row r="1745" spans="1:15" ht="12.75" customHeight="1" x14ac:dyDescent="0.3">
      <c r="A1745" s="566"/>
      <c r="B1745" s="566"/>
      <c r="C1745" s="566"/>
      <c r="D1745" s="566" t="s">
        <v>1531</v>
      </c>
      <c r="E1745" s="566"/>
      <c r="F1745" s="566"/>
      <c r="G1745" s="566" t="s">
        <v>2823</v>
      </c>
      <c r="H1745" s="567" t="s">
        <v>291</v>
      </c>
      <c r="I1745" s="239" t="str">
        <f>IF(ISBLANK(global!I222),"",global!I222)</f>
        <v/>
      </c>
      <c r="K1745" s="262" t="s">
        <v>4241</v>
      </c>
      <c r="O1745" s="262" t="s">
        <v>4241</v>
      </c>
    </row>
    <row r="1746" spans="1:15" ht="12.75" customHeight="1" x14ac:dyDescent="0.3">
      <c r="A1746" s="566"/>
      <c r="B1746" s="566"/>
      <c r="C1746" s="566"/>
      <c r="D1746" s="566" t="s">
        <v>1526</v>
      </c>
      <c r="E1746" s="566"/>
      <c r="F1746" s="566"/>
      <c r="G1746" s="566" t="s">
        <v>2824</v>
      </c>
      <c r="H1746" s="567" t="s">
        <v>291</v>
      </c>
      <c r="I1746" s="239" t="str">
        <f>IF(ISBLANK(global!I223),"",global!I223)</f>
        <v/>
      </c>
      <c r="K1746" s="262" t="s">
        <v>4241</v>
      </c>
      <c r="O1746" s="262" t="s">
        <v>4241</v>
      </c>
    </row>
    <row r="1747" spans="1:15" ht="12.75" customHeight="1" x14ac:dyDescent="0.3">
      <c r="A1747" s="566"/>
      <c r="B1747" s="566"/>
      <c r="C1747" s="566"/>
      <c r="D1747" s="566" t="s">
        <v>1533</v>
      </c>
      <c r="E1747" s="566"/>
      <c r="F1747" s="566"/>
      <c r="G1747" s="567" t="s">
        <v>2825</v>
      </c>
      <c r="H1747" s="567" t="s">
        <v>291</v>
      </c>
      <c r="I1747" s="239" t="str">
        <f>IF(ISBLANK(global!I224),"",global!I224)</f>
        <v/>
      </c>
      <c r="K1747" s="262" t="s">
        <v>4241</v>
      </c>
      <c r="O1747" s="262" t="s">
        <v>4241</v>
      </c>
    </row>
    <row r="1748" spans="1:15" ht="12.75" customHeight="1" x14ac:dyDescent="0.3">
      <c r="I1748" s="239" t="str">
        <f>IF(ISBLANK(global!I225),"",global!I225)</f>
        <v/>
      </c>
      <c r="K1748" s="262" t="s">
        <v>4241</v>
      </c>
      <c r="O1748" s="262" t="s">
        <v>4241</v>
      </c>
    </row>
    <row r="1749" spans="1:15" ht="12.75" customHeight="1" x14ac:dyDescent="0.3">
      <c r="A1749" s="632" t="s">
        <v>1598</v>
      </c>
      <c r="B1749" s="633"/>
      <c r="C1749" s="633"/>
      <c r="D1749" s="633"/>
      <c r="E1749" s="633"/>
      <c r="F1749" s="633"/>
      <c r="G1749" s="632" t="s">
        <v>258</v>
      </c>
      <c r="H1749" s="632" t="s">
        <v>274</v>
      </c>
      <c r="I1749" s="239" t="str">
        <f>IF(ISBLANK(global!I226),"",global!I226)</f>
        <v>User input</v>
      </c>
      <c r="K1749" s="262" t="s">
        <v>259</v>
      </c>
      <c r="O1749" s="262" t="s">
        <v>259</v>
      </c>
    </row>
    <row r="1750" spans="1:15" ht="12.75" customHeight="1" x14ac:dyDescent="0.3">
      <c r="A1750" t="s">
        <v>2826</v>
      </c>
      <c r="I1750" s="239" t="str">
        <f>IF(ISBLANK(global!I227),"",global!I227)</f>
        <v/>
      </c>
      <c r="K1750" s="262" t="s">
        <v>4241</v>
      </c>
      <c r="O1750" s="262" t="s">
        <v>4241</v>
      </c>
    </row>
    <row r="1751" spans="1:15" ht="12.75" customHeight="1" x14ac:dyDescent="0.3">
      <c r="A1751" s="566"/>
      <c r="B1751" s="566" t="s">
        <v>1600</v>
      </c>
      <c r="C1751" s="566"/>
      <c r="D1751" s="566"/>
      <c r="E1751" s="566"/>
      <c r="F1751" s="566"/>
      <c r="G1751" s="567" t="s">
        <v>2827</v>
      </c>
      <c r="H1751" s="567" t="s">
        <v>813</v>
      </c>
      <c r="I1751" s="239" t="str">
        <f>IF(ISBLANK(global!I228),"",global!I228)</f>
        <v/>
      </c>
      <c r="K1751" s="262" t="s">
        <v>4241</v>
      </c>
      <c r="O1751" s="262" t="s">
        <v>4241</v>
      </c>
    </row>
    <row r="1752" spans="1:15" ht="12.75" customHeight="1" x14ac:dyDescent="0.3">
      <c r="A1752" s="566"/>
      <c r="B1752" s="566" t="s">
        <v>1603</v>
      </c>
      <c r="C1752" s="566"/>
      <c r="D1752" s="566"/>
      <c r="E1752" s="566"/>
      <c r="F1752" s="566"/>
      <c r="G1752" s="567" t="s">
        <v>2828</v>
      </c>
      <c r="H1752" s="567" t="s">
        <v>291</v>
      </c>
      <c r="I1752" s="239" t="str">
        <f>IF(ISBLANK(global!I229),"",global!I229)</f>
        <v/>
      </c>
      <c r="K1752" s="262" t="s">
        <v>4241</v>
      </c>
      <c r="O1752" s="262" t="s">
        <v>4241</v>
      </c>
    </row>
    <row r="1753" spans="1:15" ht="12.75" customHeight="1" x14ac:dyDescent="0.3">
      <c r="A1753" s="566"/>
      <c r="B1753" s="566" t="s">
        <v>1606</v>
      </c>
      <c r="C1753" s="566"/>
      <c r="D1753" s="566"/>
      <c r="E1753" s="566"/>
      <c r="F1753" s="566"/>
      <c r="G1753" s="567" t="s">
        <v>2829</v>
      </c>
      <c r="H1753" s="567" t="s">
        <v>866</v>
      </c>
      <c r="I1753" s="239" t="str">
        <f>IF(ISBLANK(global!I230),"",global!I230)</f>
        <v/>
      </c>
      <c r="K1753" s="262" t="s">
        <v>4241</v>
      </c>
      <c r="O1753" s="262" t="s">
        <v>4241</v>
      </c>
    </row>
    <row r="1754" spans="1:15" ht="12.75" customHeight="1" x14ac:dyDescent="0.3">
      <c r="A1754" s="566"/>
      <c r="B1754" s="566" t="s">
        <v>1610</v>
      </c>
      <c r="C1754" s="566"/>
      <c r="D1754" s="566"/>
      <c r="E1754" s="566"/>
      <c r="F1754" s="566"/>
      <c r="G1754" s="567" t="s">
        <v>2830</v>
      </c>
      <c r="H1754" s="567" t="s">
        <v>866</v>
      </c>
      <c r="I1754" s="239" t="str">
        <f>IF(ISBLANK(global!I231),"",global!I231)</f>
        <v/>
      </c>
      <c r="K1754" s="262" t="s">
        <v>4241</v>
      </c>
      <c r="O1754" s="262" t="s">
        <v>4241</v>
      </c>
    </row>
    <row r="1755" spans="1:15" ht="12.75" customHeight="1" x14ac:dyDescent="0.3">
      <c r="A1755" s="566"/>
      <c r="B1755" s="566" t="s">
        <v>1612</v>
      </c>
      <c r="C1755" s="566"/>
      <c r="D1755" s="566"/>
      <c r="E1755" s="566"/>
      <c r="F1755" s="566"/>
      <c r="G1755" s="567" t="s">
        <v>2831</v>
      </c>
      <c r="H1755" s="567" t="s">
        <v>291</v>
      </c>
      <c r="I1755" s="239" t="str">
        <f>IF(ISBLANK(global!I232),"",global!I232)</f>
        <v/>
      </c>
      <c r="K1755" s="262" t="s">
        <v>4241</v>
      </c>
      <c r="O1755" s="262" t="s">
        <v>4241</v>
      </c>
    </row>
    <row r="1756" spans="1:15" ht="12.75" customHeight="1" x14ac:dyDescent="0.3">
      <c r="A1756" s="566"/>
      <c r="B1756" s="566" t="s">
        <v>1614</v>
      </c>
      <c r="C1756" s="566"/>
      <c r="D1756" s="566"/>
      <c r="E1756" s="566"/>
      <c r="F1756" s="566"/>
      <c r="G1756" s="567" t="s">
        <v>2832</v>
      </c>
      <c r="H1756" s="567" t="s">
        <v>291</v>
      </c>
      <c r="I1756" s="239" t="str">
        <f>IF(ISBLANK(global!I233),"",global!I233)</f>
        <v/>
      </c>
      <c r="K1756" s="262" t="s">
        <v>4241</v>
      </c>
      <c r="O1756" s="262" t="s">
        <v>4241</v>
      </c>
    </row>
    <row r="1757" spans="1:15" ht="12.75" customHeight="1" x14ac:dyDescent="0.3">
      <c r="A1757" s="566"/>
      <c r="B1757" s="566" t="s">
        <v>1616</v>
      </c>
      <c r="C1757" s="566"/>
      <c r="D1757" s="566"/>
      <c r="E1757" s="566"/>
      <c r="F1757" s="566"/>
      <c r="G1757" s="567" t="s">
        <v>2833</v>
      </c>
      <c r="H1757" s="567" t="s">
        <v>291</v>
      </c>
      <c r="I1757" s="239" t="str">
        <f>IF(ISBLANK(global!I234),"",global!I234)</f>
        <v/>
      </c>
      <c r="K1757" s="262" t="s">
        <v>4241</v>
      </c>
      <c r="O1757" s="262" t="s">
        <v>4241</v>
      </c>
    </row>
    <row r="1758" spans="1:15" ht="12.75" customHeight="1" x14ac:dyDescent="0.3">
      <c r="A1758" t="s">
        <v>2834</v>
      </c>
      <c r="G1758"/>
      <c r="H1758"/>
      <c r="I1758" s="239" t="str">
        <f>IF(ISBLANK(global!I235),"",global!I235)</f>
        <v/>
      </c>
      <c r="K1758" s="262" t="s">
        <v>4241</v>
      </c>
      <c r="O1758" s="262" t="s">
        <v>4241</v>
      </c>
    </row>
    <row r="1759" spans="1:15" ht="12.75" customHeight="1" x14ac:dyDescent="0.3">
      <c r="A1759" s="566"/>
      <c r="B1759" s="566" t="s">
        <v>1619</v>
      </c>
      <c r="C1759" s="566"/>
      <c r="D1759" s="566"/>
      <c r="E1759" s="566"/>
      <c r="F1759" s="566"/>
      <c r="G1759" s="566" t="s">
        <v>2835</v>
      </c>
      <c r="H1759" s="566" t="s">
        <v>813</v>
      </c>
      <c r="I1759" s="239" t="str">
        <f>IF(ISBLANK(global!I236),"",global!I236)</f>
        <v/>
      </c>
      <c r="K1759" s="262" t="s">
        <v>4241</v>
      </c>
      <c r="O1759" s="262" t="s">
        <v>4241</v>
      </c>
    </row>
    <row r="1760" spans="1:15" ht="12.75" customHeight="1" x14ac:dyDescent="0.3">
      <c r="A1760" s="566"/>
      <c r="B1760" s="566" t="s">
        <v>1621</v>
      </c>
      <c r="C1760" s="566"/>
      <c r="D1760" s="566"/>
      <c r="E1760" s="566"/>
      <c r="F1760" s="566"/>
      <c r="G1760" s="566" t="s">
        <v>2836</v>
      </c>
      <c r="H1760" s="566" t="s">
        <v>282</v>
      </c>
      <c r="I1760" s="239" t="str">
        <f>IF(ISBLANK(global!I237),"",global!I237)</f>
        <v/>
      </c>
      <c r="K1760" s="262" t="s">
        <v>4241</v>
      </c>
      <c r="O1760" s="262" t="s">
        <v>4241</v>
      </c>
    </row>
    <row r="1761" spans="1:15" ht="12.75" customHeight="1" x14ac:dyDescent="0.3">
      <c r="A1761" s="566"/>
      <c r="B1761" s="566"/>
      <c r="C1761" s="566" t="s">
        <v>1623</v>
      </c>
      <c r="D1761" s="566"/>
      <c r="E1761" s="566"/>
      <c r="F1761" s="566"/>
      <c r="G1761" s="566" t="s">
        <v>2837</v>
      </c>
      <c r="H1761" s="566" t="s">
        <v>857</v>
      </c>
      <c r="I1761" s="239" t="str">
        <f>IF(ISBLANK(global!I238),"",global!I238)</f>
        <v/>
      </c>
      <c r="K1761" s="262" t="s">
        <v>4241</v>
      </c>
      <c r="O1761" s="262" t="s">
        <v>4241</v>
      </c>
    </row>
    <row r="1762" spans="1:15" ht="12.75" customHeight="1" x14ac:dyDescent="0.3">
      <c r="A1762" s="566"/>
      <c r="B1762" s="566"/>
      <c r="C1762" s="566" t="s">
        <v>1625</v>
      </c>
      <c r="D1762" s="566"/>
      <c r="E1762" s="566"/>
      <c r="F1762" s="566"/>
      <c r="G1762" s="566" t="s">
        <v>2838</v>
      </c>
      <c r="H1762" s="566" t="s">
        <v>888</v>
      </c>
      <c r="I1762" s="239" t="str">
        <f>IF(ISBLANK(global!I239),"",global!I239)</f>
        <v/>
      </c>
      <c r="K1762" s="262" t="s">
        <v>4241</v>
      </c>
      <c r="O1762" s="262" t="s">
        <v>4241</v>
      </c>
    </row>
    <row r="1763" spans="1:15" ht="12.75" customHeight="1" x14ac:dyDescent="0.3">
      <c r="A1763" t="s">
        <v>2839</v>
      </c>
      <c r="G1763"/>
      <c r="H1763"/>
      <c r="I1763" s="239" t="str">
        <f>IF(ISBLANK(global!I240),"",global!I240)</f>
        <v/>
      </c>
      <c r="K1763" s="262" t="s">
        <v>4241</v>
      </c>
      <c r="O1763" s="262" t="s">
        <v>4241</v>
      </c>
    </row>
    <row r="1764" spans="1:15" ht="12.75" customHeight="1" x14ac:dyDescent="0.3">
      <c r="A1764" s="566" t="s">
        <v>1628</v>
      </c>
      <c r="B1764" s="566"/>
      <c r="C1764" s="566"/>
      <c r="D1764" s="566"/>
      <c r="E1764" s="566"/>
      <c r="F1764" s="566"/>
      <c r="G1764" s="567" t="s">
        <v>2840</v>
      </c>
      <c r="H1764" s="567" t="s">
        <v>335</v>
      </c>
      <c r="I1764" s="239" t="str">
        <f>IF(ISBLANK(global!I241),"",global!I241)</f>
        <v/>
      </c>
      <c r="K1764" s="262" t="s">
        <v>4241</v>
      </c>
      <c r="O1764" s="262" t="s">
        <v>4241</v>
      </c>
    </row>
    <row r="1765" spans="1:15" ht="12.75" customHeight="1" x14ac:dyDescent="0.3">
      <c r="A1765" s="566"/>
      <c r="B1765" s="566" t="s">
        <v>1631</v>
      </c>
      <c r="C1765" s="566"/>
      <c r="D1765" s="566"/>
      <c r="E1765" s="566"/>
      <c r="F1765" s="566"/>
      <c r="G1765" s="567" t="s">
        <v>2841</v>
      </c>
      <c r="H1765" s="567" t="s">
        <v>1633</v>
      </c>
      <c r="I1765" s="239" t="str">
        <f>IF(ISBLANK(global!I242),"",global!I242)</f>
        <v/>
      </c>
      <c r="K1765" s="262" t="s">
        <v>4241</v>
      </c>
      <c r="O1765" s="262" t="s">
        <v>4241</v>
      </c>
    </row>
    <row r="1766" spans="1:15" ht="12.75" customHeight="1" x14ac:dyDescent="0.3">
      <c r="A1766" s="566"/>
      <c r="B1766" s="566" t="s">
        <v>1634</v>
      </c>
      <c r="C1766" s="566"/>
      <c r="D1766" s="566"/>
      <c r="E1766" s="566"/>
      <c r="F1766" s="566"/>
      <c r="G1766" s="567" t="s">
        <v>2842</v>
      </c>
      <c r="H1766" s="567" t="s">
        <v>291</v>
      </c>
      <c r="I1766" s="239" t="str">
        <f>IF(ISBLANK(global!I243),"",global!I243)</f>
        <v/>
      </c>
      <c r="K1766" s="262" t="s">
        <v>4241</v>
      </c>
      <c r="O1766" s="262" t="s">
        <v>4241</v>
      </c>
    </row>
    <row r="1767" spans="1:15" ht="12.75" customHeight="1" x14ac:dyDescent="0.3">
      <c r="A1767" s="566"/>
      <c r="B1767" s="566" t="s">
        <v>1637</v>
      </c>
      <c r="C1767" s="566"/>
      <c r="D1767" s="566"/>
      <c r="E1767" s="566"/>
      <c r="F1767" s="566"/>
      <c r="G1767" s="567" t="s">
        <v>2843</v>
      </c>
      <c r="H1767" s="567" t="s">
        <v>866</v>
      </c>
      <c r="I1767" s="239" t="str">
        <f>IF(ISBLANK(global!I244),"",global!I244)</f>
        <v/>
      </c>
      <c r="K1767" s="262" t="s">
        <v>4241</v>
      </c>
      <c r="O1767" s="262" t="s">
        <v>4241</v>
      </c>
    </row>
    <row r="1768" spans="1:15" ht="12.75" customHeight="1" x14ac:dyDescent="0.3">
      <c r="A1768" s="566"/>
      <c r="B1768" s="566" t="s">
        <v>1639</v>
      </c>
      <c r="C1768" s="566"/>
      <c r="D1768" s="566"/>
      <c r="E1768" s="566"/>
      <c r="F1768" s="566"/>
      <c r="G1768" s="567" t="s">
        <v>2844</v>
      </c>
      <c r="H1768" s="567" t="s">
        <v>291</v>
      </c>
      <c r="I1768" s="239" t="str">
        <f>IF(ISBLANK(global!I245),"",global!I245)</f>
        <v/>
      </c>
      <c r="K1768" s="262" t="s">
        <v>4241</v>
      </c>
      <c r="O1768" s="262" t="s">
        <v>4241</v>
      </c>
    </row>
    <row r="1769" spans="1:15" ht="12.75" customHeight="1" x14ac:dyDescent="0.3">
      <c r="A1769" s="566"/>
      <c r="B1769" s="566"/>
      <c r="C1769" s="566" t="s">
        <v>1641</v>
      </c>
      <c r="D1769" s="566"/>
      <c r="E1769" s="566"/>
      <c r="F1769" s="566"/>
      <c r="G1769" s="567" t="s">
        <v>2845</v>
      </c>
      <c r="H1769" s="567" t="s">
        <v>291</v>
      </c>
      <c r="I1769" s="239" t="str">
        <f>IF(ISBLANK(global!I246),"",global!I246)</f>
        <v/>
      </c>
      <c r="K1769" s="262" t="s">
        <v>4241</v>
      </c>
      <c r="O1769" s="262" t="s">
        <v>4241</v>
      </c>
    </row>
    <row r="1770" spans="1:15" ht="12.75" customHeight="1" x14ac:dyDescent="0.3">
      <c r="A1770" s="566"/>
      <c r="B1770" s="566"/>
      <c r="C1770" s="566" t="s">
        <v>1643</v>
      </c>
      <c r="D1770" s="566"/>
      <c r="E1770" s="566"/>
      <c r="F1770" s="566"/>
      <c r="G1770" s="567" t="s">
        <v>2846</v>
      </c>
      <c r="H1770" s="567" t="s">
        <v>291</v>
      </c>
      <c r="I1770" s="239" t="str">
        <f>IF(ISBLANK(global!I247),"",global!I247)</f>
        <v/>
      </c>
      <c r="K1770" s="262" t="s">
        <v>4241</v>
      </c>
      <c r="O1770" s="262" t="s">
        <v>4241</v>
      </c>
    </row>
    <row r="1771" spans="1:15" ht="12.75" customHeight="1" x14ac:dyDescent="0.3">
      <c r="A1771" s="566"/>
      <c r="B1771" s="566"/>
      <c r="C1771" s="566" t="s">
        <v>1645</v>
      </c>
      <c r="D1771" s="566"/>
      <c r="E1771" s="566"/>
      <c r="F1771" s="566"/>
      <c r="G1771" s="567" t="s">
        <v>2847</v>
      </c>
      <c r="H1771" s="567" t="s">
        <v>291</v>
      </c>
      <c r="I1771" s="239" t="str">
        <f>IF(ISBLANK(global!I248),"",global!I248)</f>
        <v/>
      </c>
      <c r="K1771" s="262" t="s">
        <v>4241</v>
      </c>
      <c r="O1771" s="262" t="s">
        <v>4241</v>
      </c>
    </row>
    <row r="1772" spans="1:15" ht="12.75" customHeight="1" x14ac:dyDescent="0.3">
      <c r="A1772" s="566"/>
      <c r="B1772" s="566"/>
      <c r="C1772" s="566" t="s">
        <v>1647</v>
      </c>
      <c r="D1772" s="566"/>
      <c r="E1772" s="566"/>
      <c r="F1772" s="566"/>
      <c r="G1772" s="567" t="s">
        <v>2848</v>
      </c>
      <c r="H1772" s="567" t="s">
        <v>291</v>
      </c>
      <c r="I1772" s="239" t="str">
        <f>IF(ISBLANK(global!I249),"",global!I249)</f>
        <v/>
      </c>
      <c r="K1772" s="262" t="s">
        <v>4241</v>
      </c>
      <c r="O1772" s="262" t="s">
        <v>4241</v>
      </c>
    </row>
    <row r="1773" spans="1:15" ht="12.75" customHeight="1" x14ac:dyDescent="0.3">
      <c r="A1773" s="566" t="s">
        <v>1649</v>
      </c>
      <c r="B1773" s="566"/>
      <c r="C1773" s="566"/>
      <c r="D1773" s="566"/>
      <c r="E1773" s="566"/>
      <c r="F1773" s="566"/>
      <c r="G1773" s="567" t="s">
        <v>2849</v>
      </c>
      <c r="H1773" s="567" t="s">
        <v>335</v>
      </c>
      <c r="I1773" s="239" t="str">
        <f>IF(ISBLANK(global!I250),"",global!I250)</f>
        <v/>
      </c>
      <c r="K1773" s="262" t="s">
        <v>4241</v>
      </c>
      <c r="O1773" s="262" t="s">
        <v>4241</v>
      </c>
    </row>
    <row r="1774" spans="1:15" ht="12.75" customHeight="1" x14ac:dyDescent="0.3">
      <c r="A1774" s="566"/>
      <c r="B1774" s="566" t="s">
        <v>1651</v>
      </c>
      <c r="C1774" s="566"/>
      <c r="D1774" s="566"/>
      <c r="E1774" s="566"/>
      <c r="F1774" s="566"/>
      <c r="G1774" s="567" t="s">
        <v>2850</v>
      </c>
      <c r="H1774" s="567" t="s">
        <v>291</v>
      </c>
      <c r="I1774" s="239" t="str">
        <f>IF(ISBLANK(global!I251),"",global!I251)</f>
        <v/>
      </c>
      <c r="K1774" s="262" t="s">
        <v>4241</v>
      </c>
      <c r="O1774" s="262" t="s">
        <v>4241</v>
      </c>
    </row>
    <row r="1775" spans="1:15" ht="12.75" customHeight="1" x14ac:dyDescent="0.3">
      <c r="A1775" s="566"/>
      <c r="B1775" s="566" t="s">
        <v>1653</v>
      </c>
      <c r="C1775" s="566"/>
      <c r="D1775" s="566"/>
      <c r="E1775" s="566"/>
      <c r="F1775" s="566"/>
      <c r="G1775" s="567" t="s">
        <v>2851</v>
      </c>
      <c r="H1775" s="567"/>
      <c r="I1775" s="239" t="str">
        <f>IF(ISBLANK(global!I252),"",global!I252)</f>
        <v/>
      </c>
      <c r="K1775" s="262" t="s">
        <v>4241</v>
      </c>
      <c r="O1775" s="262" t="s">
        <v>4241</v>
      </c>
    </row>
    <row r="1776" spans="1:15" ht="12.75" customHeight="1" x14ac:dyDescent="0.3">
      <c r="A1776" s="566"/>
      <c r="B1776" s="566" t="s">
        <v>1631</v>
      </c>
      <c r="C1776" s="566"/>
      <c r="D1776" s="566"/>
      <c r="E1776" s="566"/>
      <c r="F1776" s="566"/>
      <c r="G1776" s="567" t="s">
        <v>2852</v>
      </c>
      <c r="H1776" s="567" t="s">
        <v>1633</v>
      </c>
      <c r="I1776" s="239" t="str">
        <f>IF(ISBLANK(global!I253),"",global!I253)</f>
        <v/>
      </c>
      <c r="K1776" s="262" t="s">
        <v>4241</v>
      </c>
      <c r="O1776" s="262" t="s">
        <v>4241</v>
      </c>
    </row>
    <row r="1777" spans="1:15" ht="12.75" customHeight="1" x14ac:dyDescent="0.3">
      <c r="A1777" s="566"/>
      <c r="B1777" s="566" t="s">
        <v>1656</v>
      </c>
      <c r="C1777" s="566"/>
      <c r="D1777" s="566"/>
      <c r="E1777" s="566"/>
      <c r="F1777" s="566"/>
      <c r="G1777" s="567" t="s">
        <v>2853</v>
      </c>
      <c r="H1777" s="567" t="s">
        <v>291</v>
      </c>
      <c r="I1777" s="239" t="str">
        <f>IF(ISBLANK(global!I254),"",global!I254)</f>
        <v/>
      </c>
      <c r="K1777" s="262" t="s">
        <v>4241</v>
      </c>
      <c r="O1777" s="262" t="s">
        <v>4241</v>
      </c>
    </row>
    <row r="1778" spans="1:15" ht="12.75" customHeight="1" x14ac:dyDescent="0.3">
      <c r="A1778" s="566"/>
      <c r="B1778" s="566" t="s">
        <v>1637</v>
      </c>
      <c r="C1778" s="566"/>
      <c r="D1778" s="566"/>
      <c r="E1778" s="566"/>
      <c r="F1778" s="566"/>
      <c r="G1778" s="567" t="s">
        <v>2854</v>
      </c>
      <c r="H1778" s="567" t="s">
        <v>866</v>
      </c>
      <c r="I1778" s="239" t="str">
        <f>IF(ISBLANK(global!I255),"",global!I255)</f>
        <v/>
      </c>
      <c r="K1778" s="262" t="s">
        <v>4241</v>
      </c>
      <c r="O1778" s="262" t="s">
        <v>4241</v>
      </c>
    </row>
    <row r="1779" spans="1:15" ht="12.75" customHeight="1" x14ac:dyDescent="0.3">
      <c r="A1779" s="566"/>
      <c r="B1779" s="566" t="s">
        <v>1639</v>
      </c>
      <c r="C1779" s="566"/>
      <c r="D1779" s="566"/>
      <c r="E1779" s="566"/>
      <c r="F1779" s="566"/>
      <c r="G1779" s="567" t="s">
        <v>2855</v>
      </c>
      <c r="H1779" s="567" t="s">
        <v>291</v>
      </c>
      <c r="I1779" s="239" t="str">
        <f>IF(ISBLANK(global!I256),"",global!I256)</f>
        <v/>
      </c>
      <c r="K1779" s="262" t="s">
        <v>4241</v>
      </c>
      <c r="O1779" s="262" t="s">
        <v>4241</v>
      </c>
    </row>
    <row r="1780" spans="1:15" ht="12.75" customHeight="1" x14ac:dyDescent="0.3">
      <c r="A1780" s="566"/>
      <c r="B1780" s="566"/>
      <c r="C1780" s="566" t="s">
        <v>1641</v>
      </c>
      <c r="D1780" s="566"/>
      <c r="E1780" s="566"/>
      <c r="F1780" s="566"/>
      <c r="G1780" s="567" t="s">
        <v>2856</v>
      </c>
      <c r="H1780" s="567" t="s">
        <v>291</v>
      </c>
      <c r="I1780" s="239" t="str">
        <f>IF(ISBLANK(global!I257),"",global!I257)</f>
        <v/>
      </c>
      <c r="K1780" s="262" t="s">
        <v>4241</v>
      </c>
      <c r="O1780" s="262" t="s">
        <v>4241</v>
      </c>
    </row>
    <row r="1781" spans="1:15" ht="12.75" customHeight="1" x14ac:dyDescent="0.3">
      <c r="A1781" s="566"/>
      <c r="B1781" s="566"/>
      <c r="C1781" s="566" t="s">
        <v>1643</v>
      </c>
      <c r="D1781" s="566"/>
      <c r="E1781" s="566"/>
      <c r="F1781" s="566"/>
      <c r="G1781" s="567" t="s">
        <v>2857</v>
      </c>
      <c r="H1781" s="567" t="s">
        <v>291</v>
      </c>
      <c r="I1781" s="239" t="str">
        <f>IF(ISBLANK(global!I258),"",global!I258)</f>
        <v/>
      </c>
      <c r="K1781" s="262" t="s">
        <v>4241</v>
      </c>
      <c r="O1781" s="262" t="s">
        <v>4241</v>
      </c>
    </row>
    <row r="1782" spans="1:15" ht="12.75" customHeight="1" x14ac:dyDescent="0.3">
      <c r="A1782" s="566"/>
      <c r="B1782" s="566"/>
      <c r="C1782" s="566" t="s">
        <v>1645</v>
      </c>
      <c r="D1782" s="566"/>
      <c r="E1782" s="566"/>
      <c r="F1782" s="566"/>
      <c r="G1782" s="567" t="s">
        <v>2858</v>
      </c>
      <c r="H1782" s="567" t="s">
        <v>291</v>
      </c>
      <c r="I1782" s="239" t="str">
        <f>IF(ISBLANK(global!I259),"",global!I259)</f>
        <v/>
      </c>
      <c r="K1782" s="262" t="s">
        <v>4241</v>
      </c>
      <c r="O1782" s="262" t="s">
        <v>4241</v>
      </c>
    </row>
    <row r="1783" spans="1:15" ht="12.75" customHeight="1" x14ac:dyDescent="0.3">
      <c r="A1783" s="566"/>
      <c r="B1783" s="566"/>
      <c r="C1783" s="566" t="s">
        <v>1647</v>
      </c>
      <c r="D1783" s="566"/>
      <c r="E1783" s="566"/>
      <c r="F1783" s="566"/>
      <c r="G1783" s="567" t="s">
        <v>2859</v>
      </c>
      <c r="H1783" s="567" t="s">
        <v>291</v>
      </c>
      <c r="I1783" s="239" t="str">
        <f>IF(ISBLANK(global!I260),"",global!I260)</f>
        <v/>
      </c>
      <c r="K1783" s="262" t="s">
        <v>4241</v>
      </c>
      <c r="O1783" s="262" t="s">
        <v>4241</v>
      </c>
    </row>
    <row r="1784" spans="1:15" ht="12.75" customHeight="1" x14ac:dyDescent="0.3">
      <c r="A1784" s="566" t="s">
        <v>1664</v>
      </c>
      <c r="B1784" s="566"/>
      <c r="C1784" s="566"/>
      <c r="D1784" s="566"/>
      <c r="E1784" s="566"/>
      <c r="F1784" s="566"/>
      <c r="G1784" s="567" t="s">
        <v>2860</v>
      </c>
      <c r="H1784" s="567" t="s">
        <v>335</v>
      </c>
      <c r="I1784" s="239" t="str">
        <f>IF(ISBLANK(global!I261),"",global!I261)</f>
        <v/>
      </c>
      <c r="K1784" s="262" t="s">
        <v>4241</v>
      </c>
      <c r="O1784" s="262" t="s">
        <v>4241</v>
      </c>
    </row>
    <row r="1785" spans="1:15" ht="12.75" customHeight="1" x14ac:dyDescent="0.3">
      <c r="A1785" s="566" t="s">
        <v>2862</v>
      </c>
      <c r="B1785" s="566"/>
      <c r="C1785" s="566"/>
      <c r="D1785" s="566"/>
      <c r="E1785" s="566"/>
      <c r="F1785" s="566"/>
      <c r="G1785" s="567" t="s">
        <v>2863</v>
      </c>
      <c r="H1785" s="567" t="s">
        <v>335</v>
      </c>
      <c r="I1785" s="239" t="str">
        <f>IF(ISBLANK(global!I262),"",global!I262)</f>
        <v/>
      </c>
      <c r="K1785" s="262" t="s">
        <v>4241</v>
      </c>
      <c r="O1785" s="262" t="s">
        <v>4241</v>
      </c>
    </row>
    <row r="1786" spans="1:15" ht="12.75" customHeight="1" x14ac:dyDescent="0.3">
      <c r="A1786" s="566"/>
      <c r="B1786" s="566" t="s">
        <v>1669</v>
      </c>
      <c r="C1786" s="566"/>
      <c r="D1786" s="566"/>
      <c r="E1786" s="566"/>
      <c r="F1786" s="566"/>
      <c r="G1786" s="567" t="s">
        <v>2864</v>
      </c>
      <c r="H1786" s="567" t="s">
        <v>866</v>
      </c>
      <c r="I1786" s="239" t="str">
        <f>IF(ISBLANK(global!I263),"",global!I263)</f>
        <v/>
      </c>
      <c r="K1786" s="262" t="s">
        <v>4241</v>
      </c>
      <c r="O1786" s="262" t="s">
        <v>4241</v>
      </c>
    </row>
    <row r="1787" spans="1:15" ht="12.75" customHeight="1" x14ac:dyDescent="0.3">
      <c r="A1787" s="566"/>
      <c r="B1787" s="566" t="s">
        <v>1671</v>
      </c>
      <c r="C1787" s="566"/>
      <c r="D1787" s="566"/>
      <c r="E1787" s="566"/>
      <c r="F1787" s="566"/>
      <c r="G1787" s="567" t="s">
        <v>2865</v>
      </c>
      <c r="H1787" s="567" t="s">
        <v>1673</v>
      </c>
      <c r="I1787" s="239" t="str">
        <f>IF(ISBLANK(global!I264),"",global!I264)</f>
        <v/>
      </c>
      <c r="K1787" s="262" t="s">
        <v>4241</v>
      </c>
      <c r="O1787" s="262" t="s">
        <v>4241</v>
      </c>
    </row>
    <row r="1788" spans="1:15" ht="12.75" customHeight="1" x14ac:dyDescent="0.3">
      <c r="A1788" s="566"/>
      <c r="B1788" s="566" t="s">
        <v>1676</v>
      </c>
      <c r="C1788" s="566"/>
      <c r="D1788" s="566"/>
      <c r="E1788" s="566"/>
      <c r="F1788" s="566"/>
      <c r="G1788" s="567" t="s">
        <v>2866</v>
      </c>
      <c r="H1788" s="567" t="s">
        <v>1673</v>
      </c>
      <c r="I1788" s="239" t="str">
        <f>IF(ISBLANK(global!I265),"",global!I265)</f>
        <v/>
      </c>
      <c r="K1788" s="262" t="s">
        <v>4241</v>
      </c>
      <c r="O1788" s="262" t="s">
        <v>4241</v>
      </c>
    </row>
    <row r="1789" spans="1:15" ht="12.75" customHeight="1" x14ac:dyDescent="0.3">
      <c r="A1789" s="566"/>
      <c r="B1789" s="566"/>
      <c r="C1789" s="566" t="s">
        <v>1679</v>
      </c>
      <c r="D1789" s="566"/>
      <c r="E1789" s="566"/>
      <c r="F1789" s="566"/>
      <c r="G1789" s="567" t="s">
        <v>2867</v>
      </c>
      <c r="H1789" s="567" t="s">
        <v>866</v>
      </c>
      <c r="I1789" s="239" t="str">
        <f>IF(ISBLANK(global!I266),"",global!I266)</f>
        <v/>
      </c>
      <c r="K1789" s="262" t="s">
        <v>4241</v>
      </c>
      <c r="O1789" s="262" t="s">
        <v>4241</v>
      </c>
    </row>
    <row r="1790" spans="1:15" ht="12.75" customHeight="1" x14ac:dyDescent="0.3">
      <c r="A1790" s="566"/>
      <c r="B1790" s="566"/>
      <c r="C1790" s="566" t="s">
        <v>1641</v>
      </c>
      <c r="D1790" s="566"/>
      <c r="E1790" s="566"/>
      <c r="F1790" s="566"/>
      <c r="G1790" s="567" t="s">
        <v>2868</v>
      </c>
      <c r="H1790" s="567" t="s">
        <v>291</v>
      </c>
      <c r="I1790" s="239" t="str">
        <f>IF(ISBLANK(global!I267),"",global!I267)</f>
        <v/>
      </c>
      <c r="K1790" s="262" t="s">
        <v>4241</v>
      </c>
      <c r="O1790" s="262" t="s">
        <v>4241</v>
      </c>
    </row>
    <row r="1791" spans="1:15" ht="12.75" customHeight="1" x14ac:dyDescent="0.3">
      <c r="A1791" s="566"/>
      <c r="B1791" s="566"/>
      <c r="C1791" s="566" t="s">
        <v>1643</v>
      </c>
      <c r="D1791" s="566"/>
      <c r="E1791" s="566"/>
      <c r="F1791" s="566"/>
      <c r="G1791" s="567" t="s">
        <v>2869</v>
      </c>
      <c r="H1791" s="567" t="s">
        <v>291</v>
      </c>
      <c r="I1791" s="239" t="str">
        <f>IF(ISBLANK(global!I268),"",global!I268)</f>
        <v/>
      </c>
      <c r="K1791" s="262" t="s">
        <v>4241</v>
      </c>
      <c r="O1791" s="262" t="s">
        <v>4241</v>
      </c>
    </row>
    <row r="1792" spans="1:15" ht="12.75" customHeight="1" x14ac:dyDescent="0.3">
      <c r="A1792" s="566"/>
      <c r="B1792" s="566"/>
      <c r="C1792" s="566"/>
      <c r="D1792" s="566" t="s">
        <v>1686</v>
      </c>
      <c r="E1792" s="566"/>
      <c r="F1792" s="566"/>
      <c r="G1792" s="567" t="s">
        <v>2870</v>
      </c>
      <c r="H1792" s="567" t="s">
        <v>813</v>
      </c>
      <c r="I1792" s="239" t="str">
        <f>IF(ISBLANK(global!I269),"",global!I269)</f>
        <v/>
      </c>
      <c r="K1792" s="262" t="s">
        <v>4241</v>
      </c>
      <c r="O1792" s="262" t="s">
        <v>4241</v>
      </c>
    </row>
    <row r="1793" spans="1:15" ht="12.75" customHeight="1" x14ac:dyDescent="0.3">
      <c r="A1793" s="566"/>
      <c r="B1793" s="566"/>
      <c r="C1793" s="566"/>
      <c r="D1793" s="566" t="s">
        <v>1688</v>
      </c>
      <c r="E1793" s="566"/>
      <c r="F1793" s="566"/>
      <c r="G1793" s="567" t="s">
        <v>2871</v>
      </c>
      <c r="H1793" s="567" t="s">
        <v>813</v>
      </c>
      <c r="I1793" s="239" t="str">
        <f>IF(ISBLANK(global!I270),"",global!I270)</f>
        <v/>
      </c>
      <c r="K1793" s="262" t="s">
        <v>4241</v>
      </c>
      <c r="O1793" s="262" t="s">
        <v>4241</v>
      </c>
    </row>
    <row r="1794" spans="1:15" ht="12.75" customHeight="1" x14ac:dyDescent="0.3">
      <c r="A1794" s="566"/>
      <c r="B1794" s="566"/>
      <c r="C1794" s="566"/>
      <c r="D1794" s="566" t="s">
        <v>1690</v>
      </c>
      <c r="E1794" s="566"/>
      <c r="F1794" s="566"/>
      <c r="G1794" s="567" t="s">
        <v>2872</v>
      </c>
      <c r="H1794" s="567" t="s">
        <v>291</v>
      </c>
      <c r="I1794" s="239" t="str">
        <f>IF(ISBLANK(global!I271),"",global!I271)</f>
        <v/>
      </c>
      <c r="K1794" s="262" t="s">
        <v>4241</v>
      </c>
      <c r="O1794" s="262" t="s">
        <v>4241</v>
      </c>
    </row>
    <row r="1795" spans="1:15" ht="12.75" customHeight="1" x14ac:dyDescent="0.3">
      <c r="A1795" s="566"/>
      <c r="B1795" s="566"/>
      <c r="C1795" s="566" t="s">
        <v>1645</v>
      </c>
      <c r="D1795" s="566"/>
      <c r="E1795" s="566"/>
      <c r="F1795" s="566"/>
      <c r="G1795" s="567" t="s">
        <v>2873</v>
      </c>
      <c r="H1795" s="567" t="s">
        <v>291</v>
      </c>
      <c r="I1795" s="239" t="str">
        <f>IF(ISBLANK(global!I272),"",global!I272)</f>
        <v/>
      </c>
      <c r="K1795" s="262" t="s">
        <v>4241</v>
      </c>
      <c r="O1795" s="262" t="s">
        <v>4241</v>
      </c>
    </row>
    <row r="1796" spans="1:15" ht="12.75" customHeight="1" x14ac:dyDescent="0.3">
      <c r="A1796" s="566" t="s">
        <v>2874</v>
      </c>
      <c r="B1796" s="566"/>
      <c r="C1796" s="566"/>
      <c r="D1796" s="566"/>
      <c r="E1796" s="566"/>
      <c r="F1796" s="566"/>
      <c r="G1796" s="567" t="s">
        <v>2875</v>
      </c>
      <c r="H1796" s="567" t="s">
        <v>335</v>
      </c>
      <c r="I1796" s="239" t="str">
        <f>IF(ISBLANK(global!I273),"",global!I273)</f>
        <v/>
      </c>
      <c r="K1796" s="262" t="s">
        <v>4241</v>
      </c>
      <c r="O1796" s="262" t="s">
        <v>4241</v>
      </c>
    </row>
    <row r="1797" spans="1:15" ht="12.75" customHeight="1" x14ac:dyDescent="0.3">
      <c r="A1797" s="566"/>
      <c r="B1797" s="566" t="s">
        <v>1669</v>
      </c>
      <c r="C1797" s="566"/>
      <c r="D1797" s="566"/>
      <c r="E1797" s="566"/>
      <c r="F1797" s="566"/>
      <c r="G1797" s="567" t="s">
        <v>2876</v>
      </c>
      <c r="H1797" s="567" t="s">
        <v>866</v>
      </c>
      <c r="I1797" s="239" t="str">
        <f>IF(ISBLANK(global!I274),"",global!I274)</f>
        <v/>
      </c>
      <c r="K1797" s="262" t="s">
        <v>4241</v>
      </c>
      <c r="O1797" s="262" t="s">
        <v>4241</v>
      </c>
    </row>
    <row r="1798" spans="1:15" ht="12.75" customHeight="1" x14ac:dyDescent="0.3">
      <c r="A1798" s="566"/>
      <c r="B1798" s="566" t="s">
        <v>1676</v>
      </c>
      <c r="C1798" s="566"/>
      <c r="D1798" s="566"/>
      <c r="E1798" s="566"/>
      <c r="F1798" s="566"/>
      <c r="G1798" s="567" t="s">
        <v>2877</v>
      </c>
      <c r="H1798" s="567" t="s">
        <v>1673</v>
      </c>
      <c r="I1798" s="239" t="str">
        <f>IF(ISBLANK(global!I275),"",global!I275)</f>
        <v/>
      </c>
      <c r="K1798" s="262" t="s">
        <v>4241</v>
      </c>
      <c r="O1798" s="262" t="s">
        <v>4241</v>
      </c>
    </row>
    <row r="1799" spans="1:15" ht="12.75" customHeight="1" x14ac:dyDescent="0.3">
      <c r="A1799" s="566"/>
      <c r="B1799" s="566"/>
      <c r="C1799" s="566" t="s">
        <v>1641</v>
      </c>
      <c r="D1799" s="566"/>
      <c r="E1799" s="566"/>
      <c r="F1799" s="566"/>
      <c r="G1799" s="567" t="s">
        <v>2878</v>
      </c>
      <c r="H1799" s="567" t="s">
        <v>291</v>
      </c>
      <c r="I1799" s="239" t="str">
        <f>IF(ISBLANK(global!I276),"",global!I276)</f>
        <v/>
      </c>
      <c r="K1799" s="262" t="s">
        <v>4241</v>
      </c>
      <c r="O1799" s="262" t="s">
        <v>4241</v>
      </c>
    </row>
    <row r="1800" spans="1:15" ht="12.75" customHeight="1" x14ac:dyDescent="0.3">
      <c r="A1800" s="566"/>
      <c r="B1800" s="566"/>
      <c r="C1800" s="566" t="s">
        <v>1643</v>
      </c>
      <c r="D1800" s="566"/>
      <c r="E1800" s="566"/>
      <c r="F1800" s="566"/>
      <c r="G1800" s="567" t="s">
        <v>2879</v>
      </c>
      <c r="H1800" s="567" t="s">
        <v>291</v>
      </c>
      <c r="I1800" s="239" t="str">
        <f>IF(ISBLANK(global!I277),"",global!I277)</f>
        <v/>
      </c>
      <c r="K1800" s="262" t="s">
        <v>4241</v>
      </c>
      <c r="O1800" s="262" t="s">
        <v>4241</v>
      </c>
    </row>
    <row r="1801" spans="1:15" ht="12.75" customHeight="1" x14ac:dyDescent="0.3">
      <c r="A1801" s="566"/>
      <c r="B1801" s="566"/>
      <c r="C1801" s="566" t="s">
        <v>1645</v>
      </c>
      <c r="D1801" s="566"/>
      <c r="E1801" s="566"/>
      <c r="F1801" s="566"/>
      <c r="G1801" s="567" t="s">
        <v>2880</v>
      </c>
      <c r="H1801" s="567" t="s">
        <v>291</v>
      </c>
      <c r="I1801" s="239" t="str">
        <f>IF(ISBLANK(global!I278),"",global!I278)</f>
        <v/>
      </c>
      <c r="K1801" s="262" t="s">
        <v>4241</v>
      </c>
      <c r="O1801" s="262" t="s">
        <v>4241</v>
      </c>
    </row>
    <row r="1802" spans="1:15" ht="12.75" customHeight="1" x14ac:dyDescent="0.3">
      <c r="A1802" s="566" t="s">
        <v>2881</v>
      </c>
      <c r="B1802" s="566"/>
      <c r="C1802" s="566"/>
      <c r="D1802" s="566"/>
      <c r="E1802" s="566"/>
      <c r="F1802" s="566"/>
      <c r="G1802" s="567" t="s">
        <v>2882</v>
      </c>
      <c r="H1802" s="567" t="s">
        <v>335</v>
      </c>
      <c r="I1802" s="239" t="str">
        <f>IF(ISBLANK(global!I279),"",global!I279)</f>
        <v/>
      </c>
      <c r="K1802" s="262" t="s">
        <v>4241</v>
      </c>
      <c r="O1802" s="262" t="s">
        <v>4241</v>
      </c>
    </row>
    <row r="1803" spans="1:15" ht="12.75" customHeight="1" x14ac:dyDescent="0.3">
      <c r="A1803" s="566" t="s">
        <v>2883</v>
      </c>
      <c r="B1803" s="566"/>
      <c r="C1803" s="566"/>
      <c r="D1803" s="566"/>
      <c r="E1803" s="566"/>
      <c r="F1803" s="566"/>
      <c r="G1803" s="567" t="s">
        <v>2884</v>
      </c>
      <c r="H1803" s="567" t="s">
        <v>335</v>
      </c>
      <c r="I1803" s="239" t="str">
        <f>IF(ISBLANK(global!I280),"",global!I280)</f>
        <v/>
      </c>
      <c r="K1803" s="262" t="s">
        <v>4241</v>
      </c>
      <c r="O1803" s="262" t="s">
        <v>4241</v>
      </c>
    </row>
    <row r="1804" spans="1:15" ht="12.75" customHeight="1" x14ac:dyDescent="0.3">
      <c r="A1804" s="566"/>
      <c r="B1804" s="566" t="s">
        <v>1669</v>
      </c>
      <c r="C1804" s="566"/>
      <c r="D1804" s="566"/>
      <c r="E1804" s="566"/>
      <c r="F1804" s="566"/>
      <c r="G1804" s="567" t="s">
        <v>2885</v>
      </c>
      <c r="H1804" s="567" t="s">
        <v>866</v>
      </c>
      <c r="I1804" s="239" t="str">
        <f>IF(ISBLANK(global!I281),"",global!I281)</f>
        <v/>
      </c>
      <c r="K1804" s="262" t="s">
        <v>4241</v>
      </c>
      <c r="O1804" s="262" t="s">
        <v>4241</v>
      </c>
    </row>
    <row r="1805" spans="1:15" ht="12.75" customHeight="1" x14ac:dyDescent="0.3">
      <c r="A1805" s="566"/>
      <c r="B1805" s="566"/>
      <c r="C1805" s="566" t="s">
        <v>1765</v>
      </c>
      <c r="D1805" s="566"/>
      <c r="E1805" s="566"/>
      <c r="F1805" s="566"/>
      <c r="G1805" s="566" t="s">
        <v>2886</v>
      </c>
      <c r="H1805" s="567" t="s">
        <v>1673</v>
      </c>
      <c r="I1805" s="239" t="str">
        <f>IF(ISBLANK(global!I282),"",global!I282)</f>
        <v/>
      </c>
      <c r="K1805" s="262" t="s">
        <v>4241</v>
      </c>
      <c r="O1805" s="262" t="s">
        <v>4241</v>
      </c>
    </row>
    <row r="1806" spans="1:15" ht="12.75" customHeight="1" x14ac:dyDescent="0.3">
      <c r="A1806" s="566"/>
      <c r="B1806" s="566"/>
      <c r="C1806" s="566" t="s">
        <v>2887</v>
      </c>
      <c r="D1806" s="566"/>
      <c r="E1806" s="566"/>
      <c r="F1806" s="566"/>
      <c r="G1806" s="567" t="s">
        <v>2888</v>
      </c>
      <c r="H1806" s="567" t="s">
        <v>1673</v>
      </c>
      <c r="I1806" s="239" t="str">
        <f>IF(ISBLANK(global!I283),"",global!I283)</f>
        <v/>
      </c>
      <c r="K1806" s="262" t="s">
        <v>4241</v>
      </c>
      <c r="O1806" s="262" t="s">
        <v>4241</v>
      </c>
    </row>
    <row r="1807" spans="1:15" ht="12.75" customHeight="1" x14ac:dyDescent="0.3">
      <c r="A1807" s="566"/>
      <c r="B1807" s="566"/>
      <c r="C1807" s="566" t="s">
        <v>1753</v>
      </c>
      <c r="D1807" s="566"/>
      <c r="E1807" s="566"/>
      <c r="F1807" s="566"/>
      <c r="G1807" s="567" t="s">
        <v>2889</v>
      </c>
      <c r="H1807" s="567" t="s">
        <v>866</v>
      </c>
      <c r="I1807" s="239" t="str">
        <f>IF(ISBLANK(global!I284),"",global!I284)</f>
        <v/>
      </c>
      <c r="K1807" s="262" t="s">
        <v>4241</v>
      </c>
      <c r="O1807" s="262" t="s">
        <v>4241</v>
      </c>
    </row>
    <row r="1808" spans="1:15" ht="12.75" customHeight="1" x14ac:dyDescent="0.3">
      <c r="A1808" s="566"/>
      <c r="B1808" s="566"/>
      <c r="C1808" s="566"/>
      <c r="D1808" s="566" t="s">
        <v>1641</v>
      </c>
      <c r="E1808" s="566"/>
      <c r="F1808" s="566"/>
      <c r="G1808" s="567" t="s">
        <v>2890</v>
      </c>
      <c r="H1808" s="567" t="s">
        <v>291</v>
      </c>
      <c r="I1808" s="239" t="str">
        <f>IF(ISBLANK(global!I285),"",global!I285)</f>
        <v/>
      </c>
      <c r="K1808" s="262" t="s">
        <v>4241</v>
      </c>
      <c r="O1808" s="262" t="s">
        <v>4241</v>
      </c>
    </row>
    <row r="1809" spans="1:15" ht="12.75" customHeight="1" x14ac:dyDescent="0.3">
      <c r="A1809" s="566"/>
      <c r="B1809" s="566"/>
      <c r="C1809" s="566"/>
      <c r="D1809" s="566" t="s">
        <v>1645</v>
      </c>
      <c r="E1809" s="566"/>
      <c r="F1809" s="566"/>
      <c r="G1809" s="567" t="s">
        <v>2891</v>
      </c>
      <c r="H1809" s="567" t="s">
        <v>291</v>
      </c>
      <c r="I1809" s="239" t="str">
        <f>IF(ISBLANK(global!I286),"",global!I286)</f>
        <v/>
      </c>
      <c r="K1809" s="262" t="s">
        <v>4241</v>
      </c>
      <c r="O1809" s="262" t="s">
        <v>4241</v>
      </c>
    </row>
    <row r="1810" spans="1:15" ht="12.75" customHeight="1" x14ac:dyDescent="0.3">
      <c r="A1810" s="566" t="s">
        <v>2892</v>
      </c>
      <c r="B1810" s="566"/>
      <c r="C1810" s="566"/>
      <c r="D1810" s="566"/>
      <c r="E1810" s="566"/>
      <c r="F1810" s="566"/>
      <c r="G1810" s="566" t="s">
        <v>2893</v>
      </c>
      <c r="H1810" s="567" t="s">
        <v>335</v>
      </c>
      <c r="I1810" s="239" t="str">
        <f>IF(ISBLANK(global!I287),"",global!I287)</f>
        <v/>
      </c>
      <c r="K1810" s="262" t="s">
        <v>4241</v>
      </c>
      <c r="O1810" s="262" t="s">
        <v>4241</v>
      </c>
    </row>
    <row r="1811" spans="1:15" ht="12.75" customHeight="1" x14ac:dyDescent="0.3">
      <c r="A1811" s="566"/>
      <c r="B1811" s="566" t="s">
        <v>1669</v>
      </c>
      <c r="C1811" s="566"/>
      <c r="D1811" s="566"/>
      <c r="E1811" s="566"/>
      <c r="F1811" s="566"/>
      <c r="G1811" s="567" t="s">
        <v>2894</v>
      </c>
      <c r="H1811" s="567" t="s">
        <v>866</v>
      </c>
      <c r="I1811" s="239" t="str">
        <f>IF(ISBLANK(global!I288),"",global!I288)</f>
        <v/>
      </c>
      <c r="K1811" s="262" t="s">
        <v>4241</v>
      </c>
      <c r="O1811" s="262" t="s">
        <v>4241</v>
      </c>
    </row>
    <row r="1812" spans="1:15" ht="12.75" customHeight="1" x14ac:dyDescent="0.3">
      <c r="A1812" s="566"/>
      <c r="B1812" s="566"/>
      <c r="C1812" s="566" t="s">
        <v>1751</v>
      </c>
      <c r="D1812" s="566"/>
      <c r="E1812" s="566"/>
      <c r="F1812" s="566"/>
      <c r="G1812" s="567" t="s">
        <v>2895</v>
      </c>
      <c r="H1812" s="567" t="s">
        <v>1673</v>
      </c>
      <c r="I1812" s="239" t="str">
        <f>IF(ISBLANK(global!I289),"",global!I289)</f>
        <v/>
      </c>
      <c r="K1812" s="262" t="s">
        <v>4241</v>
      </c>
      <c r="O1812" s="262" t="s">
        <v>4241</v>
      </c>
    </row>
    <row r="1813" spans="1:15" ht="12.75" customHeight="1" x14ac:dyDescent="0.3">
      <c r="A1813" s="566"/>
      <c r="B1813" s="566"/>
      <c r="C1813" s="566"/>
      <c r="D1813" s="566" t="s">
        <v>1641</v>
      </c>
      <c r="E1813" s="566"/>
      <c r="F1813" s="566"/>
      <c r="G1813" s="567" t="s">
        <v>2896</v>
      </c>
      <c r="H1813" s="567" t="s">
        <v>291</v>
      </c>
      <c r="I1813" s="239" t="str">
        <f>IF(ISBLANK(global!I290),"",global!I290)</f>
        <v/>
      </c>
      <c r="K1813" s="262" t="s">
        <v>4241</v>
      </c>
      <c r="O1813" s="262" t="s">
        <v>4241</v>
      </c>
    </row>
    <row r="1814" spans="1:15" ht="12.75" customHeight="1" x14ac:dyDescent="0.3">
      <c r="A1814" s="566"/>
      <c r="B1814" s="566"/>
      <c r="C1814" s="566"/>
      <c r="D1814" s="566" t="s">
        <v>1645</v>
      </c>
      <c r="E1814" s="566"/>
      <c r="F1814" s="566"/>
      <c r="G1814" s="567" t="s">
        <v>2897</v>
      </c>
      <c r="H1814" s="567" t="s">
        <v>291</v>
      </c>
      <c r="I1814" s="239" t="str">
        <f>IF(ISBLANK(global!I291),"",global!I291)</f>
        <v/>
      </c>
      <c r="K1814" s="262" t="s">
        <v>4241</v>
      </c>
      <c r="O1814" s="262" t="s">
        <v>4241</v>
      </c>
    </row>
    <row r="1815" spans="1:15" ht="12.75" customHeight="1" x14ac:dyDescent="0.3">
      <c r="A1815" s="566" t="s">
        <v>2898</v>
      </c>
      <c r="B1815" s="566"/>
      <c r="C1815" s="566"/>
      <c r="D1815" s="566"/>
      <c r="E1815" s="566"/>
      <c r="F1815" s="566"/>
      <c r="G1815" s="566" t="s">
        <v>2899</v>
      </c>
      <c r="H1815" s="567" t="s">
        <v>335</v>
      </c>
      <c r="I1815" s="239" t="str">
        <f>IF(ISBLANK(global!I292),"",global!I292)</f>
        <v/>
      </c>
      <c r="K1815" s="262" t="s">
        <v>4241</v>
      </c>
      <c r="O1815" s="262" t="s">
        <v>4241</v>
      </c>
    </row>
    <row r="1816" spans="1:15" ht="12.75" customHeight="1" x14ac:dyDescent="0.3">
      <c r="A1816" s="566" t="s">
        <v>2900</v>
      </c>
      <c r="B1816" s="566"/>
      <c r="C1816" s="566"/>
      <c r="D1816" s="566"/>
      <c r="E1816" s="566"/>
      <c r="F1816" s="566"/>
      <c r="G1816" s="567" t="s">
        <v>2901</v>
      </c>
      <c r="H1816" s="567" t="s">
        <v>335</v>
      </c>
      <c r="I1816" s="239" t="str">
        <f>IF(ISBLANK(global!I293),"",global!I293)</f>
        <v/>
      </c>
      <c r="K1816" s="262" t="s">
        <v>4241</v>
      </c>
      <c r="O1816" s="262" t="s">
        <v>4241</v>
      </c>
    </row>
    <row r="1817" spans="1:15" ht="12.75" customHeight="1" x14ac:dyDescent="0.3">
      <c r="A1817" s="566" t="s">
        <v>2902</v>
      </c>
      <c r="B1817" s="566"/>
      <c r="C1817" s="566"/>
      <c r="D1817" s="566"/>
      <c r="E1817" s="566"/>
      <c r="F1817" s="566"/>
      <c r="G1817" s="567" t="s">
        <v>2903</v>
      </c>
      <c r="H1817" s="567" t="s">
        <v>335</v>
      </c>
      <c r="I1817" s="239" t="str">
        <f>IF(ISBLANK(global!I294),"",global!I294)</f>
        <v/>
      </c>
      <c r="K1817" s="262" t="s">
        <v>4241</v>
      </c>
      <c r="O1817" s="262" t="s">
        <v>4241</v>
      </c>
    </row>
    <row r="1818" spans="1:15" ht="12.75" customHeight="1" x14ac:dyDescent="0.3">
      <c r="A1818" s="566" t="s">
        <v>2904</v>
      </c>
      <c r="B1818" s="566"/>
      <c r="C1818" s="566"/>
      <c r="D1818" s="566"/>
      <c r="E1818" s="566"/>
      <c r="F1818" s="566"/>
      <c r="G1818" s="567" t="s">
        <v>2905</v>
      </c>
      <c r="H1818" s="567" t="s">
        <v>335</v>
      </c>
      <c r="I1818" s="239" t="str">
        <f>IF(ISBLANK(global!I295),"",global!I295)</f>
        <v/>
      </c>
      <c r="K1818" s="262" t="s">
        <v>4241</v>
      </c>
      <c r="O1818" s="262" t="s">
        <v>4241</v>
      </c>
    </row>
    <row r="1819" spans="1:15" ht="12.75" customHeight="1" x14ac:dyDescent="0.3">
      <c r="A1819" s="566" t="s">
        <v>2906</v>
      </c>
      <c r="B1819" s="566"/>
      <c r="C1819" s="566"/>
      <c r="D1819" s="566"/>
      <c r="E1819" s="566"/>
      <c r="F1819" s="566"/>
      <c r="G1819" s="567" t="s">
        <v>2907</v>
      </c>
      <c r="H1819" s="567" t="s">
        <v>335</v>
      </c>
      <c r="I1819" s="239" t="str">
        <f>IF(ISBLANK(global!I296),"",global!I296)</f>
        <v/>
      </c>
      <c r="K1819" s="262" t="s">
        <v>4241</v>
      </c>
      <c r="O1819" s="262" t="s">
        <v>4241</v>
      </c>
    </row>
    <row r="1820" spans="1:15" ht="12.75" customHeight="1" x14ac:dyDescent="0.3">
      <c r="A1820" s="566" t="s">
        <v>2908</v>
      </c>
      <c r="B1820" s="566"/>
      <c r="C1820" s="566"/>
      <c r="D1820" s="566"/>
      <c r="E1820" s="566"/>
      <c r="F1820" s="566"/>
      <c r="G1820" s="567" t="s">
        <v>2909</v>
      </c>
      <c r="H1820" s="567" t="s">
        <v>335</v>
      </c>
      <c r="I1820" s="239" t="str">
        <f>IF(ISBLANK(global!I297),"",global!I297)</f>
        <v/>
      </c>
      <c r="K1820" s="262" t="s">
        <v>4241</v>
      </c>
      <c r="O1820" s="262" t="s">
        <v>4241</v>
      </c>
    </row>
    <row r="1821" spans="1:15" ht="12.75" customHeight="1" x14ac:dyDescent="0.3">
      <c r="A1821" s="566" t="s">
        <v>2910</v>
      </c>
      <c r="B1821" s="566"/>
      <c r="C1821" s="566"/>
      <c r="D1821" s="566"/>
      <c r="E1821" s="566"/>
      <c r="F1821" s="566"/>
      <c r="G1821" s="567" t="s">
        <v>2911</v>
      </c>
      <c r="H1821" s="567" t="s">
        <v>335</v>
      </c>
      <c r="I1821" s="239" t="str">
        <f>IF(ISBLANK(global!I298),"",global!I298)</f>
        <v/>
      </c>
      <c r="K1821" s="262" t="s">
        <v>4241</v>
      </c>
      <c r="O1821" s="262" t="s">
        <v>4241</v>
      </c>
    </row>
    <row r="1822" spans="1:15" ht="12.75" customHeight="1" x14ac:dyDescent="0.3">
      <c r="A1822" s="566" t="s">
        <v>2912</v>
      </c>
      <c r="B1822" s="566"/>
      <c r="C1822" s="566"/>
      <c r="D1822" s="566"/>
      <c r="E1822" s="566"/>
      <c r="F1822" s="566"/>
      <c r="G1822" s="567" t="s">
        <v>2913</v>
      </c>
      <c r="H1822" s="567" t="s">
        <v>335</v>
      </c>
      <c r="I1822" s="239" t="str">
        <f>IF(ISBLANK(global!I299),"",global!I299)</f>
        <v/>
      </c>
      <c r="K1822" s="262" t="s">
        <v>4241</v>
      </c>
      <c r="O1822" s="262" t="s">
        <v>4241</v>
      </c>
    </row>
    <row r="1823" spans="1:15" ht="12.75" customHeight="1" x14ac:dyDescent="0.3">
      <c r="A1823" s="566" t="s">
        <v>2915</v>
      </c>
      <c r="B1823" s="566"/>
      <c r="C1823" s="566"/>
      <c r="D1823" s="566"/>
      <c r="E1823" s="566"/>
      <c r="F1823" s="566"/>
      <c r="G1823" s="567" t="s">
        <v>2916</v>
      </c>
      <c r="H1823" s="567" t="s">
        <v>335</v>
      </c>
      <c r="I1823" s="239" t="str">
        <f>IF(ISBLANK(global!I300),"",global!I300)</f>
        <v/>
      </c>
      <c r="K1823" s="262" t="s">
        <v>4241</v>
      </c>
      <c r="O1823" s="262" t="s">
        <v>4241</v>
      </c>
    </row>
    <row r="1824" spans="1:15" ht="12.75" customHeight="1" x14ac:dyDescent="0.3">
      <c r="A1824" s="566" t="s">
        <v>2917</v>
      </c>
      <c r="B1824" s="566"/>
      <c r="C1824" s="566"/>
      <c r="D1824" s="566"/>
      <c r="E1824" s="566"/>
      <c r="F1824" s="566"/>
      <c r="G1824" s="567" t="s">
        <v>2918</v>
      </c>
      <c r="H1824" s="567" t="s">
        <v>335</v>
      </c>
      <c r="I1824" s="239" t="str">
        <f>IF(ISBLANK(global!I301),"",global!I301)</f>
        <v/>
      </c>
      <c r="K1824" s="262" t="s">
        <v>4241</v>
      </c>
      <c r="O1824" s="262" t="s">
        <v>4241</v>
      </c>
    </row>
    <row r="1825" spans="1:15" ht="12.75" customHeight="1" x14ac:dyDescent="0.3">
      <c r="A1825" s="566" t="s">
        <v>2919</v>
      </c>
      <c r="B1825" s="566"/>
      <c r="C1825" s="566"/>
      <c r="D1825" s="566"/>
      <c r="E1825" s="566"/>
      <c r="F1825" s="566"/>
      <c r="G1825" s="567" t="s">
        <v>2920</v>
      </c>
      <c r="H1825" s="567" t="s">
        <v>335</v>
      </c>
      <c r="I1825" s="239" t="str">
        <f>IF(ISBLANK(global!I302),"",global!I302)</f>
        <v/>
      </c>
      <c r="K1825" s="262" t="s">
        <v>4241</v>
      </c>
      <c r="O1825" s="262" t="s">
        <v>4241</v>
      </c>
    </row>
    <row r="1826" spans="1:15" ht="12.75" customHeight="1" x14ac:dyDescent="0.3">
      <c r="A1826" s="566" t="s">
        <v>2921</v>
      </c>
      <c r="B1826" s="566"/>
      <c r="C1826" s="566"/>
      <c r="D1826" s="566"/>
      <c r="E1826" s="566"/>
      <c r="F1826" s="566"/>
      <c r="G1826" s="567" t="s">
        <v>2922</v>
      </c>
      <c r="H1826" s="567" t="s">
        <v>335</v>
      </c>
      <c r="I1826" s="239" t="str">
        <f>IF(ISBLANK(global!I303),"",global!I303)</f>
        <v/>
      </c>
      <c r="K1826" s="262" t="s">
        <v>4241</v>
      </c>
      <c r="O1826" s="262" t="s">
        <v>4241</v>
      </c>
    </row>
    <row r="1827" spans="1:15" ht="12.75" customHeight="1" x14ac:dyDescent="0.3">
      <c r="A1827" s="566" t="s">
        <v>2923</v>
      </c>
      <c r="B1827" s="566"/>
      <c r="C1827" s="566"/>
      <c r="D1827" s="566"/>
      <c r="E1827" s="566"/>
      <c r="F1827" s="566"/>
      <c r="G1827" s="567" t="s">
        <v>2924</v>
      </c>
      <c r="H1827" s="567" t="s">
        <v>335</v>
      </c>
      <c r="I1827" s="239" t="str">
        <f>IF(ISBLANK(global!I304),"",global!I304)</f>
        <v/>
      </c>
      <c r="K1827" s="262" t="s">
        <v>4241</v>
      </c>
      <c r="O1827" s="262" t="s">
        <v>4241</v>
      </c>
    </row>
    <row r="1828" spans="1:15" ht="12.75" customHeight="1" x14ac:dyDescent="0.3">
      <c r="A1828" s="566" t="s">
        <v>2925</v>
      </c>
      <c r="B1828" s="566"/>
      <c r="C1828" s="566"/>
      <c r="D1828" s="566"/>
      <c r="E1828" s="566"/>
      <c r="F1828" s="566"/>
      <c r="G1828" s="567" t="s">
        <v>2926</v>
      </c>
      <c r="H1828" s="567" t="s">
        <v>335</v>
      </c>
      <c r="I1828" s="239" t="str">
        <f>IF(ISBLANK(global!I305),"",global!I305)</f>
        <v/>
      </c>
      <c r="K1828" s="262" t="s">
        <v>4241</v>
      </c>
      <c r="O1828" s="262" t="s">
        <v>4241</v>
      </c>
    </row>
    <row r="1829" spans="1:15" ht="12.75" customHeight="1" x14ac:dyDescent="0.3">
      <c r="A1829" s="566" t="s">
        <v>2927</v>
      </c>
      <c r="B1829" s="566"/>
      <c r="C1829" s="566"/>
      <c r="D1829" s="566"/>
      <c r="E1829" s="566"/>
      <c r="F1829" s="566"/>
      <c r="G1829" s="567" t="s">
        <v>2928</v>
      </c>
      <c r="H1829" s="567" t="s">
        <v>335</v>
      </c>
      <c r="I1829" s="239" t="str">
        <f>IF(ISBLANK(global!I306),"",global!I306)</f>
        <v/>
      </c>
      <c r="K1829" s="262" t="s">
        <v>4241</v>
      </c>
      <c r="O1829" s="262" t="s">
        <v>4241</v>
      </c>
    </row>
    <row r="1830" spans="1:15" ht="12.75" customHeight="1" x14ac:dyDescent="0.3">
      <c r="A1830" s="566" t="s">
        <v>2929</v>
      </c>
      <c r="B1830" s="566"/>
      <c r="C1830" s="566"/>
      <c r="D1830" s="566"/>
      <c r="E1830" s="566"/>
      <c r="F1830" s="566"/>
      <c r="G1830" s="567" t="s">
        <v>2930</v>
      </c>
      <c r="H1830" s="567" t="s">
        <v>335</v>
      </c>
      <c r="I1830" s="239" t="str">
        <f>IF(ISBLANK(global!I307),"",global!I307)</f>
        <v/>
      </c>
      <c r="K1830" s="262" t="s">
        <v>4241</v>
      </c>
      <c r="O1830" s="262" t="s">
        <v>4241</v>
      </c>
    </row>
    <row r="1831" spans="1:15" ht="12.75" customHeight="1" x14ac:dyDescent="0.3">
      <c r="A1831" s="566" t="s">
        <v>1860</v>
      </c>
      <c r="B1831" s="566"/>
      <c r="C1831" s="566"/>
      <c r="D1831" s="566"/>
      <c r="E1831" s="566"/>
      <c r="F1831" s="566"/>
      <c r="G1831" s="567" t="s">
        <v>2931</v>
      </c>
      <c r="H1831" s="567" t="s">
        <v>335</v>
      </c>
      <c r="I1831" s="239" t="str">
        <f>IF(ISBLANK(global!I308),"",global!I308)</f>
        <v/>
      </c>
      <c r="K1831" s="262" t="s">
        <v>4241</v>
      </c>
      <c r="O1831" s="262" t="s">
        <v>4241</v>
      </c>
    </row>
    <row r="1832" spans="1:15" ht="12.75" customHeight="1" x14ac:dyDescent="0.3">
      <c r="A1832" s="566" t="s">
        <v>1867</v>
      </c>
      <c r="B1832" s="566"/>
      <c r="C1832" s="566"/>
      <c r="D1832" s="566"/>
      <c r="E1832" s="566"/>
      <c r="F1832" s="566"/>
      <c r="G1832" s="567" t="s">
        <v>2932</v>
      </c>
      <c r="H1832" s="567" t="s">
        <v>335</v>
      </c>
      <c r="I1832" s="239" t="str">
        <f>IF(ISBLANK(global!I309),"",global!I309)</f>
        <v/>
      </c>
      <c r="K1832" s="262" t="s">
        <v>4241</v>
      </c>
      <c r="O1832" s="262" t="s">
        <v>4241</v>
      </c>
    </row>
    <row r="1833" spans="1:15" ht="12.75" customHeight="1" x14ac:dyDescent="0.3">
      <c r="A1833" s="566" t="s">
        <v>1873</v>
      </c>
      <c r="B1833" s="566"/>
      <c r="C1833" s="566"/>
      <c r="D1833" s="566"/>
      <c r="E1833" s="566"/>
      <c r="F1833" s="566"/>
      <c r="G1833" s="567" t="s">
        <v>2933</v>
      </c>
      <c r="H1833" s="567" t="s">
        <v>335</v>
      </c>
      <c r="I1833" s="239" t="str">
        <f>IF(ISBLANK(global!I310),"",global!I310)</f>
        <v/>
      </c>
      <c r="K1833" s="262" t="s">
        <v>4241</v>
      </c>
      <c r="O1833" s="262" t="s">
        <v>4241</v>
      </c>
    </row>
    <row r="1834" spans="1:15" ht="12.75" customHeight="1" x14ac:dyDescent="0.3">
      <c r="A1834" s="172" t="s">
        <v>2934</v>
      </c>
      <c r="I1834" s="239" t="str">
        <f>IF(ISBLANK(global!I311),"",global!I311)</f>
        <v/>
      </c>
      <c r="K1834" s="262" t="s">
        <v>4241</v>
      </c>
      <c r="O1834" s="262" t="s">
        <v>4241</v>
      </c>
    </row>
    <row r="1835" spans="1:15" ht="12.75" customHeight="1" x14ac:dyDescent="0.3">
      <c r="A1835" s="567" t="s">
        <v>1315</v>
      </c>
      <c r="B1835" s="566"/>
      <c r="C1835" s="566"/>
      <c r="D1835" s="566"/>
      <c r="E1835" s="566"/>
      <c r="F1835" s="566"/>
      <c r="G1835" s="567" t="s">
        <v>2935</v>
      </c>
      <c r="H1835" s="567" t="s">
        <v>617</v>
      </c>
      <c r="I1835" s="239" t="str">
        <f>IF(ISBLANK(global!I312),"",global!I312)</f>
        <v/>
      </c>
      <c r="K1835" s="262" t="s">
        <v>4241</v>
      </c>
      <c r="O1835" s="262" t="s">
        <v>4241</v>
      </c>
    </row>
    <row r="1836" spans="1:15" ht="12.75" customHeight="1" x14ac:dyDescent="0.3">
      <c r="A1836" s="567" t="s">
        <v>1315</v>
      </c>
      <c r="B1836" s="566"/>
      <c r="C1836" s="566"/>
      <c r="D1836" s="566"/>
      <c r="E1836" s="566"/>
      <c r="F1836" s="566"/>
      <c r="G1836" s="567" t="s">
        <v>2936</v>
      </c>
      <c r="H1836" s="567" t="s">
        <v>617</v>
      </c>
      <c r="I1836" s="239" t="str">
        <f>IF(ISBLANK(global!I313),"",global!I313)</f>
        <v/>
      </c>
      <c r="K1836" s="262" t="s">
        <v>4241</v>
      </c>
      <c r="O1836" s="262" t="s">
        <v>4241</v>
      </c>
    </row>
    <row r="1837" spans="1:15" ht="12.75" customHeight="1" x14ac:dyDescent="0.3">
      <c r="A1837" s="567" t="s">
        <v>1315</v>
      </c>
      <c r="B1837" s="566"/>
      <c r="C1837" s="566"/>
      <c r="D1837" s="566"/>
      <c r="E1837" s="566"/>
      <c r="F1837" s="566"/>
      <c r="G1837" s="567" t="s">
        <v>2937</v>
      </c>
      <c r="H1837" s="567" t="s">
        <v>617</v>
      </c>
      <c r="I1837" s="239" t="str">
        <f>IF(ISBLANK(global!I314),"",global!I314)</f>
        <v/>
      </c>
      <c r="K1837" s="262" t="s">
        <v>4241</v>
      </c>
      <c r="O1837" s="262" t="s">
        <v>4241</v>
      </c>
    </row>
    <row r="1838" spans="1:15" ht="12.75" customHeight="1" x14ac:dyDescent="0.3">
      <c r="A1838" s="567" t="s">
        <v>2712</v>
      </c>
      <c r="B1838" s="566"/>
      <c r="C1838" s="566"/>
      <c r="D1838" s="566"/>
      <c r="E1838" s="566"/>
      <c r="F1838" s="566"/>
      <c r="G1838" s="567" t="s">
        <v>2938</v>
      </c>
      <c r="H1838" s="567" t="s">
        <v>617</v>
      </c>
      <c r="I1838" s="239" t="str">
        <f>IF(ISBLANK(global!I315),"",global!I315)</f>
        <v/>
      </c>
      <c r="K1838" s="262" t="s">
        <v>4241</v>
      </c>
      <c r="O1838" s="262" t="s">
        <v>4241</v>
      </c>
    </row>
    <row r="1839" spans="1:15" ht="12.75" customHeight="1" x14ac:dyDescent="0.3">
      <c r="A1839" s="567" t="s">
        <v>2712</v>
      </c>
      <c r="B1839" s="566"/>
      <c r="C1839" s="566"/>
      <c r="D1839" s="566"/>
      <c r="E1839" s="566"/>
      <c r="F1839" s="566"/>
      <c r="G1839" s="567" t="s">
        <v>2939</v>
      </c>
      <c r="H1839" s="567" t="s">
        <v>617</v>
      </c>
      <c r="I1839" s="239" t="str">
        <f>IF(ISBLANK(global!I316),"",global!I316)</f>
        <v/>
      </c>
      <c r="K1839" s="262" t="s">
        <v>4241</v>
      </c>
      <c r="O1839" s="262" t="s">
        <v>4241</v>
      </c>
    </row>
    <row r="1840" spans="1:15" ht="12.75" customHeight="1" x14ac:dyDescent="0.3">
      <c r="A1840" s="567" t="s">
        <v>2712</v>
      </c>
      <c r="B1840" s="566"/>
      <c r="C1840" s="566"/>
      <c r="D1840" s="566"/>
      <c r="E1840" s="566"/>
      <c r="F1840" s="566"/>
      <c r="G1840" s="567" t="s">
        <v>2940</v>
      </c>
      <c r="H1840" s="567" t="s">
        <v>617</v>
      </c>
      <c r="I1840" s="239" t="str">
        <f>IF(ISBLANK(global!I317),"",global!I317)</f>
        <v/>
      </c>
      <c r="K1840" s="262" t="s">
        <v>4241</v>
      </c>
      <c r="O1840" s="262" t="s">
        <v>4241</v>
      </c>
    </row>
    <row r="1841" spans="1:15" ht="12.75" customHeight="1" x14ac:dyDescent="0.3">
      <c r="A1841" s="567" t="s">
        <v>2714</v>
      </c>
      <c r="B1841" s="566"/>
      <c r="C1841" s="566"/>
      <c r="D1841" s="566"/>
      <c r="E1841" s="566"/>
      <c r="F1841" s="566"/>
      <c r="G1841" s="567" t="s">
        <v>2941</v>
      </c>
      <c r="H1841" s="567" t="s">
        <v>617</v>
      </c>
      <c r="I1841" s="239" t="str">
        <f>IF(ISBLANK(global!I318),"",global!I318)</f>
        <v/>
      </c>
      <c r="K1841" s="262" t="s">
        <v>4241</v>
      </c>
      <c r="O1841" s="262" t="s">
        <v>4241</v>
      </c>
    </row>
    <row r="1842" spans="1:15" ht="12.75" customHeight="1" x14ac:dyDescent="0.3">
      <c r="A1842" s="567" t="s">
        <v>2714</v>
      </c>
      <c r="B1842" s="566"/>
      <c r="C1842" s="566"/>
      <c r="D1842" s="566"/>
      <c r="E1842" s="566"/>
      <c r="F1842" s="566"/>
      <c r="G1842" s="567" t="s">
        <v>2942</v>
      </c>
      <c r="H1842" s="567" t="s">
        <v>617</v>
      </c>
      <c r="I1842" s="239" t="str">
        <f>IF(ISBLANK(global!I319),"",global!I319)</f>
        <v/>
      </c>
      <c r="K1842" s="262" t="s">
        <v>4241</v>
      </c>
      <c r="O1842" s="262" t="s">
        <v>4241</v>
      </c>
    </row>
    <row r="1843" spans="1:15" ht="12.75" customHeight="1" x14ac:dyDescent="0.3">
      <c r="A1843" s="567" t="s">
        <v>2714</v>
      </c>
      <c r="B1843" s="566"/>
      <c r="C1843" s="566"/>
      <c r="D1843" s="566"/>
      <c r="E1843" s="566"/>
      <c r="F1843" s="566"/>
      <c r="G1843" s="567" t="s">
        <v>2943</v>
      </c>
      <c r="H1843" s="567" t="s">
        <v>617</v>
      </c>
      <c r="I1843" s="239" t="str">
        <f>IF(ISBLANK(global!I320),"",global!I320)</f>
        <v/>
      </c>
      <c r="K1843" s="262" t="s">
        <v>4241</v>
      </c>
      <c r="O1843" s="262" t="s">
        <v>4241</v>
      </c>
    </row>
    <row r="1844" spans="1:15" ht="12.75" customHeight="1" x14ac:dyDescent="0.3">
      <c r="A1844" s="567" t="s">
        <v>2716</v>
      </c>
      <c r="B1844" s="566"/>
      <c r="C1844" s="566"/>
      <c r="D1844" s="566"/>
      <c r="E1844" s="566"/>
      <c r="F1844" s="566"/>
      <c r="G1844" s="567" t="s">
        <v>2944</v>
      </c>
      <c r="H1844" s="567" t="s">
        <v>617</v>
      </c>
      <c r="I1844" s="239" t="str">
        <f>IF(ISBLANK(global!I321),"",global!I321)</f>
        <v/>
      </c>
      <c r="K1844" s="262" t="s">
        <v>4241</v>
      </c>
      <c r="O1844" s="262" t="s">
        <v>4241</v>
      </c>
    </row>
    <row r="1845" spans="1:15" ht="12.75" customHeight="1" x14ac:dyDescent="0.3">
      <c r="A1845" s="567" t="s">
        <v>2716</v>
      </c>
      <c r="B1845" s="566"/>
      <c r="C1845" s="566"/>
      <c r="D1845" s="566"/>
      <c r="E1845" s="566"/>
      <c r="F1845" s="566"/>
      <c r="G1845" s="567" t="s">
        <v>2945</v>
      </c>
      <c r="H1845" s="567" t="s">
        <v>617</v>
      </c>
      <c r="I1845" s="239" t="str">
        <f>IF(ISBLANK(global!I322),"",global!I322)</f>
        <v/>
      </c>
      <c r="K1845" s="262" t="s">
        <v>4241</v>
      </c>
      <c r="O1845" s="262" t="s">
        <v>4241</v>
      </c>
    </row>
    <row r="1846" spans="1:15" ht="12.75" customHeight="1" x14ac:dyDescent="0.3">
      <c r="A1846" s="567" t="s">
        <v>2716</v>
      </c>
      <c r="B1846" s="566"/>
      <c r="C1846" s="566"/>
      <c r="D1846" s="566"/>
      <c r="E1846" s="566"/>
      <c r="F1846" s="566"/>
      <c r="G1846" s="567" t="s">
        <v>2946</v>
      </c>
      <c r="H1846" s="567" t="s">
        <v>617</v>
      </c>
      <c r="I1846" s="239" t="str">
        <f>IF(ISBLANK(global!I323),"",global!I323)</f>
        <v/>
      </c>
      <c r="K1846" s="262" t="s">
        <v>4241</v>
      </c>
      <c r="O1846" s="262" t="s">
        <v>4241</v>
      </c>
    </row>
    <row r="1847" spans="1:15" ht="12.75" customHeight="1" x14ac:dyDescent="0.3">
      <c r="A1847" s="567" t="s">
        <v>2718</v>
      </c>
      <c r="B1847" s="566"/>
      <c r="C1847" s="566"/>
      <c r="D1847" s="566"/>
      <c r="E1847" s="566"/>
      <c r="F1847" s="566"/>
      <c r="G1847" s="567" t="s">
        <v>2947</v>
      </c>
      <c r="H1847" s="567" t="s">
        <v>617</v>
      </c>
      <c r="I1847" s="239" t="str">
        <f>IF(ISBLANK(global!I324),"",global!I324)</f>
        <v/>
      </c>
      <c r="K1847" s="262" t="s">
        <v>4241</v>
      </c>
      <c r="O1847" s="262" t="s">
        <v>4241</v>
      </c>
    </row>
    <row r="1848" spans="1:15" ht="12.75" customHeight="1" x14ac:dyDescent="0.3">
      <c r="A1848" s="567" t="s">
        <v>2718</v>
      </c>
      <c r="B1848" s="566"/>
      <c r="C1848" s="566"/>
      <c r="D1848" s="566"/>
      <c r="E1848" s="566"/>
      <c r="F1848" s="566"/>
      <c r="G1848" s="567" t="s">
        <v>2948</v>
      </c>
      <c r="H1848" s="567" t="s">
        <v>617</v>
      </c>
      <c r="I1848" s="239" t="str">
        <f>IF(ISBLANK(global!I325),"",global!I325)</f>
        <v/>
      </c>
      <c r="K1848" s="262" t="s">
        <v>4241</v>
      </c>
      <c r="O1848" s="262" t="s">
        <v>4241</v>
      </c>
    </row>
    <row r="1849" spans="1:15" ht="12.75" customHeight="1" x14ac:dyDescent="0.3">
      <c r="A1849" s="567" t="s">
        <v>2718</v>
      </c>
      <c r="B1849" s="566"/>
      <c r="C1849" s="566"/>
      <c r="D1849" s="566"/>
      <c r="E1849" s="566"/>
      <c r="F1849" s="566"/>
      <c r="G1849" s="567" t="s">
        <v>2949</v>
      </c>
      <c r="H1849" s="567" t="s">
        <v>617</v>
      </c>
      <c r="I1849" s="239" t="str">
        <f>IF(ISBLANK(global!I326),"",global!I326)</f>
        <v/>
      </c>
      <c r="K1849" s="262" t="s">
        <v>4241</v>
      </c>
      <c r="O1849" s="262" t="s">
        <v>4241</v>
      </c>
    </row>
    <row r="1850" spans="1:15" ht="12.75" customHeight="1" x14ac:dyDescent="0.3">
      <c r="A1850" s="566"/>
      <c r="B1850" s="566" t="s">
        <v>1912</v>
      </c>
      <c r="C1850" s="566"/>
      <c r="D1850" s="566"/>
      <c r="E1850" s="566"/>
      <c r="F1850" s="566"/>
      <c r="G1850" s="567" t="s">
        <v>2950</v>
      </c>
      <c r="H1850" s="567" t="s">
        <v>335</v>
      </c>
      <c r="I1850" s="239" t="str">
        <f>IF(ISBLANK(global!I327),"",global!I327)</f>
        <v/>
      </c>
      <c r="K1850" s="262" t="s">
        <v>4241</v>
      </c>
      <c r="O1850" s="262" t="s">
        <v>4241</v>
      </c>
    </row>
    <row r="1851" spans="1:15" ht="12.75" customHeight="1" x14ac:dyDescent="0.3">
      <c r="A1851" s="598"/>
      <c r="B1851" s="598" t="s">
        <v>1919</v>
      </c>
      <c r="C1851" s="598"/>
      <c r="D1851" s="598"/>
      <c r="E1851" s="598"/>
      <c r="F1851" s="598"/>
      <c r="G1851" s="601" t="s">
        <v>2951</v>
      </c>
      <c r="H1851" s="601" t="s">
        <v>335</v>
      </c>
      <c r="I1851" s="239" t="str">
        <f>IF(ISBLANK(global!I328),"",global!I328)</f>
        <v/>
      </c>
      <c r="K1851" s="262" t="s">
        <v>4241</v>
      </c>
      <c r="O1851" s="262" t="s">
        <v>4241</v>
      </c>
    </row>
    <row r="1852" spans="1:15" ht="12.75" customHeight="1" x14ac:dyDescent="0.3">
      <c r="A1852" s="73"/>
      <c r="B1852" s="17"/>
      <c r="C1852" s="17"/>
      <c r="D1852" s="17"/>
      <c r="E1852" s="17"/>
      <c r="F1852" s="17"/>
      <c r="G1852" s="17"/>
      <c r="H1852" s="17"/>
      <c r="I1852" s="239" t="str">
        <f>IF(ISBLANK(global!I329),"",global!I329)</f>
        <v/>
      </c>
      <c r="K1852" s="262" t="s">
        <v>4241</v>
      </c>
      <c r="O1852" s="262" t="s">
        <v>4241</v>
      </c>
    </row>
    <row r="1853" spans="1:15" ht="12.75" customHeight="1" x14ac:dyDescent="0.3">
      <c r="A1853" s="101" t="s">
        <v>2952</v>
      </c>
      <c r="B1853" s="17"/>
      <c r="C1853" s="17"/>
      <c r="D1853" s="17"/>
      <c r="E1853" s="17"/>
      <c r="F1853" s="17"/>
      <c r="G1853" s="17"/>
      <c r="H1853" s="17"/>
      <c r="I1853" s="239" t="str">
        <f>IF(ISBLANK(global!I330),"",global!I330)</f>
        <v/>
      </c>
      <c r="K1853" s="262" t="s">
        <v>4241</v>
      </c>
      <c r="O1853" s="262" t="s">
        <v>4241</v>
      </c>
    </row>
    <row r="1854" spans="1:15" ht="12.75" customHeight="1" x14ac:dyDescent="0.3">
      <c r="A1854" s="17"/>
      <c r="B1854" s="17"/>
      <c r="C1854" s="17"/>
      <c r="D1854" s="17"/>
      <c r="E1854" s="17"/>
      <c r="F1854" s="17"/>
      <c r="G1854" s="17"/>
      <c r="H1854" s="17"/>
      <c r="I1854" s="239" t="str">
        <f>IF(ISBLANK(global!I331),"",global!I331)</f>
        <v/>
      </c>
      <c r="K1854" s="262" t="s">
        <v>4241</v>
      </c>
      <c r="O1854" s="262" t="s">
        <v>4241</v>
      </c>
    </row>
    <row r="1855" spans="1:15" ht="12.75" customHeight="1" x14ac:dyDescent="0.3">
      <c r="A1855" s="147" t="s">
        <v>947</v>
      </c>
      <c r="B1855" s="147"/>
      <c r="C1855" s="147"/>
      <c r="D1855" s="147"/>
      <c r="E1855" s="147"/>
      <c r="F1855" s="147"/>
      <c r="G1855" s="148" t="s">
        <v>258</v>
      </c>
      <c r="H1855" s="148" t="s">
        <v>274</v>
      </c>
      <c r="I1855" s="239" t="str">
        <f>IF(ISBLANK(global!I332),"",global!I332)</f>
        <v>User input</v>
      </c>
      <c r="K1855" s="262" t="s">
        <v>259</v>
      </c>
      <c r="O1855" s="262" t="s">
        <v>259</v>
      </c>
    </row>
    <row r="1856" spans="1:15" ht="12.75" customHeight="1" x14ac:dyDescent="0.3">
      <c r="A1856" s="38"/>
      <c r="B1856" s="38"/>
      <c r="C1856" s="17"/>
      <c r="D1856" s="17"/>
      <c r="E1856" s="17"/>
      <c r="F1856" s="17"/>
      <c r="G1856" s="17"/>
      <c r="H1856" s="17"/>
      <c r="I1856" s="239" t="str">
        <f>IF(ISBLANK(global!I333),"",global!I333)</f>
        <v/>
      </c>
      <c r="K1856" s="262" t="s">
        <v>4241</v>
      </c>
      <c r="O1856" s="262" t="s">
        <v>4241</v>
      </c>
    </row>
    <row r="1857" spans="1:15" ht="12.75" customHeight="1" x14ac:dyDescent="0.3">
      <c r="A1857" s="38" t="s">
        <v>948</v>
      </c>
      <c r="B1857" s="17"/>
      <c r="C1857" s="17"/>
      <c r="D1857" s="17"/>
      <c r="E1857" s="17"/>
      <c r="F1857" s="17"/>
      <c r="G1857" s="38" t="s">
        <v>2954</v>
      </c>
      <c r="H1857" s="17" t="s">
        <v>950</v>
      </c>
      <c r="I1857" s="239" t="str">
        <f>IF(ISBLANK(global!I334),"",global!I334)</f>
        <v/>
      </c>
      <c r="K1857" s="262" t="s">
        <v>4241</v>
      </c>
      <c r="O1857" s="262" t="s">
        <v>4241</v>
      </c>
    </row>
    <row r="1858" spans="1:15" ht="12.75" customHeight="1" x14ac:dyDescent="0.3">
      <c r="A1858" s="567" t="s">
        <v>1928</v>
      </c>
      <c r="B1858" s="566"/>
      <c r="C1858" s="566"/>
      <c r="D1858" s="566"/>
      <c r="E1858" s="566"/>
      <c r="F1858" s="566"/>
      <c r="G1858" s="567" t="s">
        <v>2955</v>
      </c>
      <c r="H1858" s="566" t="s">
        <v>950</v>
      </c>
      <c r="I1858" s="239" t="str">
        <f>IF(ISBLANK(global!I335),"",global!I335)</f>
        <v/>
      </c>
      <c r="K1858" s="262" t="s">
        <v>4241</v>
      </c>
      <c r="O1858" s="262" t="s">
        <v>4241</v>
      </c>
    </row>
    <row r="1859" spans="1:15" ht="12.75" customHeight="1" x14ac:dyDescent="0.3">
      <c r="A1859" s="17" t="s">
        <v>2956</v>
      </c>
      <c r="B1859" s="17"/>
      <c r="C1859" s="17"/>
      <c r="D1859" s="17"/>
      <c r="E1859" s="17"/>
      <c r="F1859" s="17"/>
      <c r="G1859" s="38" t="s">
        <v>2957</v>
      </c>
      <c r="H1859" s="17" t="s">
        <v>950</v>
      </c>
      <c r="I1859" s="239" t="str">
        <f>IF(ISBLANK(global!I336),"",global!I336)</f>
        <v/>
      </c>
      <c r="K1859" s="262" t="s">
        <v>4241</v>
      </c>
      <c r="O1859" s="262" t="s">
        <v>4241</v>
      </c>
    </row>
    <row r="1860" spans="1:15" ht="12.75" customHeight="1" x14ac:dyDescent="0.3">
      <c r="A1860" s="38" t="s">
        <v>2958</v>
      </c>
      <c r="B1860" s="17"/>
      <c r="C1860" s="17"/>
      <c r="D1860" s="17"/>
      <c r="E1860" s="17"/>
      <c r="F1860" s="17"/>
      <c r="G1860" s="38" t="s">
        <v>2959</v>
      </c>
      <c r="H1860" s="17" t="s">
        <v>950</v>
      </c>
      <c r="I1860" s="239" t="str">
        <f>IF(ISBLANK(global!I337),"",global!I337)</f>
        <v/>
      </c>
      <c r="K1860" s="262" t="s">
        <v>4241</v>
      </c>
      <c r="O1860" s="262" t="s">
        <v>4241</v>
      </c>
    </row>
    <row r="1861" spans="1:15" ht="12.75" customHeight="1" x14ac:dyDescent="0.3">
      <c r="A1861" s="38" t="s">
        <v>2531</v>
      </c>
      <c r="B1861" s="17"/>
      <c r="C1861" s="17"/>
      <c r="D1861" s="17"/>
      <c r="E1861" s="17"/>
      <c r="F1861" s="17"/>
      <c r="G1861" s="38" t="s">
        <v>2960</v>
      </c>
      <c r="H1861" s="17" t="s">
        <v>950</v>
      </c>
      <c r="I1861" s="239" t="str">
        <f>IF(ISBLANK(global!I338),"",global!I338)</f>
        <v/>
      </c>
      <c r="K1861" s="262" t="s">
        <v>4241</v>
      </c>
      <c r="O1861" s="262" t="s">
        <v>4241</v>
      </c>
    </row>
    <row r="1862" spans="1:15" ht="12.75" customHeight="1" x14ac:dyDescent="0.3">
      <c r="A1862" s="38" t="s">
        <v>2533</v>
      </c>
      <c r="B1862" s="17"/>
      <c r="C1862" s="17"/>
      <c r="D1862" s="17"/>
      <c r="E1862" s="17"/>
      <c r="F1862" s="17"/>
      <c r="G1862" s="38" t="s">
        <v>2961</v>
      </c>
      <c r="H1862" s="17" t="s">
        <v>950</v>
      </c>
      <c r="I1862" s="239" t="str">
        <f>IF(ISBLANK(global!I339),"",global!I339)</f>
        <v/>
      </c>
      <c r="K1862" s="262" t="s">
        <v>4241</v>
      </c>
      <c r="O1862" s="262" t="s">
        <v>4241</v>
      </c>
    </row>
    <row r="1863" spans="1:15" ht="12.75" customHeight="1" x14ac:dyDescent="0.3">
      <c r="A1863" s="17"/>
      <c r="B1863" s="38" t="s">
        <v>2962</v>
      </c>
      <c r="C1863" s="17"/>
      <c r="D1863" s="17"/>
      <c r="E1863" s="17"/>
      <c r="F1863" s="17"/>
      <c r="G1863" s="38" t="s">
        <v>2963</v>
      </c>
      <c r="H1863" s="17" t="s">
        <v>672</v>
      </c>
      <c r="I1863" s="239" t="str">
        <f>IF(ISBLANK(global!I340),"",global!I340)</f>
        <v/>
      </c>
      <c r="K1863" s="262" t="s">
        <v>4241</v>
      </c>
      <c r="O1863" s="262" t="s">
        <v>4241</v>
      </c>
    </row>
    <row r="1864" spans="1:15" ht="12.75" customHeight="1" x14ac:dyDescent="0.3">
      <c r="A1864" s="17"/>
      <c r="B1864" s="38" t="s">
        <v>2537</v>
      </c>
      <c r="C1864" s="17"/>
      <c r="D1864" s="17"/>
      <c r="E1864" s="17"/>
      <c r="F1864" s="17"/>
      <c r="G1864" s="146" t="s">
        <v>2964</v>
      </c>
      <c r="H1864" s="17" t="s">
        <v>291</v>
      </c>
      <c r="I1864" s="239" t="str">
        <f>IF(ISBLANK(global!I341),"",global!I341)</f>
        <v/>
      </c>
      <c r="K1864" s="262" t="s">
        <v>4241</v>
      </c>
      <c r="O1864" s="262" t="s">
        <v>4241</v>
      </c>
    </row>
    <row r="1865" spans="1:15" ht="12.75" customHeight="1" x14ac:dyDescent="0.3">
      <c r="A1865" s="17"/>
      <c r="B1865" s="38" t="s">
        <v>2539</v>
      </c>
      <c r="C1865" s="17"/>
      <c r="D1865" s="17"/>
      <c r="E1865" s="17"/>
      <c r="F1865" s="17"/>
      <c r="G1865" s="146" t="s">
        <v>2965</v>
      </c>
      <c r="H1865" s="17" t="s">
        <v>291</v>
      </c>
      <c r="I1865" s="239" t="str">
        <f>IF(ISBLANK(global!I342),"",global!I342)</f>
        <v/>
      </c>
      <c r="K1865" s="262" t="s">
        <v>4241</v>
      </c>
      <c r="O1865" s="262" t="s">
        <v>4241</v>
      </c>
    </row>
    <row r="1866" spans="1:15" ht="12.75" customHeight="1" x14ac:dyDescent="0.3">
      <c r="A1866" s="17"/>
      <c r="B1866" s="17"/>
      <c r="C1866" s="38" t="s">
        <v>987</v>
      </c>
      <c r="D1866" s="17"/>
      <c r="E1866" s="17"/>
      <c r="F1866" s="17"/>
      <c r="G1866" s="146" t="s">
        <v>2966</v>
      </c>
      <c r="H1866" s="38" t="s">
        <v>813</v>
      </c>
      <c r="I1866" s="239" t="str">
        <f>IF(ISBLANK(global!I343),"",global!I343)</f>
        <v/>
      </c>
      <c r="K1866" s="262" t="s">
        <v>4241</v>
      </c>
      <c r="O1866" s="262" t="s">
        <v>4241</v>
      </c>
    </row>
    <row r="1867" spans="1:15" ht="12.75" customHeight="1" x14ac:dyDescent="0.3">
      <c r="A1867" s="17"/>
      <c r="B1867" s="17"/>
      <c r="C1867" s="38" t="s">
        <v>2967</v>
      </c>
      <c r="D1867" s="17"/>
      <c r="E1867" s="17"/>
      <c r="F1867" s="17"/>
      <c r="G1867" s="146" t="s">
        <v>2968</v>
      </c>
      <c r="H1867" s="38" t="s">
        <v>813</v>
      </c>
      <c r="I1867" s="239" t="str">
        <f>IF(ISBLANK(global!I344),"",global!I344)</f>
        <v/>
      </c>
      <c r="K1867" s="262" t="s">
        <v>4241</v>
      </c>
      <c r="O1867" s="262" t="s">
        <v>4241</v>
      </c>
    </row>
    <row r="1868" spans="1:15" ht="12.75" customHeight="1" x14ac:dyDescent="0.3">
      <c r="A1868" s="17"/>
      <c r="B1868" s="17"/>
      <c r="C1868" s="38" t="s">
        <v>2969</v>
      </c>
      <c r="D1868" s="17"/>
      <c r="E1868" s="17"/>
      <c r="F1868" s="17"/>
      <c r="G1868" s="146" t="s">
        <v>2970</v>
      </c>
      <c r="H1868" s="38" t="s">
        <v>813</v>
      </c>
      <c r="I1868" s="239" t="str">
        <f>IF(ISBLANK(global!I345),"",global!I345)</f>
        <v/>
      </c>
      <c r="K1868" s="262" t="s">
        <v>4241</v>
      </c>
      <c r="O1868" s="262" t="s">
        <v>4241</v>
      </c>
    </row>
    <row r="1869" spans="1:15" ht="12.75" customHeight="1" x14ac:dyDescent="0.3">
      <c r="A1869" s="17"/>
      <c r="B1869" s="17"/>
      <c r="C1869" s="38" t="s">
        <v>2546</v>
      </c>
      <c r="D1869" s="17"/>
      <c r="E1869" s="17"/>
      <c r="F1869" s="17"/>
      <c r="G1869" s="146" t="s">
        <v>2971</v>
      </c>
      <c r="H1869" s="38" t="s">
        <v>997</v>
      </c>
      <c r="I1869" s="239" t="str">
        <f>IF(ISBLANK(global!I346),"",global!I346)</f>
        <v/>
      </c>
      <c r="K1869" s="262" t="s">
        <v>4241</v>
      </c>
      <c r="O1869" s="262" t="s">
        <v>4241</v>
      </c>
    </row>
    <row r="1870" spans="1:15" ht="12.75" customHeight="1" x14ac:dyDescent="0.3">
      <c r="A1870" s="38"/>
      <c r="B1870" s="17"/>
      <c r="C1870" s="38" t="s">
        <v>2548</v>
      </c>
      <c r="D1870" s="146"/>
      <c r="E1870" s="146"/>
      <c r="F1870" s="146"/>
      <c r="G1870" s="146" t="s">
        <v>2972</v>
      </c>
      <c r="H1870" s="38" t="s">
        <v>813</v>
      </c>
      <c r="I1870" s="239" t="str">
        <f>IF(ISBLANK(global!I347),"",global!I347)</f>
        <v/>
      </c>
      <c r="K1870" s="262" t="s">
        <v>4241</v>
      </c>
      <c r="O1870" s="262" t="s">
        <v>4241</v>
      </c>
    </row>
    <row r="1871" spans="1:15" ht="12.75" customHeight="1" x14ac:dyDescent="0.3">
      <c r="A1871" s="566"/>
      <c r="B1871" s="566"/>
      <c r="C1871" s="566" t="s">
        <v>1008</v>
      </c>
      <c r="D1871" s="566"/>
      <c r="E1871" s="566"/>
      <c r="F1871" s="566"/>
      <c r="G1871" s="567" t="s">
        <v>2973</v>
      </c>
      <c r="H1871" s="567" t="s">
        <v>1010</v>
      </c>
      <c r="I1871" s="239" t="str">
        <f>IF(ISBLANK(global!I348),"",global!I348)</f>
        <v/>
      </c>
      <c r="K1871" s="262" t="s">
        <v>4241</v>
      </c>
      <c r="O1871" s="262" t="s">
        <v>4241</v>
      </c>
    </row>
    <row r="1872" spans="1:15" ht="12.75" customHeight="1" x14ac:dyDescent="0.3">
      <c r="A1872" s="17"/>
      <c r="B1872" s="17"/>
      <c r="C1872" s="17" t="s">
        <v>1012</v>
      </c>
      <c r="D1872" s="17"/>
      <c r="E1872" s="17"/>
      <c r="F1872" s="17"/>
      <c r="G1872" s="38" t="s">
        <v>2974</v>
      </c>
      <c r="H1872" s="38" t="s">
        <v>1010</v>
      </c>
      <c r="I1872" s="239" t="str">
        <f>IF(ISBLANK(global!I349),"",global!I349)</f>
        <v/>
      </c>
      <c r="K1872" s="262" t="s">
        <v>4241</v>
      </c>
      <c r="O1872" s="262" t="s">
        <v>4241</v>
      </c>
    </row>
    <row r="1873" spans="1:15" ht="12.75" customHeight="1" x14ac:dyDescent="0.3">
      <c r="A1873" s="17"/>
      <c r="B1873" s="17"/>
      <c r="C1873" s="17" t="s">
        <v>1015</v>
      </c>
      <c r="D1873" s="17"/>
      <c r="E1873" s="17"/>
      <c r="F1873" s="17"/>
      <c r="G1873" s="38" t="s">
        <v>2975</v>
      </c>
      <c r="H1873" s="38" t="s">
        <v>1010</v>
      </c>
      <c r="I1873" s="239" t="str">
        <f>IF(ISBLANK(global!I350),"",global!I350)</f>
        <v/>
      </c>
      <c r="K1873" s="262" t="s">
        <v>4241</v>
      </c>
      <c r="O1873" s="262" t="s">
        <v>4241</v>
      </c>
    </row>
    <row r="1874" spans="1:15" ht="12.75" customHeight="1" x14ac:dyDescent="0.3">
      <c r="A1874" s="17"/>
      <c r="B1874" s="17"/>
      <c r="C1874" s="38" t="s">
        <v>2553</v>
      </c>
      <c r="D1874" s="146"/>
      <c r="E1874" s="146"/>
      <c r="F1874" s="146"/>
      <c r="G1874" s="146" t="s">
        <v>2976</v>
      </c>
      <c r="H1874" s="38" t="s">
        <v>1010</v>
      </c>
      <c r="I1874" s="239" t="str">
        <f>IF(ISBLANK(global!I351),"",global!I351)</f>
        <v/>
      </c>
      <c r="K1874" s="262" t="s">
        <v>4241</v>
      </c>
      <c r="O1874" s="262" t="s">
        <v>4241</v>
      </c>
    </row>
    <row r="1875" spans="1:15" ht="12.75" customHeight="1" x14ac:dyDescent="0.3">
      <c r="A1875" s="17"/>
      <c r="B1875" s="17"/>
      <c r="C1875" s="38" t="s">
        <v>2555</v>
      </c>
      <c r="D1875" s="17"/>
      <c r="E1875" s="17"/>
      <c r="F1875" s="17"/>
      <c r="G1875" s="146" t="s">
        <v>2977</v>
      </c>
      <c r="H1875" s="38" t="s">
        <v>1010</v>
      </c>
      <c r="I1875" s="239" t="str">
        <f>IF(ISBLANK(global!I352),"",global!I352)</f>
        <v/>
      </c>
      <c r="K1875" s="262" t="s">
        <v>4241</v>
      </c>
      <c r="O1875" s="262" t="s">
        <v>4241</v>
      </c>
    </row>
    <row r="1876" spans="1:15" ht="12.75" customHeight="1" x14ac:dyDescent="0.3">
      <c r="A1876" s="17"/>
      <c r="B1876" s="17"/>
      <c r="C1876" s="38" t="s">
        <v>2557</v>
      </c>
      <c r="D1876" s="17"/>
      <c r="E1876" s="17"/>
      <c r="F1876" s="17"/>
      <c r="G1876" s="146" t="s">
        <v>2978</v>
      </c>
      <c r="H1876" s="38" t="s">
        <v>1010</v>
      </c>
      <c r="I1876" s="239" t="str">
        <f>IF(ISBLANK(global!I353),"",global!I353)</f>
        <v/>
      </c>
      <c r="K1876" s="262" t="s">
        <v>4241</v>
      </c>
      <c r="O1876" s="262" t="s">
        <v>4241</v>
      </c>
    </row>
    <row r="1877" spans="1:15" ht="12.75" customHeight="1" x14ac:dyDescent="0.3">
      <c r="A1877" s="38"/>
      <c r="B1877" s="17"/>
      <c r="C1877" s="38" t="s">
        <v>1035</v>
      </c>
      <c r="D1877" s="146"/>
      <c r="E1877" s="146"/>
      <c r="F1877" s="146"/>
      <c r="G1877" s="146" t="s">
        <v>2979</v>
      </c>
      <c r="H1877" s="38" t="s">
        <v>1010</v>
      </c>
      <c r="I1877" s="239" t="str">
        <f>IF(ISBLANK(global!I354),"",global!I354)</f>
        <v/>
      </c>
      <c r="K1877" s="262" t="s">
        <v>4241</v>
      </c>
      <c r="O1877" s="262" t="s">
        <v>4241</v>
      </c>
    </row>
    <row r="1878" spans="1:15" ht="12.75" customHeight="1" x14ac:dyDescent="0.3">
      <c r="A1878" s="38"/>
      <c r="B1878" s="17"/>
      <c r="C1878" s="38" t="s">
        <v>2980</v>
      </c>
      <c r="D1878" s="146"/>
      <c r="E1878" s="146"/>
      <c r="F1878" s="146"/>
      <c r="G1878" s="146" t="s">
        <v>2981</v>
      </c>
      <c r="H1878" s="38" t="s">
        <v>1010</v>
      </c>
      <c r="I1878" s="239" t="str">
        <f>IF(ISBLANK(global!I355),"",global!I355)</f>
        <v/>
      </c>
      <c r="K1878" s="262" t="s">
        <v>4241</v>
      </c>
      <c r="O1878" s="262" t="s">
        <v>4241</v>
      </c>
    </row>
    <row r="1879" spans="1:15" ht="12.75" customHeight="1" x14ac:dyDescent="0.3">
      <c r="A1879" s="17"/>
      <c r="B1879" s="17"/>
      <c r="C1879" s="17"/>
      <c r="D1879" s="17"/>
      <c r="E1879" s="17"/>
      <c r="F1879" s="17"/>
      <c r="G1879" s="17"/>
      <c r="H1879" s="17"/>
      <c r="I1879" s="239" t="str">
        <f>IF(ISBLANK(global!I356),"",global!I356)</f>
        <v/>
      </c>
      <c r="K1879" s="262" t="s">
        <v>4241</v>
      </c>
      <c r="O1879" s="262" t="s">
        <v>4241</v>
      </c>
    </row>
    <row r="1880" spans="1:15" ht="12.75" customHeight="1" x14ac:dyDescent="0.3">
      <c r="A1880" s="38" t="s">
        <v>2982</v>
      </c>
      <c r="B1880" s="17"/>
      <c r="C1880" s="17"/>
      <c r="D1880" s="17"/>
      <c r="E1880" s="17"/>
      <c r="F1880" s="17"/>
      <c r="G1880" s="38" t="s">
        <v>2983</v>
      </c>
      <c r="H1880" s="38" t="s">
        <v>617</v>
      </c>
      <c r="I1880" s="239" t="str">
        <f>IF(ISBLANK(global!I357),"",global!I357)</f>
        <v/>
      </c>
      <c r="K1880" s="262" t="s">
        <v>4241</v>
      </c>
      <c r="O1880" s="262" t="s">
        <v>4241</v>
      </c>
    </row>
    <row r="1881" spans="1:15" ht="12.75" customHeight="1" x14ac:dyDescent="0.3">
      <c r="A1881" s="38"/>
      <c r="B1881" s="38" t="s">
        <v>2984</v>
      </c>
      <c r="C1881" s="17"/>
      <c r="D1881" s="17"/>
      <c r="E1881" s="17"/>
      <c r="F1881" s="17"/>
      <c r="G1881" s="38" t="s">
        <v>2985</v>
      </c>
      <c r="H1881" s="17" t="s">
        <v>1044</v>
      </c>
      <c r="I1881" s="239" t="str">
        <f>IF(ISBLANK(global!I358),"",global!I358)</f>
        <v/>
      </c>
      <c r="K1881" s="262" t="s">
        <v>4241</v>
      </c>
      <c r="O1881" s="262" t="s">
        <v>4241</v>
      </c>
    </row>
    <row r="1882" spans="1:15" ht="12.75" customHeight="1" x14ac:dyDescent="0.3">
      <c r="A1882" s="17"/>
      <c r="B1882" s="17"/>
      <c r="C1882" s="17"/>
      <c r="D1882" s="17"/>
      <c r="E1882" s="17"/>
      <c r="F1882" s="17"/>
      <c r="G1882" s="17"/>
      <c r="H1882" s="17"/>
      <c r="I1882" s="239" t="str">
        <f>IF(ISBLANK(global!I359),"",global!I359)</f>
        <v/>
      </c>
      <c r="K1882" s="262" t="s">
        <v>4241</v>
      </c>
      <c r="O1882" s="262" t="s">
        <v>4241</v>
      </c>
    </row>
    <row r="1883" spans="1:15" ht="12.75" customHeight="1" x14ac:dyDescent="0.3">
      <c r="A1883" s="38" t="s">
        <v>2986</v>
      </c>
      <c r="B1883" s="17"/>
      <c r="C1883" s="17"/>
      <c r="D1883" s="17"/>
      <c r="E1883" s="17"/>
      <c r="F1883" s="17"/>
      <c r="G1883" s="38" t="s">
        <v>2987</v>
      </c>
      <c r="H1883" s="38" t="s">
        <v>617</v>
      </c>
      <c r="I1883" s="239" t="str">
        <f>IF(ISBLANK(global!I360),"",global!I360)</f>
        <v/>
      </c>
      <c r="K1883" s="262" t="s">
        <v>4241</v>
      </c>
      <c r="O1883" s="262" t="s">
        <v>4241</v>
      </c>
    </row>
    <row r="1884" spans="1:15" ht="12.75" customHeight="1" x14ac:dyDescent="0.3">
      <c r="A1884" s="38" t="s">
        <v>2988</v>
      </c>
      <c r="B1884" s="17"/>
      <c r="C1884" s="17"/>
      <c r="D1884" s="17"/>
      <c r="E1884" s="17"/>
      <c r="F1884" s="17"/>
      <c r="G1884" s="38" t="s">
        <v>2989</v>
      </c>
      <c r="H1884" s="38" t="s">
        <v>617</v>
      </c>
      <c r="I1884" s="239" t="str">
        <f>IF(ISBLANK(global!I361),"",global!I361)</f>
        <v/>
      </c>
      <c r="K1884" s="262" t="s">
        <v>4241</v>
      </c>
      <c r="O1884" s="262" t="s">
        <v>4241</v>
      </c>
    </row>
    <row r="1885" spans="1:15" ht="12.75" customHeight="1" x14ac:dyDescent="0.3">
      <c r="A1885" s="38"/>
      <c r="B1885" s="38" t="s">
        <v>2990</v>
      </c>
      <c r="C1885" s="17"/>
      <c r="D1885" s="17"/>
      <c r="E1885" s="17"/>
      <c r="F1885" s="17"/>
      <c r="G1885" s="146" t="s">
        <v>2991</v>
      </c>
      <c r="H1885" s="17" t="s">
        <v>1058</v>
      </c>
      <c r="I1885" s="239" t="str">
        <f>IF(ISBLANK(global!I362),"",global!I362)</f>
        <v/>
      </c>
      <c r="K1885" s="262" t="s">
        <v>4241</v>
      </c>
      <c r="O1885" s="262" t="s">
        <v>4241</v>
      </c>
    </row>
    <row r="1886" spans="1:15" ht="12.75" customHeight="1" x14ac:dyDescent="0.3">
      <c r="A1886" s="38" t="s">
        <v>2992</v>
      </c>
      <c r="B1886" s="17"/>
      <c r="C1886" s="17"/>
      <c r="D1886" s="17"/>
      <c r="E1886" s="17"/>
      <c r="F1886" s="17"/>
      <c r="G1886" s="38" t="s">
        <v>2993</v>
      </c>
      <c r="H1886" s="38" t="s">
        <v>617</v>
      </c>
      <c r="I1886" s="239" t="str">
        <f>IF(ISBLANK(global!I363),"",global!I363)</f>
        <v/>
      </c>
      <c r="K1886" s="262" t="s">
        <v>4241</v>
      </c>
      <c r="O1886" s="262" t="s">
        <v>4241</v>
      </c>
    </row>
    <row r="1887" spans="1:15" ht="12.75" customHeight="1" x14ac:dyDescent="0.3">
      <c r="A1887" s="38" t="s">
        <v>2994</v>
      </c>
      <c r="B1887" s="17"/>
      <c r="C1887" s="17"/>
      <c r="D1887" s="17"/>
      <c r="E1887" s="17"/>
      <c r="F1887" s="17"/>
      <c r="G1887" s="38" t="s">
        <v>2995</v>
      </c>
      <c r="H1887" s="38" t="s">
        <v>617</v>
      </c>
      <c r="I1887" s="239" t="str">
        <f>IF(ISBLANK(global!I364),"",global!I364)</f>
        <v/>
      </c>
      <c r="K1887" s="262" t="s">
        <v>4241</v>
      </c>
      <c r="O1887" s="262" t="s">
        <v>4241</v>
      </c>
    </row>
    <row r="1888" spans="1:15" ht="12.75" customHeight="1" x14ac:dyDescent="0.3">
      <c r="A1888" s="38"/>
      <c r="B1888" s="17" t="s">
        <v>2589</v>
      </c>
      <c r="C1888" s="17"/>
      <c r="D1888" s="17"/>
      <c r="E1888" s="17"/>
      <c r="F1888" s="17"/>
      <c r="G1888" s="38" t="s">
        <v>2996</v>
      </c>
      <c r="H1888" s="17" t="s">
        <v>1058</v>
      </c>
      <c r="I1888" s="239" t="str">
        <f>IF(ISBLANK(global!I365),"",global!I365)</f>
        <v/>
      </c>
      <c r="K1888" s="262" t="s">
        <v>4241</v>
      </c>
      <c r="O1888" s="262" t="s">
        <v>4241</v>
      </c>
    </row>
    <row r="1889" spans="1:15" ht="12.75" customHeight="1" x14ac:dyDescent="0.3">
      <c r="A1889" s="38"/>
      <c r="B1889" s="38"/>
      <c r="C1889" s="17" t="s">
        <v>2591</v>
      </c>
      <c r="D1889" s="17"/>
      <c r="E1889" s="17"/>
      <c r="F1889" s="17"/>
      <c r="G1889" s="38" t="s">
        <v>2997</v>
      </c>
      <c r="H1889" s="17" t="s">
        <v>1044</v>
      </c>
      <c r="I1889" s="239" t="str">
        <f>IF(ISBLANK(global!I366),"",global!I366)</f>
        <v/>
      </c>
      <c r="K1889" s="262" t="s">
        <v>4241</v>
      </c>
      <c r="O1889" s="262" t="s">
        <v>4241</v>
      </c>
    </row>
    <row r="1890" spans="1:15" ht="12.75" customHeight="1" x14ac:dyDescent="0.3">
      <c r="A1890" s="17"/>
      <c r="B1890" s="17"/>
      <c r="C1890" s="17"/>
      <c r="D1890" s="17"/>
      <c r="E1890" s="17"/>
      <c r="F1890" s="17"/>
      <c r="G1890" s="17"/>
      <c r="H1890" s="17"/>
      <c r="I1890" s="239" t="str">
        <f>IF(ISBLANK(global!I367),"",global!I367)</f>
        <v/>
      </c>
      <c r="K1890" s="262" t="s">
        <v>4241</v>
      </c>
      <c r="O1890" s="262" t="s">
        <v>4241</v>
      </c>
    </row>
    <row r="1891" spans="1:15" ht="12.75" customHeight="1" x14ac:dyDescent="0.3">
      <c r="A1891" s="148" t="s">
        <v>2010</v>
      </c>
      <c r="B1891" s="147"/>
      <c r="C1891" s="147"/>
      <c r="D1891" s="147"/>
      <c r="E1891" s="147"/>
      <c r="F1891" s="147"/>
      <c r="G1891" s="148" t="s">
        <v>258</v>
      </c>
      <c r="H1891" s="148" t="s">
        <v>274</v>
      </c>
      <c r="I1891" s="239" t="str">
        <f>IF(ISBLANK(global!I368),"",global!I368)</f>
        <v>User input</v>
      </c>
      <c r="K1891" s="262" t="s">
        <v>259</v>
      </c>
      <c r="O1891" s="262" t="s">
        <v>259</v>
      </c>
    </row>
    <row r="1892" spans="1:15" ht="12.75" customHeight="1" x14ac:dyDescent="0.3">
      <c r="A1892" s="38"/>
      <c r="B1892" s="38"/>
      <c r="C1892" s="17"/>
      <c r="D1892" s="17"/>
      <c r="E1892" s="17"/>
      <c r="F1892" s="17"/>
      <c r="G1892" s="17"/>
      <c r="H1892" s="17"/>
      <c r="I1892" s="239" t="str">
        <f>IF(ISBLANK(global!I369),"",global!I369)</f>
        <v/>
      </c>
      <c r="K1892" s="262" t="s">
        <v>4241</v>
      </c>
      <c r="O1892" s="262" t="s">
        <v>4241</v>
      </c>
    </row>
    <row r="1893" spans="1:15" ht="12.75" customHeight="1" x14ac:dyDescent="0.3">
      <c r="A1893" s="17"/>
      <c r="B1893" s="17" t="s">
        <v>2593</v>
      </c>
      <c r="C1893" s="17"/>
      <c r="D1893" s="17"/>
      <c r="E1893" s="17"/>
      <c r="F1893" s="17"/>
      <c r="G1893" s="38" t="s">
        <v>2998</v>
      </c>
      <c r="H1893" s="38" t="s">
        <v>291</v>
      </c>
      <c r="I1893" s="239" t="str">
        <f>IF(ISBLANK(global!I370),"",global!I370)</f>
        <v/>
      </c>
      <c r="K1893" s="262" t="s">
        <v>4241</v>
      </c>
      <c r="O1893" s="262" t="s">
        <v>4241</v>
      </c>
    </row>
    <row r="1894" spans="1:15" ht="12.75" customHeight="1" x14ac:dyDescent="0.3">
      <c r="A1894" s="17"/>
      <c r="B1894" s="17" t="s">
        <v>2013</v>
      </c>
      <c r="C1894" s="17"/>
      <c r="D1894" s="17"/>
      <c r="E1894" s="17"/>
      <c r="F1894" s="17"/>
      <c r="G1894" s="17" t="s">
        <v>2999</v>
      </c>
      <c r="H1894" s="17" t="s">
        <v>291</v>
      </c>
      <c r="I1894" s="239" t="str">
        <f>IF(ISBLANK(global!I371),"",global!I371)</f>
        <v/>
      </c>
      <c r="K1894" s="262" t="s">
        <v>4241</v>
      </c>
      <c r="O1894" s="262" t="s">
        <v>4241</v>
      </c>
    </row>
    <row r="1895" spans="1:15" ht="12.75" customHeight="1" x14ac:dyDescent="0.3">
      <c r="A1895" s="17"/>
      <c r="B1895" s="17" t="s">
        <v>2015</v>
      </c>
      <c r="C1895" s="17"/>
      <c r="D1895" s="17"/>
      <c r="E1895" s="17"/>
      <c r="F1895" s="17"/>
      <c r="G1895" s="17" t="s">
        <v>3000</v>
      </c>
      <c r="H1895" s="17" t="s">
        <v>291</v>
      </c>
      <c r="I1895" s="239" t="str">
        <f>IF(ISBLANK(global!I372),"",global!I372)</f>
        <v/>
      </c>
      <c r="K1895" s="262" t="s">
        <v>4241</v>
      </c>
      <c r="O1895" s="262" t="s">
        <v>4241</v>
      </c>
    </row>
    <row r="1896" spans="1:15" ht="12.75" customHeight="1" x14ac:dyDescent="0.3">
      <c r="A1896" s="17"/>
      <c r="B1896" s="17"/>
      <c r="C1896" s="38" t="s">
        <v>2017</v>
      </c>
      <c r="D1896" s="38"/>
      <c r="E1896" s="38"/>
      <c r="F1896" s="38"/>
      <c r="G1896" s="38" t="s">
        <v>3001</v>
      </c>
      <c r="H1896" s="38" t="s">
        <v>291</v>
      </c>
      <c r="I1896" s="239" t="str">
        <f>IF(ISBLANK(global!I373),"",global!I373)</f>
        <v/>
      </c>
      <c r="K1896" s="262" t="s">
        <v>4241</v>
      </c>
      <c r="O1896" s="262" t="s">
        <v>4241</v>
      </c>
    </row>
    <row r="1897" spans="1:15" ht="12.75" customHeight="1" x14ac:dyDescent="0.3">
      <c r="A1897" s="38"/>
      <c r="B1897" s="17"/>
      <c r="C1897" s="17" t="s">
        <v>3002</v>
      </c>
      <c r="D1897" s="17"/>
      <c r="E1897" s="17"/>
      <c r="F1897" s="17"/>
      <c r="G1897" s="17" t="s">
        <v>3003</v>
      </c>
      <c r="H1897" s="17" t="s">
        <v>585</v>
      </c>
      <c r="I1897" s="239" t="str">
        <f>IF(ISBLANK(global!I374),"",global!I374)</f>
        <v/>
      </c>
      <c r="K1897" s="262" t="s">
        <v>4241</v>
      </c>
      <c r="O1897" s="262" t="s">
        <v>4241</v>
      </c>
    </row>
    <row r="1898" spans="1:15" ht="12.75" customHeight="1" x14ac:dyDescent="0.4">
      <c r="A1898" s="17"/>
      <c r="B1898" s="17"/>
      <c r="C1898" s="17" t="s">
        <v>2019</v>
      </c>
      <c r="D1898" s="17"/>
      <c r="E1898" s="17"/>
      <c r="F1898" s="17"/>
      <c r="G1898" s="17" t="s">
        <v>3004</v>
      </c>
      <c r="H1898" s="17" t="s">
        <v>1081</v>
      </c>
      <c r="I1898" s="239" t="str">
        <f>IF(ISBLANK(global!I375),"",global!I375)</f>
        <v/>
      </c>
      <c r="K1898" s="262" t="s">
        <v>4241</v>
      </c>
      <c r="O1898" s="262" t="s">
        <v>4241</v>
      </c>
    </row>
    <row r="1899" spans="1:15" ht="12.75" customHeight="1" x14ac:dyDescent="0.4">
      <c r="A1899" s="17"/>
      <c r="B1899" s="17"/>
      <c r="C1899" s="17" t="s">
        <v>2021</v>
      </c>
      <c r="D1899" s="17"/>
      <c r="E1899" s="17"/>
      <c r="F1899" s="17"/>
      <c r="G1899" s="17" t="s">
        <v>3005</v>
      </c>
      <c r="H1899" s="17" t="s">
        <v>1084</v>
      </c>
      <c r="I1899" s="239" t="str">
        <f>IF(ISBLANK(global!I376),"",global!I376)</f>
        <v/>
      </c>
      <c r="K1899" s="262" t="s">
        <v>4241</v>
      </c>
      <c r="O1899" s="262" t="s">
        <v>4241</v>
      </c>
    </row>
    <row r="1900" spans="1:15" ht="12.75" customHeight="1" x14ac:dyDescent="0.3">
      <c r="A1900" s="38"/>
      <c r="B1900" s="38" t="s">
        <v>2604</v>
      </c>
      <c r="C1900" s="146"/>
      <c r="D1900" s="17"/>
      <c r="E1900" s="17"/>
      <c r="F1900" s="17"/>
      <c r="G1900" s="38" t="s">
        <v>3006</v>
      </c>
      <c r="H1900" s="38" t="s">
        <v>291</v>
      </c>
      <c r="I1900" s="239" t="str">
        <f>IF(ISBLANK(global!I377),"",global!I377)</f>
        <v/>
      </c>
      <c r="K1900" s="262" t="s">
        <v>4241</v>
      </c>
      <c r="O1900" s="262" t="s">
        <v>4241</v>
      </c>
    </row>
    <row r="1901" spans="1:15" ht="12.75" customHeight="1" x14ac:dyDescent="0.3">
      <c r="A1901" s="38"/>
      <c r="B1901" s="38" t="s">
        <v>2606</v>
      </c>
      <c r="C1901" s="146"/>
      <c r="D1901" s="17"/>
      <c r="E1901" s="17"/>
      <c r="F1901" s="17"/>
      <c r="G1901" s="38" t="s">
        <v>3007</v>
      </c>
      <c r="H1901" s="38" t="s">
        <v>291</v>
      </c>
      <c r="I1901" s="239" t="str">
        <f>IF(ISBLANK(global!I378),"",global!I378)</f>
        <v/>
      </c>
      <c r="K1901" s="262" t="s">
        <v>4241</v>
      </c>
      <c r="O1901" s="262" t="s">
        <v>4241</v>
      </c>
    </row>
    <row r="1902" spans="1:15" ht="12.75" customHeight="1" x14ac:dyDescent="0.3">
      <c r="A1902" s="38"/>
      <c r="B1902" s="17"/>
      <c r="C1902" s="38" t="s">
        <v>2608</v>
      </c>
      <c r="D1902" s="17"/>
      <c r="E1902" s="17"/>
      <c r="F1902" s="17"/>
      <c r="G1902" s="146" t="s">
        <v>3008</v>
      </c>
      <c r="H1902" s="38" t="s">
        <v>1090</v>
      </c>
      <c r="I1902" s="239" t="str">
        <f>IF(ISBLANK(global!I379),"",global!I379)</f>
        <v/>
      </c>
      <c r="K1902" s="262" t="s">
        <v>4241</v>
      </c>
      <c r="O1902" s="262" t="s">
        <v>4241</v>
      </c>
    </row>
    <row r="1903" spans="1:15" ht="12.75" customHeight="1" x14ac:dyDescent="0.3">
      <c r="A1903" s="38"/>
      <c r="B1903" s="17"/>
      <c r="C1903" s="38" t="s">
        <v>2610</v>
      </c>
      <c r="D1903" s="17"/>
      <c r="E1903" s="17"/>
      <c r="F1903" s="17"/>
      <c r="G1903" s="146" t="s">
        <v>3009</v>
      </c>
      <c r="H1903" s="38" t="s">
        <v>1090</v>
      </c>
      <c r="I1903" s="239" t="str">
        <f>IF(ISBLANK(global!I380),"",global!I380)</f>
        <v/>
      </c>
      <c r="K1903" s="262" t="s">
        <v>4241</v>
      </c>
      <c r="O1903" s="262" t="s">
        <v>4241</v>
      </c>
    </row>
    <row r="1904" spans="1:15" ht="12.75" customHeight="1" x14ac:dyDescent="0.3">
      <c r="A1904" s="38"/>
      <c r="B1904" s="17"/>
      <c r="C1904" s="38" t="s">
        <v>2612</v>
      </c>
      <c r="D1904" s="17"/>
      <c r="E1904" s="17"/>
      <c r="F1904" s="17"/>
      <c r="G1904" s="146" t="s">
        <v>3010</v>
      </c>
      <c r="H1904" s="38" t="s">
        <v>291</v>
      </c>
      <c r="I1904" s="239" t="str">
        <f>IF(ISBLANK(global!I381),"",global!I381)</f>
        <v/>
      </c>
      <c r="K1904" s="262" t="s">
        <v>4241</v>
      </c>
      <c r="O1904" s="262" t="s">
        <v>4241</v>
      </c>
    </row>
    <row r="1905" spans="1:15" ht="12.75" customHeight="1" x14ac:dyDescent="0.3">
      <c r="A1905" s="38"/>
      <c r="B1905" s="17"/>
      <c r="C1905" s="38" t="s">
        <v>2614</v>
      </c>
      <c r="D1905" s="17"/>
      <c r="E1905" s="17"/>
      <c r="F1905" s="17"/>
      <c r="G1905" s="146" t="s">
        <v>3011</v>
      </c>
      <c r="H1905" s="38" t="s">
        <v>291</v>
      </c>
      <c r="I1905" s="239" t="str">
        <f>IF(ISBLANK(global!I382),"",global!I382)</f>
        <v/>
      </c>
      <c r="K1905" s="262" t="s">
        <v>4241</v>
      </c>
      <c r="O1905" s="262" t="s">
        <v>4241</v>
      </c>
    </row>
    <row r="1906" spans="1:15" ht="12.75" customHeight="1" x14ac:dyDescent="0.3">
      <c r="A1906" s="38"/>
      <c r="B1906" s="17"/>
      <c r="C1906" s="38" t="s">
        <v>2616</v>
      </c>
      <c r="D1906" s="17"/>
      <c r="E1906" s="17"/>
      <c r="F1906" s="17"/>
      <c r="G1906" s="146" t="s">
        <v>3012</v>
      </c>
      <c r="H1906" s="38" t="s">
        <v>579</v>
      </c>
      <c r="I1906" s="239" t="str">
        <f>IF(ISBLANK(global!I383),"",global!I383)</f>
        <v/>
      </c>
      <c r="K1906" s="262" t="s">
        <v>4241</v>
      </c>
      <c r="O1906" s="262" t="s">
        <v>4241</v>
      </c>
    </row>
    <row r="1907" spans="1:15" ht="12.75" customHeight="1" x14ac:dyDescent="0.3">
      <c r="A1907" s="38"/>
      <c r="B1907" s="17"/>
      <c r="C1907" s="38" t="s">
        <v>2618</v>
      </c>
      <c r="D1907" s="17"/>
      <c r="E1907" s="17"/>
      <c r="F1907" s="17"/>
      <c r="G1907" s="146" t="s">
        <v>3013</v>
      </c>
      <c r="H1907" s="38" t="s">
        <v>579</v>
      </c>
      <c r="I1907" s="239" t="str">
        <f>IF(ISBLANK(global!I384),"",global!I384)</f>
        <v/>
      </c>
      <c r="K1907" s="262" t="s">
        <v>4241</v>
      </c>
      <c r="O1907" s="262" t="s">
        <v>4241</v>
      </c>
    </row>
    <row r="1908" spans="1:15" ht="12.75" customHeight="1" x14ac:dyDescent="0.3">
      <c r="A1908" s="38"/>
      <c r="B1908" s="17"/>
      <c r="C1908" s="38" t="s">
        <v>2620</v>
      </c>
      <c r="D1908" s="17"/>
      <c r="E1908" s="17"/>
      <c r="F1908" s="17"/>
      <c r="G1908" s="146" t="s">
        <v>3014</v>
      </c>
      <c r="H1908" s="38" t="s">
        <v>1096</v>
      </c>
      <c r="I1908" s="239" t="str">
        <f>IF(ISBLANK(global!I385),"",global!I385)</f>
        <v/>
      </c>
      <c r="K1908" s="262" t="s">
        <v>4241</v>
      </c>
      <c r="O1908" s="262" t="s">
        <v>4241</v>
      </c>
    </row>
    <row r="1909" spans="1:15" ht="12.75" customHeight="1" x14ac:dyDescent="0.3">
      <c r="A1909" s="38"/>
      <c r="B1909" s="17"/>
      <c r="C1909" s="38" t="s">
        <v>2622</v>
      </c>
      <c r="D1909" s="17"/>
      <c r="E1909" s="17"/>
      <c r="F1909" s="17"/>
      <c r="G1909" s="146" t="s">
        <v>3015</v>
      </c>
      <c r="H1909" s="38" t="s">
        <v>1096</v>
      </c>
      <c r="I1909" s="239" t="str">
        <f>IF(ISBLANK(global!I386),"",global!I386)</f>
        <v/>
      </c>
      <c r="K1909" s="262" t="s">
        <v>4241</v>
      </c>
      <c r="O1909" s="262" t="s">
        <v>4241</v>
      </c>
    </row>
    <row r="1910" spans="1:15" ht="12.75" customHeight="1" x14ac:dyDescent="0.3">
      <c r="A1910" s="38"/>
      <c r="B1910" s="17"/>
      <c r="C1910" s="38" t="s">
        <v>2624</v>
      </c>
      <c r="D1910" s="17"/>
      <c r="E1910" s="17"/>
      <c r="F1910" s="17"/>
      <c r="G1910" s="146" t="s">
        <v>3016</v>
      </c>
      <c r="H1910" s="38" t="s">
        <v>716</v>
      </c>
      <c r="I1910" s="239" t="str">
        <f>IF(ISBLANK(global!I387),"",global!I387)</f>
        <v/>
      </c>
      <c r="K1910" s="262" t="s">
        <v>4241</v>
      </c>
      <c r="O1910" s="262" t="s">
        <v>4241</v>
      </c>
    </row>
    <row r="1911" spans="1:15" ht="12.75" customHeight="1" x14ac:dyDescent="0.3">
      <c r="A1911" s="38"/>
      <c r="B1911" s="17"/>
      <c r="C1911" s="38" t="s">
        <v>2626</v>
      </c>
      <c r="D1911" s="17"/>
      <c r="E1911" s="17"/>
      <c r="F1911" s="17"/>
      <c r="G1911" s="146" t="s">
        <v>3017</v>
      </c>
      <c r="H1911" s="38" t="s">
        <v>716</v>
      </c>
      <c r="I1911" s="239" t="str">
        <f>IF(ISBLANK(global!I388),"",global!I388)</f>
        <v/>
      </c>
      <c r="K1911" s="262" t="s">
        <v>4241</v>
      </c>
      <c r="O1911" s="262" t="s">
        <v>4241</v>
      </c>
    </row>
    <row r="1912" spans="1:15" ht="12.75" customHeight="1" x14ac:dyDescent="0.3">
      <c r="A1912" s="38"/>
      <c r="B1912" s="38" t="s">
        <v>2628</v>
      </c>
      <c r="C1912" s="146"/>
      <c r="D1912" s="17"/>
      <c r="E1912" s="17"/>
      <c r="F1912" s="17"/>
      <c r="G1912" s="146" t="s">
        <v>3018</v>
      </c>
      <c r="H1912" s="38" t="s">
        <v>291</v>
      </c>
      <c r="I1912" s="239" t="str">
        <f>IF(ISBLANK(global!I389),"",global!I389)</f>
        <v/>
      </c>
      <c r="K1912" s="262" t="s">
        <v>4241</v>
      </c>
      <c r="O1912" s="262" t="s">
        <v>4241</v>
      </c>
    </row>
    <row r="1913" spans="1:15" ht="12.75" customHeight="1" x14ac:dyDescent="0.3">
      <c r="A1913" s="38"/>
      <c r="B1913" s="17"/>
      <c r="C1913" s="38" t="s">
        <v>2630</v>
      </c>
      <c r="D1913" s="17"/>
      <c r="E1913" s="17"/>
      <c r="F1913" s="17"/>
      <c r="G1913" s="146" t="s">
        <v>3019</v>
      </c>
      <c r="H1913" s="38" t="s">
        <v>1090</v>
      </c>
      <c r="I1913" s="239" t="str">
        <f>IF(ISBLANK(global!I390),"",global!I390)</f>
        <v/>
      </c>
      <c r="K1913" s="262" t="s">
        <v>4241</v>
      </c>
      <c r="O1913" s="262" t="s">
        <v>4241</v>
      </c>
    </row>
    <row r="1914" spans="1:15" ht="12.75" customHeight="1" x14ac:dyDescent="0.3">
      <c r="A1914" s="38"/>
      <c r="B1914" s="17"/>
      <c r="C1914" s="38" t="s">
        <v>2632</v>
      </c>
      <c r="D1914" s="17"/>
      <c r="E1914" s="17"/>
      <c r="F1914" s="17"/>
      <c r="G1914" s="146" t="s">
        <v>3020</v>
      </c>
      <c r="H1914" s="38" t="s">
        <v>291</v>
      </c>
      <c r="I1914" s="239" t="str">
        <f>IF(ISBLANK(global!I391),"",global!I391)</f>
        <v/>
      </c>
      <c r="K1914" s="262" t="s">
        <v>4241</v>
      </c>
      <c r="O1914" s="262" t="s">
        <v>4241</v>
      </c>
    </row>
    <row r="1915" spans="1:15" ht="12.75" customHeight="1" x14ac:dyDescent="0.3">
      <c r="A1915" s="38"/>
      <c r="B1915" s="38" t="s">
        <v>2634</v>
      </c>
      <c r="C1915" s="146"/>
      <c r="D1915" s="17"/>
      <c r="E1915" s="17"/>
      <c r="F1915" s="17"/>
      <c r="G1915" s="146" t="s">
        <v>3021</v>
      </c>
      <c r="H1915" s="38" t="s">
        <v>291</v>
      </c>
      <c r="I1915" s="239" t="str">
        <f>IF(ISBLANK(global!I392),"",global!I392)</f>
        <v/>
      </c>
      <c r="K1915" s="262" t="s">
        <v>4241</v>
      </c>
      <c r="O1915" s="262" t="s">
        <v>4241</v>
      </c>
    </row>
    <row r="1916" spans="1:15" ht="12.75" customHeight="1" x14ac:dyDescent="0.3">
      <c r="A1916" s="38"/>
      <c r="B1916" s="38" t="s">
        <v>2636</v>
      </c>
      <c r="C1916" s="146"/>
      <c r="D1916" s="17"/>
      <c r="E1916" s="17"/>
      <c r="F1916" s="17"/>
      <c r="G1916" s="146" t="s">
        <v>3022</v>
      </c>
      <c r="H1916" s="38" t="s">
        <v>291</v>
      </c>
      <c r="I1916" s="239" t="str">
        <f>IF(ISBLANK(global!I393),"",global!I393)</f>
        <v/>
      </c>
      <c r="K1916" s="262" t="s">
        <v>4241</v>
      </c>
      <c r="O1916" s="262" t="s">
        <v>4241</v>
      </c>
    </row>
    <row r="1917" spans="1:15" ht="12.75" customHeight="1" x14ac:dyDescent="0.3">
      <c r="A1917" s="38"/>
      <c r="B1917" s="38" t="s">
        <v>2638</v>
      </c>
      <c r="C1917" s="146"/>
      <c r="D1917" s="17"/>
      <c r="E1917" s="17"/>
      <c r="F1917" s="17"/>
      <c r="G1917" s="146" t="s">
        <v>3023</v>
      </c>
      <c r="H1917" s="38" t="s">
        <v>291</v>
      </c>
      <c r="I1917" s="239" t="str">
        <f>IF(ISBLANK(global!I394),"",global!I394)</f>
        <v/>
      </c>
      <c r="K1917" s="262" t="s">
        <v>4241</v>
      </c>
      <c r="O1917" s="262" t="s">
        <v>4241</v>
      </c>
    </row>
    <row r="1918" spans="1:15" ht="12.75" customHeight="1" x14ac:dyDescent="0.3">
      <c r="A1918" s="38"/>
      <c r="B1918" s="17"/>
      <c r="C1918" s="38" t="s">
        <v>2640</v>
      </c>
      <c r="D1918" s="17"/>
      <c r="E1918" s="17"/>
      <c r="F1918" s="17"/>
      <c r="G1918" s="146" t="s">
        <v>3024</v>
      </c>
      <c r="H1918" s="38" t="s">
        <v>1090</v>
      </c>
      <c r="I1918" s="239" t="str">
        <f>IF(ISBLANK(global!I395),"",global!I395)</f>
        <v/>
      </c>
      <c r="K1918" s="262" t="s">
        <v>4241</v>
      </c>
      <c r="O1918" s="262" t="s">
        <v>4241</v>
      </c>
    </row>
    <row r="1919" spans="1:15" ht="12.75" customHeight="1" x14ac:dyDescent="0.3">
      <c r="A1919" s="38"/>
      <c r="B1919" s="17"/>
      <c r="C1919" s="38" t="s">
        <v>2642</v>
      </c>
      <c r="D1919" s="17"/>
      <c r="E1919" s="17"/>
      <c r="F1919" s="17"/>
      <c r="G1919" s="146" t="s">
        <v>3025</v>
      </c>
      <c r="H1919" s="38" t="s">
        <v>291</v>
      </c>
      <c r="I1919" s="239" t="str">
        <f>IF(ISBLANK(global!I396),"",global!I396)</f>
        <v/>
      </c>
      <c r="K1919" s="262" t="s">
        <v>4241</v>
      </c>
      <c r="O1919" s="262" t="s">
        <v>4241</v>
      </c>
    </row>
    <row r="1920" spans="1:15" ht="12.75" customHeight="1" x14ac:dyDescent="0.3">
      <c r="A1920" s="17"/>
      <c r="B1920" s="17"/>
      <c r="C1920" s="17"/>
      <c r="D1920" s="17"/>
      <c r="E1920" s="17"/>
      <c r="F1920" s="17"/>
      <c r="G1920" s="17"/>
      <c r="H1920" s="17"/>
      <c r="I1920" s="239" t="str">
        <f>IF(ISBLANK(global!I397),"",global!I397)</f>
        <v/>
      </c>
      <c r="K1920" s="262" t="s">
        <v>4241</v>
      </c>
      <c r="O1920" s="262" t="s">
        <v>4241</v>
      </c>
    </row>
    <row r="1921" spans="1:15" ht="12.75" customHeight="1" x14ac:dyDescent="0.3">
      <c r="A1921" s="148" t="s">
        <v>1155</v>
      </c>
      <c r="B1921" s="147"/>
      <c r="C1921" s="147"/>
      <c r="D1921" s="147"/>
      <c r="E1921" s="147"/>
      <c r="F1921" s="147"/>
      <c r="G1921" s="148" t="s">
        <v>258</v>
      </c>
      <c r="H1921" s="148" t="s">
        <v>274</v>
      </c>
      <c r="I1921" s="239" t="str">
        <f>IF(ISBLANK(global!I398),"",global!I398)</f>
        <v>User input</v>
      </c>
      <c r="K1921" s="262" t="s">
        <v>259</v>
      </c>
      <c r="O1921" s="262" t="s">
        <v>259</v>
      </c>
    </row>
    <row r="1922" spans="1:15" ht="12.75" customHeight="1" x14ac:dyDescent="0.3">
      <c r="A1922" s="17"/>
      <c r="B1922" s="17"/>
      <c r="C1922" s="17"/>
      <c r="D1922" s="17"/>
      <c r="E1922" s="17"/>
      <c r="F1922" s="17"/>
      <c r="G1922" s="17"/>
      <c r="H1922" s="17"/>
      <c r="I1922" s="239" t="str">
        <f>IF(ISBLANK(global!I399),"",global!I399)</f>
        <v/>
      </c>
      <c r="K1922" s="262" t="s">
        <v>4241</v>
      </c>
      <c r="O1922" s="262" t="s">
        <v>4241</v>
      </c>
    </row>
    <row r="1923" spans="1:15" ht="12.75" customHeight="1" x14ac:dyDescent="0.3">
      <c r="A1923" s="38" t="s">
        <v>2644</v>
      </c>
      <c r="B1923" s="17"/>
      <c r="C1923" s="17"/>
      <c r="D1923" s="17"/>
      <c r="E1923" s="17"/>
      <c r="F1923" s="17"/>
      <c r="G1923" s="38" t="s">
        <v>3026</v>
      </c>
      <c r="H1923" s="38" t="s">
        <v>617</v>
      </c>
      <c r="I1923" s="239" t="str">
        <f>IF(ISBLANK(global!I400),"",global!I400)</f>
        <v/>
      </c>
      <c r="K1923" s="262" t="s">
        <v>4241</v>
      </c>
      <c r="O1923" s="262" t="s">
        <v>4241</v>
      </c>
    </row>
    <row r="1924" spans="1:15" ht="12.75" customHeight="1" x14ac:dyDescent="0.3">
      <c r="A1924" s="38" t="s">
        <v>2646</v>
      </c>
      <c r="B1924" s="17"/>
      <c r="C1924" s="17"/>
      <c r="D1924" s="17"/>
      <c r="E1924" s="17"/>
      <c r="F1924" s="17"/>
      <c r="G1924" s="38" t="s">
        <v>3027</v>
      </c>
      <c r="H1924" s="38" t="s">
        <v>617</v>
      </c>
      <c r="I1924" s="239" t="str">
        <f>IF(ISBLANK(global!I401),"",global!I401)</f>
        <v/>
      </c>
      <c r="K1924" s="262" t="s">
        <v>4241</v>
      </c>
      <c r="O1924" s="262" t="s">
        <v>4241</v>
      </c>
    </row>
    <row r="1925" spans="1:15" ht="12.75" customHeight="1" x14ac:dyDescent="0.3">
      <c r="A1925" s="38" t="s">
        <v>2648</v>
      </c>
      <c r="B1925" s="17"/>
      <c r="C1925" s="17"/>
      <c r="D1925" s="17"/>
      <c r="E1925" s="17"/>
      <c r="F1925" s="17"/>
      <c r="G1925" s="38" t="s">
        <v>3028</v>
      </c>
      <c r="H1925" s="38" t="s">
        <v>617</v>
      </c>
      <c r="I1925" s="239" t="str">
        <f>IF(ISBLANK(global!I402),"",global!I402)</f>
        <v/>
      </c>
      <c r="K1925" s="262" t="s">
        <v>4241</v>
      </c>
      <c r="O1925" s="262" t="s">
        <v>4241</v>
      </c>
    </row>
    <row r="1926" spans="1:15" ht="12.75" customHeight="1" x14ac:dyDescent="0.3">
      <c r="A1926" s="38" t="s">
        <v>2650</v>
      </c>
      <c r="B1926" s="17"/>
      <c r="C1926" s="17"/>
      <c r="D1926" s="17"/>
      <c r="E1926" s="17"/>
      <c r="F1926" s="17"/>
      <c r="G1926" s="38" t="s">
        <v>3029</v>
      </c>
      <c r="H1926" s="38" t="s">
        <v>617</v>
      </c>
      <c r="I1926" s="239" t="str">
        <f>IF(ISBLANK(global!I403),"",global!I403)</f>
        <v/>
      </c>
      <c r="K1926" s="262" t="s">
        <v>4241</v>
      </c>
      <c r="O1926" s="262" t="s">
        <v>4241</v>
      </c>
    </row>
    <row r="1927" spans="1:15" ht="12.75" customHeight="1" x14ac:dyDescent="0.3">
      <c r="A1927" s="38"/>
      <c r="B1927" s="38" t="s">
        <v>2091</v>
      </c>
      <c r="C1927" s="17"/>
      <c r="D1927" s="17"/>
      <c r="E1927" s="17"/>
      <c r="F1927" s="17"/>
      <c r="G1927" s="540" t="s">
        <v>3030</v>
      </c>
      <c r="H1927" s="38" t="s">
        <v>617</v>
      </c>
      <c r="I1927" s="239" t="str">
        <f>IF(ISBLANK(global!I404),"",global!I404)</f>
        <v/>
      </c>
      <c r="K1927" s="262" t="s">
        <v>4241</v>
      </c>
      <c r="O1927" s="262" t="s">
        <v>4241</v>
      </c>
    </row>
    <row r="1928" spans="1:15" ht="12.75" customHeight="1" x14ac:dyDescent="0.3">
      <c r="A1928" s="38"/>
      <c r="B1928" s="38"/>
      <c r="C1928" s="17" t="s">
        <v>2093</v>
      </c>
      <c r="D1928" s="17"/>
      <c r="E1928" s="17"/>
      <c r="F1928" s="17"/>
      <c r="G1928" s="540" t="s">
        <v>3031</v>
      </c>
      <c r="H1928" s="38" t="s">
        <v>617</v>
      </c>
      <c r="I1928" s="239" t="str">
        <f>IF(ISBLANK(global!I405),"",global!I405)</f>
        <v/>
      </c>
      <c r="K1928" s="262" t="s">
        <v>4241</v>
      </c>
      <c r="O1928" s="262" t="s">
        <v>4241</v>
      </c>
    </row>
    <row r="1929" spans="1:15" ht="12.75" customHeight="1" x14ac:dyDescent="0.3">
      <c r="A1929" s="38"/>
      <c r="B1929" s="38"/>
      <c r="C1929" s="38"/>
      <c r="D1929" s="38" t="s">
        <v>3032</v>
      </c>
      <c r="E1929" s="17"/>
      <c r="F1929" s="17"/>
      <c r="G1929" s="540" t="s">
        <v>3033</v>
      </c>
      <c r="H1929" s="38" t="s">
        <v>617</v>
      </c>
      <c r="I1929" s="239" t="str">
        <f>IF(ISBLANK(global!I406),"",global!I406)</f>
        <v/>
      </c>
      <c r="K1929" s="262" t="s">
        <v>4241</v>
      </c>
      <c r="O1929" s="262" t="s">
        <v>4241</v>
      </c>
    </row>
    <row r="1930" spans="1:15" ht="12.75" customHeight="1" x14ac:dyDescent="0.3">
      <c r="A1930" s="38"/>
      <c r="B1930" s="38"/>
      <c r="C1930" s="38"/>
      <c r="D1930" s="38" t="s">
        <v>3034</v>
      </c>
      <c r="E1930" s="17"/>
      <c r="F1930" s="17"/>
      <c r="G1930" s="540" t="s">
        <v>3035</v>
      </c>
      <c r="H1930" s="38" t="s">
        <v>617</v>
      </c>
      <c r="I1930" s="239" t="str">
        <f>IF(ISBLANK(global!I407),"",global!I407)</f>
        <v/>
      </c>
      <c r="K1930" s="262" t="s">
        <v>4241</v>
      </c>
      <c r="O1930" s="262" t="s">
        <v>4241</v>
      </c>
    </row>
    <row r="1931" spans="1:15" ht="12.75" customHeight="1" x14ac:dyDescent="0.3">
      <c r="A1931" s="38"/>
      <c r="B1931" s="38"/>
      <c r="C1931" s="17" t="s">
        <v>1188</v>
      </c>
      <c r="D1931" s="17"/>
      <c r="E1931" s="17"/>
      <c r="F1931" s="17"/>
      <c r="G1931" s="17" t="s">
        <v>3036</v>
      </c>
      <c r="H1931" s="17" t="s">
        <v>1190</v>
      </c>
      <c r="I1931" s="239" t="str">
        <f>IF(ISBLANK(global!I408),"",global!I408)</f>
        <v/>
      </c>
      <c r="K1931" s="262" t="s">
        <v>4241</v>
      </c>
      <c r="O1931" s="262" t="s">
        <v>4241</v>
      </c>
    </row>
    <row r="1932" spans="1:15" ht="12.75" customHeight="1" x14ac:dyDescent="0.3">
      <c r="A1932" s="38"/>
      <c r="B1932" s="38"/>
      <c r="C1932" s="17" t="s">
        <v>1191</v>
      </c>
      <c r="D1932" s="17"/>
      <c r="E1932" s="17"/>
      <c r="F1932" s="17"/>
      <c r="G1932" s="17" t="s">
        <v>3037</v>
      </c>
      <c r="H1932" s="17" t="s">
        <v>1190</v>
      </c>
      <c r="I1932" s="239" t="str">
        <f>IF(ISBLANK(global!I409),"",global!I409)</f>
        <v/>
      </c>
      <c r="K1932" s="262" t="s">
        <v>4241</v>
      </c>
      <c r="O1932" s="262" t="s">
        <v>4241</v>
      </c>
    </row>
    <row r="1933" spans="1:15" ht="12.75" customHeight="1" x14ac:dyDescent="0.3">
      <c r="A1933" s="38"/>
      <c r="B1933" s="38"/>
      <c r="C1933" s="38" t="s">
        <v>1193</v>
      </c>
      <c r="D1933" s="17"/>
      <c r="E1933" s="17"/>
      <c r="F1933" s="17"/>
      <c r="G1933" s="146" t="s">
        <v>3039</v>
      </c>
      <c r="H1933" s="31" t="s">
        <v>1195</v>
      </c>
      <c r="I1933" s="239" t="str">
        <f>IF(ISBLANK(global!I410),"",global!I410)</f>
        <v/>
      </c>
      <c r="K1933" s="262" t="s">
        <v>4241</v>
      </c>
      <c r="O1933" s="262" t="s">
        <v>4241</v>
      </c>
    </row>
    <row r="1934" spans="1:15" ht="12.75" customHeight="1" x14ac:dyDescent="0.3">
      <c r="A1934" s="38"/>
      <c r="B1934" s="38"/>
      <c r="C1934" s="38" t="s">
        <v>1196</v>
      </c>
      <c r="D1934" s="17"/>
      <c r="E1934" s="17"/>
      <c r="F1934" s="17"/>
      <c r="G1934" s="38" t="s">
        <v>3040</v>
      </c>
      <c r="H1934" s="146" t="s">
        <v>1195</v>
      </c>
      <c r="I1934" s="239" t="str">
        <f>IF(ISBLANK(global!I411),"",global!I411)</f>
        <v/>
      </c>
      <c r="K1934" s="262" t="s">
        <v>4241</v>
      </c>
      <c r="O1934" s="262" t="s">
        <v>4241</v>
      </c>
    </row>
    <row r="1935" spans="1:15" ht="12.75" customHeight="1" x14ac:dyDescent="0.3">
      <c r="A1935" s="38"/>
      <c r="B1935" s="38"/>
      <c r="C1935" s="38" t="s">
        <v>2103</v>
      </c>
      <c r="D1935" s="17"/>
      <c r="E1935" s="17"/>
      <c r="F1935" s="17"/>
      <c r="G1935" s="38" t="s">
        <v>3041</v>
      </c>
      <c r="H1935" s="146" t="s">
        <v>1195</v>
      </c>
      <c r="I1935" s="239" t="str">
        <f>IF(ISBLANK(global!I412),"",global!I412)</f>
        <v/>
      </c>
      <c r="K1935" s="262" t="s">
        <v>4241</v>
      </c>
      <c r="O1935" s="262" t="s">
        <v>4241</v>
      </c>
    </row>
    <row r="1936" spans="1:15" ht="12.75" customHeight="1" x14ac:dyDescent="0.3">
      <c r="A1936" s="38"/>
      <c r="B1936" s="38"/>
      <c r="C1936" s="17"/>
      <c r="D1936" s="146" t="s">
        <v>1200</v>
      </c>
      <c r="E1936" s="146"/>
      <c r="F1936" s="146"/>
      <c r="G1936" s="146" t="s">
        <v>3042</v>
      </c>
      <c r="H1936" s="31" t="s">
        <v>1195</v>
      </c>
      <c r="I1936" s="239" t="str">
        <f>IF(ISBLANK(global!I413),"",global!I413)</f>
        <v/>
      </c>
      <c r="K1936" s="262" t="s">
        <v>4241</v>
      </c>
      <c r="O1936" s="262" t="s">
        <v>4241</v>
      </c>
    </row>
    <row r="1937" spans="1:15" ht="12.75" customHeight="1" x14ac:dyDescent="0.3">
      <c r="A1937" s="38"/>
      <c r="B1937" s="38"/>
      <c r="C1937" s="17"/>
      <c r="D1937" s="38" t="s">
        <v>2666</v>
      </c>
      <c r="E1937" s="146"/>
      <c r="F1937" s="146"/>
      <c r="G1937" s="146" t="s">
        <v>3043</v>
      </c>
      <c r="H1937" s="146" t="s">
        <v>2668</v>
      </c>
      <c r="I1937" s="239" t="str">
        <f>IF(ISBLANK(global!I414),"",global!I414)</f>
        <v/>
      </c>
      <c r="K1937" s="262" t="s">
        <v>4241</v>
      </c>
      <c r="O1937" s="262" t="s">
        <v>4241</v>
      </c>
    </row>
    <row r="1938" spans="1:15" ht="12.75" customHeight="1" x14ac:dyDescent="0.3">
      <c r="A1938" s="38"/>
      <c r="B1938" s="38"/>
      <c r="C1938" s="17"/>
      <c r="D1938" s="38" t="s">
        <v>1202</v>
      </c>
      <c r="E1938" s="17"/>
      <c r="F1938" s="17"/>
      <c r="G1938" s="146" t="s">
        <v>3044</v>
      </c>
      <c r="H1938" s="38" t="s">
        <v>291</v>
      </c>
      <c r="I1938" s="239" t="str">
        <f>IF(ISBLANK(global!I415),"",global!I415)</f>
        <v/>
      </c>
      <c r="K1938" s="262" t="s">
        <v>4241</v>
      </c>
      <c r="O1938" s="262" t="s">
        <v>4241</v>
      </c>
    </row>
    <row r="1939" spans="1:15" ht="12.75" customHeight="1" x14ac:dyDescent="0.3">
      <c r="A1939" s="38"/>
      <c r="B1939" s="38" t="s">
        <v>1204</v>
      </c>
      <c r="C1939" s="17"/>
      <c r="D1939" s="38"/>
      <c r="E1939" s="17"/>
      <c r="F1939" s="17"/>
      <c r="G1939" s="146" t="s">
        <v>3045</v>
      </c>
      <c r="H1939" s="38" t="s">
        <v>866</v>
      </c>
      <c r="I1939" s="239" t="str">
        <f>IF(ISBLANK(global!I416),"",global!I416)</f>
        <v/>
      </c>
      <c r="K1939" s="262" t="s">
        <v>4241</v>
      </c>
      <c r="O1939" s="262" t="s">
        <v>4241</v>
      </c>
    </row>
    <row r="1940" spans="1:15" ht="12.75" customHeight="1" x14ac:dyDescent="0.3">
      <c r="A1940" s="38"/>
      <c r="B1940" s="38" t="s">
        <v>1206</v>
      </c>
      <c r="C1940" s="17"/>
      <c r="D1940" s="38"/>
      <c r="E1940" s="17"/>
      <c r="F1940" s="17"/>
      <c r="G1940" s="146" t="s">
        <v>3046</v>
      </c>
      <c r="H1940" s="38" t="s">
        <v>866</v>
      </c>
      <c r="I1940" s="239" t="str">
        <f>IF(ISBLANK(global!I417),"",global!I417)</f>
        <v/>
      </c>
      <c r="K1940" s="262" t="s">
        <v>4241</v>
      </c>
      <c r="O1940" s="262" t="s">
        <v>4241</v>
      </c>
    </row>
    <row r="1941" spans="1:15" ht="12.75" customHeight="1" x14ac:dyDescent="0.3">
      <c r="A1941" s="38"/>
      <c r="B1941" s="38" t="s">
        <v>2672</v>
      </c>
      <c r="C1941" s="17"/>
      <c r="D1941" s="38"/>
      <c r="E1941" s="17"/>
      <c r="F1941" s="17"/>
      <c r="G1941" s="146" t="s">
        <v>3047</v>
      </c>
      <c r="H1941" s="38" t="s">
        <v>866</v>
      </c>
      <c r="I1941" s="239" t="str">
        <f>IF(ISBLANK(global!I418),"",global!I418)</f>
        <v/>
      </c>
      <c r="K1941" s="262" t="s">
        <v>4241</v>
      </c>
      <c r="O1941" s="262" t="s">
        <v>4241</v>
      </c>
    </row>
    <row r="1942" spans="1:15" ht="12.75" customHeight="1" x14ac:dyDescent="0.3">
      <c r="A1942" s="38"/>
      <c r="B1942" s="38" t="s">
        <v>2674</v>
      </c>
      <c r="C1942" s="17"/>
      <c r="D1942" s="38"/>
      <c r="E1942" s="17"/>
      <c r="F1942" s="17"/>
      <c r="G1942" s="146" t="s">
        <v>3048</v>
      </c>
      <c r="H1942" s="38" t="s">
        <v>866</v>
      </c>
      <c r="I1942" s="239" t="str">
        <f>IF(ISBLANK(global!I419),"",global!I419)</f>
        <v/>
      </c>
      <c r="K1942" s="262" t="s">
        <v>4241</v>
      </c>
      <c r="O1942" s="262" t="s">
        <v>4241</v>
      </c>
    </row>
    <row r="1943" spans="1:15" ht="12.75" customHeight="1" x14ac:dyDescent="0.3">
      <c r="A1943" s="17"/>
      <c r="B1943" s="38"/>
      <c r="C1943" s="17" t="s">
        <v>1215</v>
      </c>
      <c r="D1943" s="17"/>
      <c r="E1943" s="17"/>
      <c r="F1943" s="17"/>
      <c r="G1943" s="17" t="s">
        <v>3049</v>
      </c>
      <c r="H1943" s="31" t="s">
        <v>1195</v>
      </c>
      <c r="I1943" s="239" t="str">
        <f>IF(ISBLANK(global!I420),"",global!I420)</f>
        <v/>
      </c>
      <c r="K1943" s="262" t="s">
        <v>4241</v>
      </c>
      <c r="O1943" s="262" t="s">
        <v>4241</v>
      </c>
    </row>
    <row r="1944" spans="1:15" ht="12.75" customHeight="1" x14ac:dyDescent="0.3">
      <c r="A1944" s="17"/>
      <c r="B1944" s="38"/>
      <c r="C1944" s="17" t="s">
        <v>1217</v>
      </c>
      <c r="D1944" s="17"/>
      <c r="E1944" s="17"/>
      <c r="F1944" s="17"/>
      <c r="G1944" s="17" t="s">
        <v>3050</v>
      </c>
      <c r="H1944" s="31" t="s">
        <v>1195</v>
      </c>
      <c r="I1944" s="239" t="str">
        <f>IF(ISBLANK(global!I421),"",global!I421)</f>
        <v/>
      </c>
      <c r="K1944" s="262" t="s">
        <v>4241</v>
      </c>
      <c r="O1944" s="262" t="s">
        <v>4241</v>
      </c>
    </row>
    <row r="1945" spans="1:15" ht="12.75" customHeight="1" x14ac:dyDescent="0.3">
      <c r="A1945" s="38"/>
      <c r="B1945" s="17"/>
      <c r="C1945" s="146" t="s">
        <v>2678</v>
      </c>
      <c r="D1945" s="17"/>
      <c r="E1945" s="17"/>
      <c r="F1945" s="17"/>
      <c r="G1945" s="38" t="s">
        <v>3051</v>
      </c>
      <c r="H1945" s="31" t="s">
        <v>1195</v>
      </c>
      <c r="I1945" s="239" t="str">
        <f>IF(ISBLANK(global!I422),"",global!I422)</f>
        <v/>
      </c>
      <c r="K1945" s="262" t="s">
        <v>4241</v>
      </c>
      <c r="O1945" s="262" t="s">
        <v>4241</v>
      </c>
    </row>
    <row r="1946" spans="1:15" ht="12.75" customHeight="1" x14ac:dyDescent="0.3">
      <c r="A1946" s="38"/>
      <c r="B1946" s="38"/>
      <c r="C1946" s="17" t="s">
        <v>1225</v>
      </c>
      <c r="D1946" s="17"/>
      <c r="E1946" s="146"/>
      <c r="F1946" s="146"/>
      <c r="G1946" s="17" t="s">
        <v>3052</v>
      </c>
      <c r="H1946" s="31" t="s">
        <v>1195</v>
      </c>
      <c r="I1946" s="239" t="str">
        <f>IF(ISBLANK(global!I423),"",global!I423)</f>
        <v/>
      </c>
      <c r="K1946" s="262" t="s">
        <v>4241</v>
      </c>
      <c r="O1946" s="262" t="s">
        <v>4241</v>
      </c>
    </row>
    <row r="1947" spans="1:15" ht="12.75" customHeight="1" x14ac:dyDescent="0.3">
      <c r="A1947" s="38"/>
      <c r="B1947" s="38"/>
      <c r="C1947" s="17" t="s">
        <v>1227</v>
      </c>
      <c r="D1947" s="17"/>
      <c r="E1947" s="17"/>
      <c r="F1947" s="17"/>
      <c r="G1947" s="17" t="s">
        <v>3053</v>
      </c>
      <c r="H1947" s="146" t="s">
        <v>1195</v>
      </c>
      <c r="I1947" s="239" t="str">
        <f>IF(ISBLANK(global!I424),"",global!I424)</f>
        <v/>
      </c>
      <c r="K1947" s="262" t="s">
        <v>4241</v>
      </c>
      <c r="O1947" s="262" t="s">
        <v>4241</v>
      </c>
    </row>
    <row r="1948" spans="1:15" ht="12.75" customHeight="1" x14ac:dyDescent="0.3">
      <c r="A1948" s="38"/>
      <c r="B1948" s="38"/>
      <c r="C1948" s="17" t="s">
        <v>1229</v>
      </c>
      <c r="D1948" s="17"/>
      <c r="E1948" s="146"/>
      <c r="F1948" s="17"/>
      <c r="G1948" s="38" t="s">
        <v>3054</v>
      </c>
      <c r="H1948" s="17" t="s">
        <v>291</v>
      </c>
      <c r="I1948" s="239" t="str">
        <f>IF(ISBLANK(global!I425),"",global!I425)</f>
        <v/>
      </c>
      <c r="K1948" s="262" t="s">
        <v>4241</v>
      </c>
      <c r="O1948" s="262" t="s">
        <v>4241</v>
      </c>
    </row>
    <row r="1949" spans="1:15" ht="12.75" customHeight="1" x14ac:dyDescent="0.3">
      <c r="A1949" s="17"/>
      <c r="B1949" s="17"/>
      <c r="C1949" s="17"/>
      <c r="D1949" s="17"/>
      <c r="E1949" s="17"/>
      <c r="F1949" s="17"/>
      <c r="G1949" s="17"/>
      <c r="H1949" s="17"/>
      <c r="I1949" s="239" t="str">
        <f>IF(ISBLANK(global!I426),"",global!I426)</f>
        <v/>
      </c>
      <c r="K1949" s="262" t="s">
        <v>4241</v>
      </c>
      <c r="O1949" s="262" t="s">
        <v>4241</v>
      </c>
    </row>
    <row r="1950" spans="1:15" ht="12.75" customHeight="1" x14ac:dyDescent="0.3">
      <c r="A1950" s="38" t="s">
        <v>2683</v>
      </c>
      <c r="B1950" s="17"/>
      <c r="C1950" s="17"/>
      <c r="D1950" s="17"/>
      <c r="E1950" s="17"/>
      <c r="F1950" s="17"/>
      <c r="G1950" s="38" t="s">
        <v>3055</v>
      </c>
      <c r="H1950" s="38" t="s">
        <v>617</v>
      </c>
      <c r="I1950" s="239" t="str">
        <f>IF(ISBLANK(global!I427),"",global!I427)</f>
        <v/>
      </c>
      <c r="K1950" s="262" t="s">
        <v>4241</v>
      </c>
      <c r="O1950" s="262" t="s">
        <v>4241</v>
      </c>
    </row>
    <row r="1951" spans="1:15" ht="12.75" customHeight="1" x14ac:dyDescent="0.3">
      <c r="A1951" s="38" t="s">
        <v>2685</v>
      </c>
      <c r="B1951" s="17"/>
      <c r="C1951" s="17"/>
      <c r="D1951" s="17"/>
      <c r="E1951" s="17"/>
      <c r="F1951" s="17"/>
      <c r="G1951" s="38" t="s">
        <v>3056</v>
      </c>
      <c r="H1951" s="38" t="s">
        <v>617</v>
      </c>
      <c r="I1951" s="239" t="str">
        <f>IF(ISBLANK(global!I428),"",global!I428)</f>
        <v/>
      </c>
      <c r="K1951" s="262" t="s">
        <v>4241</v>
      </c>
      <c r="O1951" s="262" t="s">
        <v>4241</v>
      </c>
    </row>
    <row r="1952" spans="1:15" ht="12.75" customHeight="1" x14ac:dyDescent="0.3">
      <c r="A1952" s="38"/>
      <c r="B1952" s="38" t="s">
        <v>2687</v>
      </c>
      <c r="C1952" s="17"/>
      <c r="D1952" s="17"/>
      <c r="E1952" s="17"/>
      <c r="F1952" s="17"/>
      <c r="G1952" s="540" t="s">
        <v>3057</v>
      </c>
      <c r="H1952" s="38" t="s">
        <v>1195</v>
      </c>
      <c r="I1952" s="239" t="str">
        <f>IF(ISBLANK(global!I429),"",global!I429)</f>
        <v/>
      </c>
      <c r="K1952" s="262" t="s">
        <v>4241</v>
      </c>
      <c r="O1952" s="262" t="s">
        <v>4241</v>
      </c>
    </row>
    <row r="1953" spans="1:15" ht="12.75" customHeight="1" x14ac:dyDescent="0.3">
      <c r="A1953" s="38"/>
      <c r="B1953" s="38" t="s">
        <v>2689</v>
      </c>
      <c r="C1953" s="17"/>
      <c r="D1953" s="17"/>
      <c r="E1953" s="17"/>
      <c r="F1953" s="17"/>
      <c r="G1953" s="540" t="s">
        <v>3058</v>
      </c>
      <c r="H1953" s="38" t="s">
        <v>1195</v>
      </c>
      <c r="I1953" s="239" t="str">
        <f>IF(ISBLANK(global!I430),"",global!I430)</f>
        <v/>
      </c>
      <c r="K1953" s="262" t="s">
        <v>4241</v>
      </c>
      <c r="O1953" s="262" t="s">
        <v>4241</v>
      </c>
    </row>
    <row r="1954" spans="1:15" ht="12.75" customHeight="1" x14ac:dyDescent="0.3">
      <c r="A1954" s="38"/>
      <c r="B1954" s="38"/>
      <c r="C1954" s="38" t="s">
        <v>1261</v>
      </c>
      <c r="D1954" s="38"/>
      <c r="E1954" s="17"/>
      <c r="F1954" s="17"/>
      <c r="G1954" s="146" t="s">
        <v>3059</v>
      </c>
      <c r="H1954" s="31" t="s">
        <v>1195</v>
      </c>
      <c r="I1954" s="239" t="str">
        <f>IF(ISBLANK(global!I431),"",global!I431)</f>
        <v/>
      </c>
      <c r="K1954" s="262" t="s">
        <v>4241</v>
      </c>
      <c r="O1954" s="262" t="s">
        <v>4241</v>
      </c>
    </row>
    <row r="1955" spans="1:15" ht="12.75" customHeight="1" x14ac:dyDescent="0.3">
      <c r="A1955" s="38"/>
      <c r="B1955" s="38"/>
      <c r="C1955" s="17"/>
      <c r="D1955" s="38" t="s">
        <v>1265</v>
      </c>
      <c r="E1955" s="146"/>
      <c r="F1955" s="146"/>
      <c r="G1955" s="146" t="s">
        <v>3060</v>
      </c>
      <c r="H1955" s="31" t="s">
        <v>1195</v>
      </c>
      <c r="I1955" s="239" t="str">
        <f>IF(ISBLANK(global!I432),"",global!I432)</f>
        <v/>
      </c>
      <c r="K1955" s="262" t="s">
        <v>4241</v>
      </c>
      <c r="O1955" s="262" t="s">
        <v>4241</v>
      </c>
    </row>
    <row r="1956" spans="1:15" ht="12.75" customHeight="1" x14ac:dyDescent="0.3">
      <c r="A1956" s="38"/>
      <c r="B1956" s="38"/>
      <c r="C1956" s="17"/>
      <c r="D1956" s="38" t="s">
        <v>2693</v>
      </c>
      <c r="E1956" s="146"/>
      <c r="F1956" s="146"/>
      <c r="G1956" s="146" t="s">
        <v>3061</v>
      </c>
      <c r="H1956" s="31" t="s">
        <v>1195</v>
      </c>
      <c r="I1956" s="239" t="str">
        <f>IF(ISBLANK(global!I433),"",global!I433)</f>
        <v/>
      </c>
      <c r="K1956" s="262" t="s">
        <v>4241</v>
      </c>
      <c r="O1956" s="262" t="s">
        <v>4241</v>
      </c>
    </row>
    <row r="1957" spans="1:15" ht="12.75" customHeight="1" x14ac:dyDescent="0.3">
      <c r="A1957" s="38"/>
      <c r="B1957" s="38"/>
      <c r="C1957" s="38"/>
      <c r="D1957" s="17"/>
      <c r="E1957" s="38" t="s">
        <v>2695</v>
      </c>
      <c r="F1957" s="38"/>
      <c r="G1957" s="146" t="s">
        <v>3062</v>
      </c>
      <c r="H1957" s="38" t="s">
        <v>1277</v>
      </c>
      <c r="I1957" s="239" t="str">
        <f>IF(ISBLANK(global!I434),"",global!I434)</f>
        <v/>
      </c>
      <c r="K1957" s="262" t="s">
        <v>4241</v>
      </c>
      <c r="O1957" s="262" t="s">
        <v>4241</v>
      </c>
    </row>
    <row r="1958" spans="1:15" ht="12.75" customHeight="1" x14ac:dyDescent="0.3">
      <c r="A1958" s="38"/>
      <c r="B1958" s="17" t="s">
        <v>2698</v>
      </c>
      <c r="C1958" s="146"/>
      <c r="D1958" s="146"/>
      <c r="E1958" s="17"/>
      <c r="F1958" s="17"/>
      <c r="G1958" s="540" t="s">
        <v>3064</v>
      </c>
      <c r="H1958" s="38" t="s">
        <v>1195</v>
      </c>
      <c r="I1958" s="239" t="str">
        <f>IF(ISBLANK(global!I435),"",global!I435)</f>
        <v/>
      </c>
      <c r="K1958" s="262" t="s">
        <v>4241</v>
      </c>
      <c r="O1958" s="262" t="s">
        <v>4241</v>
      </c>
    </row>
    <row r="1959" spans="1:15" ht="12.75" customHeight="1" x14ac:dyDescent="0.3">
      <c r="A1959" s="38"/>
      <c r="B1959" s="17" t="s">
        <v>2700</v>
      </c>
      <c r="C1959" s="146"/>
      <c r="D1959" s="146"/>
      <c r="E1959" s="17"/>
      <c r="F1959" s="17"/>
      <c r="G1959" s="540" t="s">
        <v>3065</v>
      </c>
      <c r="H1959" s="38" t="s">
        <v>1195</v>
      </c>
      <c r="I1959" s="239" t="str">
        <f>IF(ISBLANK(global!I436),"",global!I436)</f>
        <v/>
      </c>
      <c r="K1959" s="262" t="s">
        <v>4241</v>
      </c>
      <c r="O1959" s="262" t="s">
        <v>4241</v>
      </c>
    </row>
    <row r="1960" spans="1:15" ht="12.75" customHeight="1" x14ac:dyDescent="0.3">
      <c r="A1960" s="38"/>
      <c r="B1960" s="38"/>
      <c r="C1960" s="17" t="s">
        <v>1289</v>
      </c>
      <c r="D1960" s="17"/>
      <c r="E1960" s="17"/>
      <c r="F1960" s="17"/>
      <c r="G1960" s="17" t="s">
        <v>3066</v>
      </c>
      <c r="H1960" s="31" t="s">
        <v>1195</v>
      </c>
      <c r="I1960" s="239" t="str">
        <f>IF(ISBLANK(global!I437),"",global!I437)</f>
        <v/>
      </c>
      <c r="K1960" s="262" t="s">
        <v>4241</v>
      </c>
      <c r="O1960" s="262" t="s">
        <v>4241</v>
      </c>
    </row>
    <row r="1961" spans="1:15" ht="12.75" customHeight="1" x14ac:dyDescent="0.3">
      <c r="A1961" s="38"/>
      <c r="B1961" s="38"/>
      <c r="C1961" s="17" t="s">
        <v>1291</v>
      </c>
      <c r="D1961" s="17"/>
      <c r="E1961" s="17"/>
      <c r="F1961" s="17"/>
      <c r="G1961" s="17" t="s">
        <v>3067</v>
      </c>
      <c r="H1961" s="31" t="s">
        <v>1195</v>
      </c>
      <c r="I1961" s="239" t="str">
        <f>IF(ISBLANK(global!I438),"",global!I438)</f>
        <v/>
      </c>
      <c r="K1961" s="262" t="s">
        <v>4241</v>
      </c>
      <c r="O1961" s="262" t="s">
        <v>4241</v>
      </c>
    </row>
    <row r="1962" spans="1:15" ht="12.75" customHeight="1" x14ac:dyDescent="0.3">
      <c r="A1962" s="17"/>
      <c r="B1962" s="17"/>
      <c r="C1962" s="17"/>
      <c r="D1962" s="17"/>
      <c r="E1962" s="17"/>
      <c r="F1962" s="17"/>
      <c r="G1962" s="17"/>
      <c r="H1962" s="17"/>
      <c r="I1962" s="239" t="str">
        <f>IF(ISBLANK(global!I439),"",global!I439)</f>
        <v/>
      </c>
      <c r="K1962" s="262" t="s">
        <v>4241</v>
      </c>
      <c r="O1962" s="262" t="s">
        <v>4241</v>
      </c>
    </row>
    <row r="1963" spans="1:15" ht="12.75" customHeight="1" x14ac:dyDescent="0.3">
      <c r="A1963" s="38" t="s">
        <v>3068</v>
      </c>
      <c r="B1963" s="17"/>
      <c r="C1963" s="17"/>
      <c r="D1963" s="17"/>
      <c r="E1963" s="17"/>
      <c r="F1963" s="17"/>
      <c r="G1963" s="38" t="s">
        <v>3069</v>
      </c>
      <c r="H1963" s="38" t="s">
        <v>617</v>
      </c>
      <c r="I1963" s="239" t="str">
        <f>IF(ISBLANK(global!I440),"",global!I440)</f>
        <v/>
      </c>
      <c r="K1963" s="262" t="s">
        <v>4241</v>
      </c>
      <c r="O1963" s="262" t="s">
        <v>4241</v>
      </c>
    </row>
    <row r="1964" spans="1:15" ht="12.75" customHeight="1" x14ac:dyDescent="0.3">
      <c r="A1964" s="17"/>
      <c r="B1964" s="17"/>
      <c r="C1964" s="146" t="s">
        <v>2706</v>
      </c>
      <c r="D1964" s="17"/>
      <c r="E1964" s="17"/>
      <c r="F1964" s="17"/>
      <c r="G1964" s="146" t="s">
        <v>3070</v>
      </c>
      <c r="H1964" s="146" t="s">
        <v>1195</v>
      </c>
      <c r="I1964" s="239" t="str">
        <f>IF(ISBLANK(global!I441),"",global!I441)</f>
        <v/>
      </c>
      <c r="K1964" s="262" t="s">
        <v>4241</v>
      </c>
      <c r="O1964" s="262" t="s">
        <v>4241</v>
      </c>
    </row>
    <row r="1965" spans="1:15" ht="12.75" customHeight="1" x14ac:dyDescent="0.3">
      <c r="A1965" s="17"/>
      <c r="B1965" s="17"/>
      <c r="C1965" s="38" t="s">
        <v>2708</v>
      </c>
      <c r="D1965" s="17"/>
      <c r="E1965" s="17"/>
      <c r="F1965" s="17"/>
      <c r="G1965" s="146" t="s">
        <v>3071</v>
      </c>
      <c r="H1965" s="38" t="s">
        <v>291</v>
      </c>
      <c r="I1965" s="239" t="str">
        <f>IF(ISBLANK(global!I442),"",global!I442)</f>
        <v/>
      </c>
      <c r="K1965" s="262" t="s">
        <v>4241</v>
      </c>
      <c r="O1965" s="262" t="s">
        <v>4241</v>
      </c>
    </row>
    <row r="1966" spans="1:15" ht="12.75" customHeight="1" x14ac:dyDescent="0.3">
      <c r="A1966" s="38"/>
      <c r="B1966" s="38"/>
      <c r="C1966" s="17" t="s">
        <v>1229</v>
      </c>
      <c r="D1966" s="17"/>
      <c r="E1966" s="146"/>
      <c r="F1966" s="146"/>
      <c r="G1966" s="38" t="s">
        <v>3072</v>
      </c>
      <c r="H1966" s="17" t="s">
        <v>291</v>
      </c>
      <c r="I1966" s="239" t="str">
        <f>IF(ISBLANK(global!I443),"",global!I443)</f>
        <v/>
      </c>
      <c r="K1966" s="262" t="s">
        <v>4241</v>
      </c>
      <c r="O1966" s="262" t="s">
        <v>4241</v>
      </c>
    </row>
    <row r="1967" spans="1:15" ht="12.75" customHeight="1" x14ac:dyDescent="0.3">
      <c r="A1967" s="17"/>
      <c r="B1967" s="17"/>
      <c r="C1967" s="17"/>
      <c r="D1967" s="146"/>
      <c r="E1967" s="17"/>
      <c r="F1967" s="17"/>
      <c r="G1967" s="17"/>
      <c r="H1967" s="17"/>
      <c r="I1967" s="239" t="str">
        <f>IF(ISBLANK(global!I444),"",global!I444)</f>
        <v/>
      </c>
      <c r="K1967" s="262" t="s">
        <v>4241</v>
      </c>
      <c r="O1967" s="262" t="s">
        <v>4241</v>
      </c>
    </row>
    <row r="1968" spans="1:15" ht="12.75" customHeight="1" x14ac:dyDescent="0.3">
      <c r="A1968" s="148" t="s">
        <v>1314</v>
      </c>
      <c r="B1968" s="147"/>
      <c r="C1968" s="147"/>
      <c r="D1968" s="147"/>
      <c r="E1968" s="147"/>
      <c r="F1968" s="147"/>
      <c r="G1968" s="148" t="s">
        <v>258</v>
      </c>
      <c r="H1968" s="148" t="s">
        <v>274</v>
      </c>
      <c r="I1968" s="239" t="str">
        <f>IF(ISBLANK(global!I445),"",global!I445)</f>
        <v>User input</v>
      </c>
      <c r="K1968" s="262" t="s">
        <v>259</v>
      </c>
      <c r="O1968" s="262" t="s">
        <v>259</v>
      </c>
    </row>
    <row r="1969" spans="1:15" ht="12.75" customHeight="1" x14ac:dyDescent="0.3">
      <c r="A1969" s="38"/>
      <c r="B1969" s="17"/>
      <c r="C1969" s="17"/>
      <c r="D1969" s="17"/>
      <c r="E1969" s="17"/>
      <c r="F1969" s="17"/>
      <c r="G1969" s="17"/>
      <c r="H1969" s="17"/>
      <c r="I1969" s="239" t="str">
        <f>IF(ISBLANK(global!I446),"",global!I446)</f>
        <v/>
      </c>
      <c r="K1969" s="262" t="s">
        <v>4241</v>
      </c>
      <c r="O1969" s="262" t="s">
        <v>4241</v>
      </c>
    </row>
    <row r="1970" spans="1:15" ht="12.75" customHeight="1" x14ac:dyDescent="0.3">
      <c r="A1970" s="38" t="s">
        <v>1315</v>
      </c>
      <c r="B1970" s="17"/>
      <c r="C1970" s="17"/>
      <c r="D1970" s="17"/>
      <c r="E1970" s="17"/>
      <c r="F1970" s="17"/>
      <c r="G1970" s="38" t="s">
        <v>3073</v>
      </c>
      <c r="H1970" s="38" t="s">
        <v>617</v>
      </c>
      <c r="I1970" s="239" t="str">
        <f>IF(ISBLANK(global!I447),"",global!I447)</f>
        <v/>
      </c>
      <c r="K1970" s="262" t="s">
        <v>4241</v>
      </c>
      <c r="O1970" s="262" t="s">
        <v>4241</v>
      </c>
    </row>
    <row r="1971" spans="1:15" ht="12.75" customHeight="1" x14ac:dyDescent="0.3">
      <c r="A1971" s="38" t="s">
        <v>2712</v>
      </c>
      <c r="B1971" s="17"/>
      <c r="C1971" s="17"/>
      <c r="D1971" s="17"/>
      <c r="E1971" s="17"/>
      <c r="F1971" s="17"/>
      <c r="G1971" s="38" t="s">
        <v>3074</v>
      </c>
      <c r="H1971" s="38" t="s">
        <v>617</v>
      </c>
      <c r="I1971" s="239" t="str">
        <f>IF(ISBLANK(global!I448),"",global!I448)</f>
        <v/>
      </c>
      <c r="K1971" s="262" t="s">
        <v>4241</v>
      </c>
      <c r="O1971" s="262" t="s">
        <v>4241</v>
      </c>
    </row>
    <row r="1972" spans="1:15" ht="12.75" customHeight="1" x14ac:dyDescent="0.3">
      <c r="A1972" s="38" t="s">
        <v>2714</v>
      </c>
      <c r="B1972" s="17"/>
      <c r="C1972" s="17"/>
      <c r="D1972" s="17"/>
      <c r="E1972" s="17"/>
      <c r="F1972" s="17"/>
      <c r="G1972" s="38" t="s">
        <v>3075</v>
      </c>
      <c r="H1972" s="38" t="s">
        <v>617</v>
      </c>
      <c r="I1972" s="239" t="str">
        <f>IF(ISBLANK(global!I449),"",global!I449)</f>
        <v/>
      </c>
      <c r="K1972" s="262" t="s">
        <v>4241</v>
      </c>
      <c r="O1972" s="262" t="s">
        <v>4241</v>
      </c>
    </row>
    <row r="1973" spans="1:15" ht="12.75" customHeight="1" x14ac:dyDescent="0.3">
      <c r="A1973" s="38" t="s">
        <v>2716</v>
      </c>
      <c r="B1973" s="17"/>
      <c r="C1973" s="17"/>
      <c r="D1973" s="17"/>
      <c r="E1973" s="17"/>
      <c r="F1973" s="17"/>
      <c r="G1973" s="38" t="s">
        <v>3076</v>
      </c>
      <c r="H1973" s="38" t="s">
        <v>617</v>
      </c>
      <c r="I1973" s="239" t="str">
        <f>IF(ISBLANK(global!I450),"",global!I450)</f>
        <v/>
      </c>
      <c r="K1973" s="262" t="s">
        <v>4241</v>
      </c>
      <c r="O1973" s="262" t="s">
        <v>4241</v>
      </c>
    </row>
    <row r="1974" spans="1:15" ht="12.75" customHeight="1" x14ac:dyDescent="0.3">
      <c r="A1974" s="38" t="s">
        <v>2718</v>
      </c>
      <c r="B1974" s="17"/>
      <c r="C1974" s="17"/>
      <c r="D1974" s="17"/>
      <c r="E1974" s="17"/>
      <c r="F1974" s="17"/>
      <c r="G1974" s="38" t="s">
        <v>3077</v>
      </c>
      <c r="H1974" s="38" t="s">
        <v>617</v>
      </c>
      <c r="I1974" s="239" t="str">
        <f>IF(ISBLANK(global!I451),"",global!I451)</f>
        <v/>
      </c>
      <c r="K1974" s="262" t="s">
        <v>4241</v>
      </c>
      <c r="O1974" s="262" t="s">
        <v>4241</v>
      </c>
    </row>
    <row r="1975" spans="1:15" ht="12.75" customHeight="1" x14ac:dyDescent="0.3">
      <c r="A1975" s="38"/>
      <c r="B1975" s="38" t="s">
        <v>1335</v>
      </c>
      <c r="C1975" s="146"/>
      <c r="D1975" s="17"/>
      <c r="E1975" s="17"/>
      <c r="F1975" s="17"/>
      <c r="G1975" s="146" t="s">
        <v>3078</v>
      </c>
      <c r="H1975" s="38" t="s">
        <v>617</v>
      </c>
      <c r="I1975" s="239" t="str">
        <f>IF(ISBLANK(global!I452),"",global!I452)</f>
        <v/>
      </c>
      <c r="K1975" s="262" t="s">
        <v>4241</v>
      </c>
      <c r="O1975" s="262" t="s">
        <v>4241</v>
      </c>
    </row>
    <row r="1976" spans="1:15" ht="12.75" customHeight="1" x14ac:dyDescent="0.3">
      <c r="A1976" s="38"/>
      <c r="B1976" s="38" t="s">
        <v>1337</v>
      </c>
      <c r="C1976" s="17"/>
      <c r="D1976" s="17"/>
      <c r="E1976" s="17"/>
      <c r="F1976" s="17"/>
      <c r="G1976" s="38" t="s">
        <v>3079</v>
      </c>
      <c r="H1976" s="38" t="s">
        <v>617</v>
      </c>
      <c r="I1976" s="239" t="str">
        <f>IF(ISBLANK(global!I453),"",global!I453)</f>
        <v/>
      </c>
      <c r="K1976" s="262" t="s">
        <v>4241</v>
      </c>
      <c r="O1976" s="262" t="s">
        <v>4241</v>
      </c>
    </row>
    <row r="1977" spans="1:15" ht="12.75" customHeight="1" x14ac:dyDescent="0.3">
      <c r="A1977" s="146"/>
      <c r="B1977" s="146"/>
      <c r="C1977" s="38" t="s">
        <v>3080</v>
      </c>
      <c r="D1977" s="17"/>
      <c r="E1977" s="17"/>
      <c r="F1977" s="17"/>
      <c r="G1977" s="38" t="s">
        <v>3081</v>
      </c>
      <c r="H1977" s="38" t="s">
        <v>620</v>
      </c>
      <c r="I1977" s="239" t="str">
        <f>IF(ISBLANK(global!I454),"",global!I454)</f>
        <v/>
      </c>
      <c r="K1977" s="262" t="s">
        <v>4241</v>
      </c>
      <c r="O1977" s="262" t="s">
        <v>4241</v>
      </c>
    </row>
    <row r="1978" spans="1:15" ht="12.75" customHeight="1" x14ac:dyDescent="0.3">
      <c r="A1978" s="146"/>
      <c r="B1978" s="146"/>
      <c r="C1978" s="38" t="s">
        <v>2183</v>
      </c>
      <c r="D1978" s="17"/>
      <c r="E1978" s="17"/>
      <c r="F1978" s="17"/>
      <c r="G1978" s="38" t="s">
        <v>3082</v>
      </c>
      <c r="H1978" s="38" t="s">
        <v>291</v>
      </c>
      <c r="I1978" s="239" t="str">
        <f>IF(ISBLANK(global!I455),"",global!I455)</f>
        <v/>
      </c>
      <c r="K1978" s="262" t="s">
        <v>4241</v>
      </c>
      <c r="O1978" s="262" t="s">
        <v>4241</v>
      </c>
    </row>
    <row r="1979" spans="1:15" ht="12.75" customHeight="1" x14ac:dyDescent="0.3">
      <c r="A1979" s="38"/>
      <c r="B1979" s="38" t="s">
        <v>2725</v>
      </c>
      <c r="C1979" s="17"/>
      <c r="D1979" s="17"/>
      <c r="E1979" s="17"/>
      <c r="F1979" s="17"/>
      <c r="G1979" s="38" t="s">
        <v>3083</v>
      </c>
      <c r="H1979" s="38" t="s">
        <v>617</v>
      </c>
      <c r="I1979" s="239" t="str">
        <f>IF(ISBLANK(global!I456),"",global!I456)</f>
        <v/>
      </c>
      <c r="K1979" s="262" t="s">
        <v>4241</v>
      </c>
      <c r="O1979" s="262" t="s">
        <v>4241</v>
      </c>
    </row>
    <row r="1980" spans="1:15" ht="12.75" customHeight="1" x14ac:dyDescent="0.3">
      <c r="A1980" s="38"/>
      <c r="B1980" s="38" t="s">
        <v>2727</v>
      </c>
      <c r="C1980" s="17"/>
      <c r="D1980" s="17"/>
      <c r="E1980" s="17"/>
      <c r="F1980" s="17"/>
      <c r="G1980" s="38" t="s">
        <v>3084</v>
      </c>
      <c r="H1980" s="38" t="s">
        <v>617</v>
      </c>
      <c r="I1980" s="239" t="str">
        <f>IF(ISBLANK(global!I457),"",global!I457)</f>
        <v/>
      </c>
      <c r="K1980" s="262" t="s">
        <v>4241</v>
      </c>
      <c r="O1980" s="262" t="s">
        <v>4241</v>
      </c>
    </row>
    <row r="1981" spans="1:15" ht="12.75" customHeight="1" x14ac:dyDescent="0.3">
      <c r="A1981" s="38"/>
      <c r="B1981" s="38"/>
      <c r="C1981" s="38" t="s">
        <v>2729</v>
      </c>
      <c r="D1981" s="17"/>
      <c r="E1981" s="17"/>
      <c r="F1981" s="17"/>
      <c r="G1981" s="146" t="s">
        <v>3085</v>
      </c>
      <c r="H1981" s="38" t="s">
        <v>1352</v>
      </c>
      <c r="I1981" s="239" t="str">
        <f>IF(ISBLANK(global!I458),"",global!I458)</f>
        <v/>
      </c>
      <c r="K1981" s="262" t="s">
        <v>4241</v>
      </c>
      <c r="O1981" s="262" t="s">
        <v>4241</v>
      </c>
    </row>
    <row r="1982" spans="1:15" ht="12.75" customHeight="1" x14ac:dyDescent="0.3">
      <c r="A1982" s="38"/>
      <c r="B1982" s="38"/>
      <c r="C1982" s="38" t="s">
        <v>3086</v>
      </c>
      <c r="D1982" s="17"/>
      <c r="E1982" s="17"/>
      <c r="F1982" s="17"/>
      <c r="G1982" s="146" t="s">
        <v>3087</v>
      </c>
      <c r="H1982" s="38" t="s">
        <v>1352</v>
      </c>
      <c r="I1982" s="239" t="str">
        <f>IF(ISBLANK(global!I459),"",global!I459)</f>
        <v/>
      </c>
      <c r="K1982" s="262" t="s">
        <v>4241</v>
      </c>
      <c r="O1982" s="262" t="s">
        <v>4241</v>
      </c>
    </row>
    <row r="1983" spans="1:15" ht="12.75" customHeight="1" x14ac:dyDescent="0.3">
      <c r="A1983" s="146"/>
      <c r="B1983" s="146"/>
      <c r="C1983" s="38" t="s">
        <v>1358</v>
      </c>
      <c r="D1983" s="17"/>
      <c r="E1983" s="17"/>
      <c r="F1983" s="17"/>
      <c r="G1983" s="38" t="s">
        <v>3088</v>
      </c>
      <c r="H1983" s="38" t="s">
        <v>291</v>
      </c>
      <c r="I1983" s="239" t="str">
        <f>IF(ISBLANK(global!I460),"",global!I460)</f>
        <v/>
      </c>
      <c r="K1983" s="262" t="s">
        <v>4241</v>
      </c>
      <c r="O1983" s="262" t="s">
        <v>4241</v>
      </c>
    </row>
    <row r="1984" spans="1:15" ht="12.75" customHeight="1" x14ac:dyDescent="0.3">
      <c r="A1984" s="38"/>
      <c r="B1984" s="38" t="s">
        <v>2734</v>
      </c>
      <c r="C1984" s="17"/>
      <c r="D1984" s="17"/>
      <c r="E1984" s="17"/>
      <c r="F1984" s="17"/>
      <c r="G1984" s="38" t="s">
        <v>3089</v>
      </c>
      <c r="H1984" s="38" t="s">
        <v>617</v>
      </c>
      <c r="I1984" s="239" t="str">
        <f>IF(ISBLANK(global!I461),"",global!I461)</f>
        <v/>
      </c>
      <c r="K1984" s="262" t="s">
        <v>4241</v>
      </c>
      <c r="O1984" s="262" t="s">
        <v>4241</v>
      </c>
    </row>
    <row r="1985" spans="1:15" ht="12.75" customHeight="1" x14ac:dyDescent="0.3">
      <c r="A1985" s="38"/>
      <c r="B1985" s="38" t="s">
        <v>2736</v>
      </c>
      <c r="C1985" s="17"/>
      <c r="D1985" s="17"/>
      <c r="E1985" s="17"/>
      <c r="F1985" s="17"/>
      <c r="G1985" s="38" t="s">
        <v>3090</v>
      </c>
      <c r="H1985" s="38" t="s">
        <v>617</v>
      </c>
      <c r="I1985" s="239" t="str">
        <f>IF(ISBLANK(global!I462),"",global!I462)</f>
        <v/>
      </c>
      <c r="K1985" s="262" t="s">
        <v>4241</v>
      </c>
      <c r="O1985" s="262" t="s">
        <v>4241</v>
      </c>
    </row>
    <row r="1986" spans="1:15" ht="12.75" customHeight="1" x14ac:dyDescent="0.3">
      <c r="A1986" s="17"/>
      <c r="B1986" s="17"/>
      <c r="C1986" s="38" t="s">
        <v>2738</v>
      </c>
      <c r="D1986" s="17"/>
      <c r="E1986" s="17"/>
      <c r="F1986" s="17"/>
      <c r="G1986" s="146" t="s">
        <v>3091</v>
      </c>
      <c r="H1986" s="38" t="s">
        <v>291</v>
      </c>
      <c r="I1986" s="239" t="str">
        <f>IF(ISBLANK(global!I463),"",global!I463)</f>
        <v/>
      </c>
      <c r="K1986" s="262" t="s">
        <v>4241</v>
      </c>
      <c r="O1986" s="262" t="s">
        <v>4241</v>
      </c>
    </row>
    <row r="1987" spans="1:15" ht="12.75" customHeight="1" x14ac:dyDescent="0.3">
      <c r="A1987" s="38"/>
      <c r="B1987" s="38"/>
      <c r="C1987" s="17" t="s">
        <v>1229</v>
      </c>
      <c r="D1987" s="17"/>
      <c r="E1987" s="146"/>
      <c r="F1987" s="146"/>
      <c r="G1987" s="38" t="s">
        <v>3092</v>
      </c>
      <c r="H1987" s="17" t="s">
        <v>291</v>
      </c>
      <c r="I1987" s="239" t="str">
        <f>IF(ISBLANK(global!I464),"",global!I464)</f>
        <v/>
      </c>
      <c r="K1987" s="262" t="s">
        <v>4241</v>
      </c>
      <c r="O1987" s="262" t="s">
        <v>4241</v>
      </c>
    </row>
    <row r="1988" spans="1:15" ht="12.75" customHeight="1" x14ac:dyDescent="0.3">
      <c r="A1988" s="168"/>
      <c r="B1988" s="168"/>
      <c r="C1988" s="168"/>
      <c r="D1988" s="168"/>
      <c r="E1988" s="168"/>
      <c r="F1988" s="168"/>
      <c r="G1988" s="168"/>
      <c r="H1988" s="168"/>
      <c r="I1988" s="239" t="str">
        <f>IF(ISBLANK(global!I465),"",global!I465)</f>
        <v/>
      </c>
      <c r="K1988" s="262" t="s">
        <v>4241</v>
      </c>
      <c r="O1988" s="262" t="s">
        <v>4241</v>
      </c>
    </row>
    <row r="1989" spans="1:15" ht="12.75" customHeight="1" x14ac:dyDescent="0.3">
      <c r="A1989" s="630" t="s">
        <v>1382</v>
      </c>
      <c r="B1989" s="413"/>
      <c r="C1989" s="413"/>
      <c r="D1989" s="413"/>
      <c r="E1989" s="413"/>
      <c r="F1989" s="413"/>
      <c r="G1989" s="630" t="s">
        <v>258</v>
      </c>
      <c r="H1989" s="630" t="s">
        <v>274</v>
      </c>
      <c r="I1989" s="239" t="str">
        <f>IF(ISBLANK(global!I466),"",global!I466)</f>
        <v>User input</v>
      </c>
      <c r="K1989" s="262" t="s">
        <v>259</v>
      </c>
      <c r="O1989" s="262" t="s">
        <v>259</v>
      </c>
    </row>
    <row r="1990" spans="1:15" ht="12.75" customHeight="1" x14ac:dyDescent="0.3">
      <c r="A1990" s="410" t="s">
        <v>3093</v>
      </c>
      <c r="B1990" s="410"/>
      <c r="C1990" s="410"/>
      <c r="D1990" s="410"/>
      <c r="E1990" s="410"/>
      <c r="F1990" s="410"/>
      <c r="G1990" s="654"/>
      <c r="H1990" s="654"/>
      <c r="I1990" s="239" t="str">
        <f>IF(ISBLANK(global!I467),"",global!I467)</f>
        <v/>
      </c>
      <c r="K1990" s="262" t="s">
        <v>4241</v>
      </c>
      <c r="O1990" s="262" t="s">
        <v>4241</v>
      </c>
    </row>
    <row r="1991" spans="1:15" ht="12.75" customHeight="1" x14ac:dyDescent="0.3">
      <c r="A1991" s="566" t="s">
        <v>1386</v>
      </c>
      <c r="B1991" s="566"/>
      <c r="C1991" s="566"/>
      <c r="D1991" s="566"/>
      <c r="E1991" s="566"/>
      <c r="F1991" s="566"/>
      <c r="G1991" s="566" t="s">
        <v>3094</v>
      </c>
      <c r="H1991" s="567" t="s">
        <v>335</v>
      </c>
      <c r="I1991" s="239" t="str">
        <f>IF(ISBLANK(global!I468),"",global!I468)</f>
        <v/>
      </c>
      <c r="K1991" s="262" t="s">
        <v>4241</v>
      </c>
      <c r="O1991" s="262" t="s">
        <v>4241</v>
      </c>
    </row>
    <row r="1992" spans="1:15" ht="12.75" customHeight="1" x14ac:dyDescent="0.3">
      <c r="A1992" s="566"/>
      <c r="B1992" s="566" t="s">
        <v>1389</v>
      </c>
      <c r="C1992" s="566"/>
      <c r="D1992" s="566"/>
      <c r="E1992" s="566"/>
      <c r="F1992" s="566"/>
      <c r="G1992" s="566" t="s">
        <v>3095</v>
      </c>
      <c r="H1992" s="566" t="s">
        <v>335</v>
      </c>
      <c r="I1992" s="239" t="str">
        <f>IF(ISBLANK(global!I469),"",global!I469)</f>
        <v/>
      </c>
      <c r="K1992" s="262" t="s">
        <v>4241</v>
      </c>
      <c r="O1992" s="262" t="s">
        <v>4241</v>
      </c>
    </row>
    <row r="1993" spans="1:15" ht="12.75" customHeight="1" x14ac:dyDescent="0.3">
      <c r="A1993" s="566"/>
      <c r="B1993" s="566"/>
      <c r="C1993" s="566" t="s">
        <v>706</v>
      </c>
      <c r="D1993" s="566"/>
      <c r="E1993" s="566"/>
      <c r="F1993" s="566"/>
      <c r="G1993" s="566" t="s">
        <v>3096</v>
      </c>
      <c r="H1993" s="567" t="s">
        <v>708</v>
      </c>
      <c r="I1993" s="239" t="str">
        <f>IF(ISBLANK(global!I470),"",global!I470)</f>
        <v/>
      </c>
      <c r="K1993" s="262" t="s">
        <v>4241</v>
      </c>
      <c r="O1993" s="262" t="s">
        <v>4241</v>
      </c>
    </row>
    <row r="1994" spans="1:15" ht="12.75" customHeight="1" x14ac:dyDescent="0.3">
      <c r="A1994" s="566"/>
      <c r="B1994" s="566"/>
      <c r="C1994" s="566" t="s">
        <v>1396</v>
      </c>
      <c r="D1994" s="566"/>
      <c r="E1994" s="566"/>
      <c r="F1994" s="566"/>
      <c r="G1994" s="567" t="s">
        <v>3097</v>
      </c>
      <c r="H1994" s="567" t="s">
        <v>866</v>
      </c>
      <c r="I1994" s="239" t="str">
        <f>IF(ISBLANK(global!I471),"",global!I471)</f>
        <v/>
      </c>
      <c r="K1994" s="262" t="s">
        <v>4241</v>
      </c>
      <c r="O1994" s="262" t="s">
        <v>4241</v>
      </c>
    </row>
    <row r="1995" spans="1:15" ht="12.75" customHeight="1" x14ac:dyDescent="0.3">
      <c r="A1995" s="566"/>
      <c r="B1995" s="566"/>
      <c r="C1995" s="566" t="s">
        <v>1394</v>
      </c>
      <c r="D1995" s="566"/>
      <c r="E1995" s="566"/>
      <c r="F1995" s="566"/>
      <c r="G1995" s="566" t="s">
        <v>3098</v>
      </c>
      <c r="H1995" s="566" t="s">
        <v>900</v>
      </c>
      <c r="I1995" s="239" t="str">
        <f>IF(ISBLANK(global!I472),"",global!I472)</f>
        <v/>
      </c>
      <c r="K1995" s="262" t="s">
        <v>4241</v>
      </c>
      <c r="O1995" s="262" t="s">
        <v>4241</v>
      </c>
    </row>
    <row r="1996" spans="1:15" ht="12.75" customHeight="1" x14ac:dyDescent="0.3">
      <c r="A1996" s="566"/>
      <c r="B1996" s="566"/>
      <c r="C1996" s="566" t="s">
        <v>1391</v>
      </c>
      <c r="D1996" s="566"/>
      <c r="E1996" s="566"/>
      <c r="F1996" s="566"/>
      <c r="G1996" s="567" t="s">
        <v>3099</v>
      </c>
      <c r="H1996" s="567" t="s">
        <v>291</v>
      </c>
      <c r="I1996" s="239" t="str">
        <f>IF(ISBLANK(global!I473),"",global!I473)</f>
        <v/>
      </c>
      <c r="K1996" s="262" t="s">
        <v>4241</v>
      </c>
      <c r="O1996" s="262" t="s">
        <v>4241</v>
      </c>
    </row>
    <row r="1997" spans="1:15" ht="12.75" customHeight="1" x14ac:dyDescent="0.3">
      <c r="A1997" s="566" t="s">
        <v>1398</v>
      </c>
      <c r="B1997" s="566"/>
      <c r="C1997" s="566"/>
      <c r="D1997" s="566"/>
      <c r="E1997" s="566"/>
      <c r="F1997" s="566"/>
      <c r="G1997" s="566" t="s">
        <v>3100</v>
      </c>
      <c r="H1997" s="566" t="s">
        <v>335</v>
      </c>
      <c r="I1997" s="239" t="str">
        <f>IF(ISBLANK(global!I474),"",global!I474)</f>
        <v/>
      </c>
      <c r="K1997" s="262" t="s">
        <v>4241</v>
      </c>
      <c r="O1997" s="262" t="s">
        <v>4241</v>
      </c>
    </row>
    <row r="1998" spans="1:15" ht="12.75" customHeight="1" x14ac:dyDescent="0.3">
      <c r="A1998" s="566"/>
      <c r="B1998" s="566"/>
      <c r="C1998" s="566" t="s">
        <v>710</v>
      </c>
      <c r="D1998" s="566"/>
      <c r="E1998" s="566"/>
      <c r="F1998" s="566"/>
      <c r="G1998" s="566" t="s">
        <v>3101</v>
      </c>
      <c r="H1998" s="567" t="s">
        <v>708</v>
      </c>
      <c r="I1998" s="239" t="str">
        <f>IF(ISBLANK(global!I475),"",global!I475)</f>
        <v/>
      </c>
      <c r="K1998" s="262" t="s">
        <v>4241</v>
      </c>
      <c r="O1998" s="262" t="s">
        <v>4241</v>
      </c>
    </row>
    <row r="1999" spans="1:15" ht="12.75" customHeight="1" x14ac:dyDescent="0.3">
      <c r="A1999" s="566"/>
      <c r="B1999" s="566"/>
      <c r="C1999" s="566" t="s">
        <v>1400</v>
      </c>
      <c r="D1999" s="566"/>
      <c r="E1999" s="566"/>
      <c r="F1999" s="566"/>
      <c r="G1999" s="567" t="s">
        <v>3102</v>
      </c>
      <c r="H1999" s="567" t="s">
        <v>866</v>
      </c>
      <c r="I1999" s="239" t="str">
        <f>IF(ISBLANK(global!I476),"",global!I476)</f>
        <v/>
      </c>
      <c r="K1999" s="262" t="s">
        <v>4241</v>
      </c>
      <c r="O1999" s="262" t="s">
        <v>4241</v>
      </c>
    </row>
    <row r="2000" spans="1:15" ht="12.75" customHeight="1" x14ac:dyDescent="0.3">
      <c r="A2000" s="566"/>
      <c r="B2000" s="566"/>
      <c r="C2000" s="566" t="s">
        <v>1402</v>
      </c>
      <c r="D2000" s="566"/>
      <c r="E2000" s="566"/>
      <c r="F2000" s="566"/>
      <c r="G2000" s="566" t="s">
        <v>3103</v>
      </c>
      <c r="H2000" s="566" t="s">
        <v>900</v>
      </c>
      <c r="I2000" s="239" t="str">
        <f>IF(ISBLANK(global!I477),"",global!I477)</f>
        <v/>
      </c>
      <c r="K2000" s="262" t="s">
        <v>4241</v>
      </c>
      <c r="O2000" s="262" t="s">
        <v>4241</v>
      </c>
    </row>
    <row r="2001" spans="1:15" ht="12.75" customHeight="1" x14ac:dyDescent="0.3">
      <c r="A2001" s="566"/>
      <c r="B2001" s="566"/>
      <c r="C2001" s="566" t="s">
        <v>1404</v>
      </c>
      <c r="D2001" s="566"/>
      <c r="E2001" s="566"/>
      <c r="F2001" s="566"/>
      <c r="G2001" s="567" t="s">
        <v>3104</v>
      </c>
      <c r="H2001" s="567" t="s">
        <v>291</v>
      </c>
      <c r="I2001" s="239" t="str">
        <f>IF(ISBLANK(global!I478),"",global!I478)</f>
        <v/>
      </c>
      <c r="K2001" s="262" t="s">
        <v>4241</v>
      </c>
      <c r="O2001" s="262" t="s">
        <v>4241</v>
      </c>
    </row>
    <row r="2002" spans="1:15" ht="12.75" customHeight="1" x14ac:dyDescent="0.3">
      <c r="A2002" s="566" t="s">
        <v>1406</v>
      </c>
      <c r="B2002" s="566"/>
      <c r="C2002" s="566"/>
      <c r="D2002" s="566"/>
      <c r="E2002" s="566"/>
      <c r="F2002" s="566"/>
      <c r="G2002" s="567" t="s">
        <v>3105</v>
      </c>
      <c r="H2002" s="567" t="s">
        <v>335</v>
      </c>
      <c r="I2002" s="239" t="str">
        <f>IF(ISBLANK(global!I479),"",global!I479)</f>
        <v/>
      </c>
      <c r="K2002" s="262" t="s">
        <v>4241</v>
      </c>
      <c r="O2002" s="262" t="s">
        <v>4241</v>
      </c>
    </row>
    <row r="2003" spans="1:15" ht="12.75" customHeight="1" x14ac:dyDescent="0.3">
      <c r="A2003" s="566"/>
      <c r="B2003" s="566" t="s">
        <v>712</v>
      </c>
      <c r="C2003" s="566"/>
      <c r="D2003" s="566"/>
      <c r="E2003" s="566"/>
      <c r="F2003" s="566"/>
      <c r="G2003" s="566" t="s">
        <v>3106</v>
      </c>
      <c r="H2003" s="567" t="s">
        <v>708</v>
      </c>
      <c r="I2003" s="239" t="str">
        <f>IF(ISBLANK(global!I480),"",global!I480)</f>
        <v/>
      </c>
      <c r="K2003" s="262" t="s">
        <v>4241</v>
      </c>
      <c r="O2003" s="262" t="s">
        <v>4241</v>
      </c>
    </row>
    <row r="2004" spans="1:15" ht="12.75" customHeight="1" x14ac:dyDescent="0.3">
      <c r="A2004" s="566"/>
      <c r="B2004" s="566" t="s">
        <v>1408</v>
      </c>
      <c r="C2004" s="566"/>
      <c r="D2004" s="566"/>
      <c r="E2004" s="566"/>
      <c r="F2004" s="566"/>
      <c r="G2004" s="567" t="s">
        <v>3107</v>
      </c>
      <c r="H2004" s="567" t="s">
        <v>866</v>
      </c>
      <c r="I2004" s="239" t="str">
        <f>IF(ISBLANK(global!I481),"",global!I481)</f>
        <v/>
      </c>
      <c r="K2004" s="262" t="s">
        <v>4241</v>
      </c>
      <c r="O2004" s="262" t="s">
        <v>4241</v>
      </c>
    </row>
    <row r="2005" spans="1:15" ht="12.75" customHeight="1" x14ac:dyDescent="0.3">
      <c r="A2005" s="566"/>
      <c r="B2005" s="566" t="s">
        <v>1410</v>
      </c>
      <c r="C2005" s="566"/>
      <c r="D2005" s="566"/>
      <c r="E2005" s="566"/>
      <c r="F2005" s="566"/>
      <c r="G2005" s="566" t="s">
        <v>3108</v>
      </c>
      <c r="H2005" s="566" t="s">
        <v>900</v>
      </c>
      <c r="I2005" s="239" t="str">
        <f>IF(ISBLANK(global!I482),"",global!I482)</f>
        <v/>
      </c>
      <c r="K2005" s="262" t="s">
        <v>4241</v>
      </c>
      <c r="O2005" s="262" t="s">
        <v>4241</v>
      </c>
    </row>
    <row r="2006" spans="1:15" ht="12.75" customHeight="1" x14ac:dyDescent="0.3">
      <c r="A2006" s="566"/>
      <c r="B2006" s="566" t="s">
        <v>1412</v>
      </c>
      <c r="C2006" s="566"/>
      <c r="D2006" s="566"/>
      <c r="E2006" s="566"/>
      <c r="F2006" s="566"/>
      <c r="G2006" s="567" t="s">
        <v>3109</v>
      </c>
      <c r="H2006" s="567" t="s">
        <v>291</v>
      </c>
      <c r="I2006" s="239" t="str">
        <f>IF(ISBLANK(global!I483),"",global!I483)</f>
        <v/>
      </c>
      <c r="K2006" s="262" t="s">
        <v>4241</v>
      </c>
      <c r="O2006" s="262" t="s">
        <v>4241</v>
      </c>
    </row>
    <row r="2007" spans="1:15" ht="12.75" customHeight="1" x14ac:dyDescent="0.3">
      <c r="A2007" s="410" t="s">
        <v>3110</v>
      </c>
      <c r="B2007" s="410"/>
      <c r="C2007" s="410"/>
      <c r="D2007" s="410"/>
      <c r="E2007" s="410"/>
      <c r="F2007" s="410"/>
      <c r="G2007" s="654"/>
      <c r="H2007" s="654"/>
      <c r="I2007" s="239" t="str">
        <f>IF(ISBLANK(global!I484),"",global!I484)</f>
        <v/>
      </c>
      <c r="K2007" s="262" t="s">
        <v>4241</v>
      </c>
      <c r="O2007" s="262" t="s">
        <v>4241</v>
      </c>
    </row>
    <row r="2008" spans="1:15" ht="12.75" customHeight="1" x14ac:dyDescent="0.3">
      <c r="A2008" s="566" t="s">
        <v>1437</v>
      </c>
      <c r="B2008" s="566"/>
      <c r="C2008" s="566"/>
      <c r="D2008" s="566"/>
      <c r="E2008" s="566"/>
      <c r="F2008" s="566"/>
      <c r="G2008" s="567" t="s">
        <v>3111</v>
      </c>
      <c r="H2008" s="567" t="s">
        <v>335</v>
      </c>
      <c r="I2008" s="239" t="str">
        <f>IF(ISBLANK(global!I485),"",global!I485)</f>
        <v/>
      </c>
      <c r="K2008" s="262" t="s">
        <v>4241</v>
      </c>
      <c r="O2008" s="262" t="s">
        <v>4241</v>
      </c>
    </row>
    <row r="2009" spans="1:15" ht="12.75" customHeight="1" x14ac:dyDescent="0.3">
      <c r="A2009" s="566"/>
      <c r="B2009" s="566" t="s">
        <v>1439</v>
      </c>
      <c r="C2009" s="566"/>
      <c r="D2009" s="566"/>
      <c r="E2009" s="566"/>
      <c r="F2009" s="566"/>
      <c r="G2009" s="567" t="s">
        <v>3112</v>
      </c>
      <c r="H2009" s="567" t="s">
        <v>708</v>
      </c>
      <c r="I2009" s="239" t="str">
        <f>IF(ISBLANK(global!I486),"",global!I486)</f>
        <v/>
      </c>
      <c r="K2009" s="262" t="s">
        <v>4241</v>
      </c>
      <c r="O2009" s="262" t="s">
        <v>4241</v>
      </c>
    </row>
    <row r="2010" spans="1:15" ht="12.75" customHeight="1" x14ac:dyDescent="0.3">
      <c r="A2010" s="566"/>
      <c r="B2010" s="566" t="s">
        <v>1442</v>
      </c>
      <c r="C2010" s="566"/>
      <c r="D2010" s="566"/>
      <c r="E2010" s="566"/>
      <c r="F2010" s="566"/>
      <c r="G2010" s="567" t="s">
        <v>3113</v>
      </c>
      <c r="H2010" s="567" t="s">
        <v>335</v>
      </c>
      <c r="I2010" s="239" t="str">
        <f>IF(ISBLANK(global!I487),"",global!I487)</f>
        <v/>
      </c>
      <c r="K2010" s="262" t="s">
        <v>4241</v>
      </c>
      <c r="O2010" s="262" t="s">
        <v>4241</v>
      </c>
    </row>
    <row r="2011" spans="1:15" ht="12.75" customHeight="1" x14ac:dyDescent="0.3">
      <c r="A2011" s="566"/>
      <c r="B2011" s="566"/>
      <c r="C2011" s="566" t="s">
        <v>1421</v>
      </c>
      <c r="D2011" s="566"/>
      <c r="E2011" s="566"/>
      <c r="F2011" s="566"/>
      <c r="G2011" s="567" t="s">
        <v>3114</v>
      </c>
      <c r="H2011" s="567" t="s">
        <v>335</v>
      </c>
      <c r="I2011" s="239" t="str">
        <f>IF(ISBLANK(global!I488),"",global!I488)</f>
        <v/>
      </c>
      <c r="K2011" s="262" t="s">
        <v>4241</v>
      </c>
      <c r="O2011" s="262" t="s">
        <v>4241</v>
      </c>
    </row>
    <row r="2012" spans="1:15" ht="12.75" customHeight="1" x14ac:dyDescent="0.3">
      <c r="A2012" s="566"/>
      <c r="B2012" s="566"/>
      <c r="C2012" s="566"/>
      <c r="D2012" s="566" t="s">
        <v>1445</v>
      </c>
      <c r="E2012" s="566"/>
      <c r="F2012" s="566"/>
      <c r="G2012" s="567" t="s">
        <v>3115</v>
      </c>
      <c r="H2012" s="567" t="s">
        <v>335</v>
      </c>
      <c r="I2012" s="239" t="str">
        <f>IF(ISBLANK(global!I489),"",global!I489)</f>
        <v/>
      </c>
      <c r="K2012" s="262" t="s">
        <v>4241</v>
      </c>
      <c r="O2012" s="262" t="s">
        <v>4241</v>
      </c>
    </row>
    <row r="2013" spans="1:15" ht="12.75" customHeight="1" x14ac:dyDescent="0.3">
      <c r="A2013" s="566" t="s">
        <v>1437</v>
      </c>
      <c r="B2013" s="566"/>
      <c r="C2013" s="566"/>
      <c r="D2013" s="566"/>
      <c r="E2013" s="566"/>
      <c r="F2013" s="566"/>
      <c r="G2013" s="567" t="s">
        <v>3116</v>
      </c>
      <c r="H2013" s="567" t="s">
        <v>335</v>
      </c>
      <c r="I2013" s="239" t="str">
        <f>IF(ISBLANK(global!I490),"",global!I490)</f>
        <v/>
      </c>
      <c r="K2013" s="262" t="s">
        <v>4241</v>
      </c>
      <c r="O2013" s="262" t="s">
        <v>4241</v>
      </c>
    </row>
    <row r="2014" spans="1:15" ht="12.75" customHeight="1" x14ac:dyDescent="0.3">
      <c r="A2014" s="566"/>
      <c r="B2014" s="566" t="s">
        <v>1439</v>
      </c>
      <c r="C2014" s="566"/>
      <c r="D2014" s="566"/>
      <c r="E2014" s="566"/>
      <c r="F2014" s="566"/>
      <c r="G2014" s="567" t="s">
        <v>3117</v>
      </c>
      <c r="H2014" s="567" t="s">
        <v>708</v>
      </c>
      <c r="I2014" s="239" t="str">
        <f>IF(ISBLANK(global!I491),"",global!I491)</f>
        <v/>
      </c>
      <c r="K2014" s="262" t="s">
        <v>4241</v>
      </c>
      <c r="O2014" s="262" t="s">
        <v>4241</v>
      </c>
    </row>
    <row r="2015" spans="1:15" ht="12.75" customHeight="1" x14ac:dyDescent="0.3">
      <c r="A2015" s="566"/>
      <c r="B2015" s="566" t="s">
        <v>1442</v>
      </c>
      <c r="C2015" s="566"/>
      <c r="D2015" s="566"/>
      <c r="E2015" s="566"/>
      <c r="F2015" s="566"/>
      <c r="G2015" s="567" t="s">
        <v>3118</v>
      </c>
      <c r="H2015" s="567" t="s">
        <v>335</v>
      </c>
      <c r="I2015" s="239" t="str">
        <f>IF(ISBLANK(global!I492),"",global!I492)</f>
        <v/>
      </c>
      <c r="K2015" s="262" t="s">
        <v>4241</v>
      </c>
      <c r="O2015" s="262" t="s">
        <v>4241</v>
      </c>
    </row>
    <row r="2016" spans="1:15" ht="12.75" customHeight="1" x14ac:dyDescent="0.3">
      <c r="A2016" s="566"/>
      <c r="B2016" s="566"/>
      <c r="C2016" s="566" t="s">
        <v>1421</v>
      </c>
      <c r="D2016" s="566"/>
      <c r="E2016" s="566"/>
      <c r="F2016" s="566"/>
      <c r="G2016" s="567" t="s">
        <v>3119</v>
      </c>
      <c r="H2016" s="567" t="s">
        <v>335</v>
      </c>
      <c r="I2016" s="239" t="str">
        <f>IF(ISBLANK(global!I493),"",global!I493)</f>
        <v/>
      </c>
      <c r="K2016" s="262" t="s">
        <v>4241</v>
      </c>
      <c r="O2016" s="262" t="s">
        <v>4241</v>
      </c>
    </row>
    <row r="2017" spans="1:15" ht="12.75" customHeight="1" x14ac:dyDescent="0.3">
      <c r="A2017" s="566"/>
      <c r="B2017" s="566"/>
      <c r="C2017" s="566"/>
      <c r="D2017" s="566" t="s">
        <v>1445</v>
      </c>
      <c r="E2017" s="566"/>
      <c r="F2017" s="566"/>
      <c r="G2017" s="567" t="s">
        <v>3120</v>
      </c>
      <c r="H2017" s="567" t="s">
        <v>335</v>
      </c>
      <c r="I2017" s="239" t="str">
        <f>IF(ISBLANK(global!I494),"",global!I494)</f>
        <v/>
      </c>
      <c r="K2017" s="262" t="s">
        <v>4241</v>
      </c>
      <c r="O2017" s="262" t="s">
        <v>4241</v>
      </c>
    </row>
    <row r="2018" spans="1:15" ht="12.75" customHeight="1" x14ac:dyDescent="0.3">
      <c r="A2018" s="566"/>
      <c r="B2018" s="566"/>
      <c r="C2018" s="566" t="s">
        <v>1447</v>
      </c>
      <c r="D2018" s="566"/>
      <c r="E2018" s="566"/>
      <c r="F2018" s="566"/>
      <c r="G2018" s="566" t="s">
        <v>3121</v>
      </c>
      <c r="H2018" s="566" t="s">
        <v>335</v>
      </c>
      <c r="I2018" s="239" t="str">
        <f>IF(ISBLANK(global!I495),"",global!I495)</f>
        <v/>
      </c>
      <c r="K2018" s="262" t="s">
        <v>4241</v>
      </c>
      <c r="O2018" s="262" t="s">
        <v>4241</v>
      </c>
    </row>
    <row r="2019" spans="1:15" ht="12.75" customHeight="1" x14ac:dyDescent="0.3">
      <c r="A2019" s="566"/>
      <c r="B2019" s="566"/>
      <c r="C2019" s="566" t="s">
        <v>1449</v>
      </c>
      <c r="D2019" s="566"/>
      <c r="E2019" s="566"/>
      <c r="F2019" s="566"/>
      <c r="G2019" s="567" t="s">
        <v>3122</v>
      </c>
      <c r="H2019" s="567" t="s">
        <v>335</v>
      </c>
      <c r="I2019" s="239" t="str">
        <f>IF(ISBLANK(global!I496),"",global!I496)</f>
        <v/>
      </c>
      <c r="K2019" s="262" t="s">
        <v>4241</v>
      </c>
      <c r="O2019" s="262" t="s">
        <v>4241</v>
      </c>
    </row>
    <row r="2020" spans="1:15" ht="12.75" customHeight="1" x14ac:dyDescent="0.3">
      <c r="A2020" s="566" t="s">
        <v>1469</v>
      </c>
      <c r="B2020" s="566"/>
      <c r="C2020" s="566"/>
      <c r="D2020" s="566"/>
      <c r="E2020" s="566"/>
      <c r="F2020" s="566"/>
      <c r="G2020" s="567" t="s">
        <v>3123</v>
      </c>
      <c r="H2020" s="567" t="s">
        <v>335</v>
      </c>
      <c r="I2020" s="239" t="str">
        <f>IF(ISBLANK(global!I497),"",global!I497)</f>
        <v/>
      </c>
      <c r="K2020" s="262" t="s">
        <v>4241</v>
      </c>
      <c r="O2020" s="262" t="s">
        <v>4241</v>
      </c>
    </row>
    <row r="2021" spans="1:15" ht="12.75" customHeight="1" x14ac:dyDescent="0.3">
      <c r="A2021" s="566"/>
      <c r="B2021" s="566" t="s">
        <v>1463</v>
      </c>
      <c r="C2021" s="566"/>
      <c r="D2021" s="566"/>
      <c r="E2021" s="566"/>
      <c r="F2021" s="566"/>
      <c r="G2021" s="567" t="s">
        <v>3124</v>
      </c>
      <c r="H2021" s="567" t="s">
        <v>708</v>
      </c>
      <c r="I2021" s="239" t="str">
        <f>IF(ISBLANK(global!I498),"",global!I498)</f>
        <v/>
      </c>
      <c r="K2021" s="262" t="s">
        <v>4241</v>
      </c>
      <c r="O2021" s="262" t="s">
        <v>4241</v>
      </c>
    </row>
    <row r="2022" spans="1:15" ht="12.75" customHeight="1" x14ac:dyDescent="0.3">
      <c r="A2022" s="566"/>
      <c r="B2022" s="566" t="s">
        <v>1474</v>
      </c>
      <c r="C2022" s="566"/>
      <c r="D2022" s="566"/>
      <c r="E2022" s="566"/>
      <c r="F2022" s="566"/>
      <c r="G2022" s="567" t="s">
        <v>3125</v>
      </c>
      <c r="H2022" s="566" t="s">
        <v>335</v>
      </c>
      <c r="I2022" s="239" t="str">
        <f>IF(ISBLANK(global!I499),"",global!I499)</f>
        <v/>
      </c>
      <c r="K2022" s="262" t="s">
        <v>4241</v>
      </c>
      <c r="O2022" s="262" t="s">
        <v>4241</v>
      </c>
    </row>
    <row r="2023" spans="1:15" ht="12.75" customHeight="1" x14ac:dyDescent="0.3">
      <c r="A2023" s="566"/>
      <c r="B2023" s="566"/>
      <c r="C2023" s="566" t="s">
        <v>1459</v>
      </c>
      <c r="D2023" s="566"/>
      <c r="E2023" s="566"/>
      <c r="F2023" s="566"/>
      <c r="G2023" s="567" t="s">
        <v>3126</v>
      </c>
      <c r="H2023" s="567" t="s">
        <v>335</v>
      </c>
      <c r="I2023" s="239" t="str">
        <f>IF(ISBLANK(global!I500),"",global!I500)</f>
        <v/>
      </c>
      <c r="K2023" s="262" t="s">
        <v>4241</v>
      </c>
      <c r="O2023" s="262" t="s">
        <v>4241</v>
      </c>
    </row>
    <row r="2024" spans="1:15" ht="12.75" customHeight="1" x14ac:dyDescent="0.3">
      <c r="A2024" s="566" t="s">
        <v>1469</v>
      </c>
      <c r="B2024" s="566"/>
      <c r="C2024" s="566"/>
      <c r="D2024" s="566"/>
      <c r="E2024" s="566"/>
      <c r="F2024" s="566"/>
      <c r="G2024" s="567" t="s">
        <v>3127</v>
      </c>
      <c r="H2024" s="567" t="s">
        <v>335</v>
      </c>
      <c r="I2024" s="239" t="str">
        <f>IF(ISBLANK(global!I501),"",global!I501)</f>
        <v/>
      </c>
      <c r="K2024" s="262" t="s">
        <v>4241</v>
      </c>
      <c r="O2024" s="262" t="s">
        <v>4241</v>
      </c>
    </row>
    <row r="2025" spans="1:15" ht="12.75" customHeight="1" x14ac:dyDescent="0.3">
      <c r="A2025" s="566"/>
      <c r="B2025" s="566" t="s">
        <v>1463</v>
      </c>
      <c r="C2025" s="566"/>
      <c r="D2025" s="566"/>
      <c r="E2025" s="566"/>
      <c r="F2025" s="566"/>
      <c r="G2025" s="567" t="s">
        <v>3128</v>
      </c>
      <c r="H2025" s="567" t="s">
        <v>708</v>
      </c>
      <c r="I2025" s="239" t="str">
        <f>IF(ISBLANK(global!I502),"",global!I502)</f>
        <v/>
      </c>
      <c r="K2025" s="262" t="s">
        <v>4241</v>
      </c>
      <c r="O2025" s="262" t="s">
        <v>4241</v>
      </c>
    </row>
    <row r="2026" spans="1:15" ht="12.75" customHeight="1" x14ac:dyDescent="0.3">
      <c r="A2026" s="566"/>
      <c r="B2026" s="566" t="s">
        <v>1474</v>
      </c>
      <c r="C2026" s="566"/>
      <c r="D2026" s="566"/>
      <c r="E2026" s="566"/>
      <c r="F2026" s="566"/>
      <c r="G2026" s="567" t="s">
        <v>3129</v>
      </c>
      <c r="H2026" s="566" t="s">
        <v>335</v>
      </c>
      <c r="I2026" s="239" t="str">
        <f>IF(ISBLANK(global!I503),"",global!I503)</f>
        <v/>
      </c>
      <c r="K2026" s="262" t="s">
        <v>4241</v>
      </c>
      <c r="O2026" s="262" t="s">
        <v>4241</v>
      </c>
    </row>
    <row r="2027" spans="1:15" ht="12.75" customHeight="1" x14ac:dyDescent="0.3">
      <c r="A2027" s="566"/>
      <c r="B2027" s="566"/>
      <c r="C2027" s="566" t="s">
        <v>1459</v>
      </c>
      <c r="D2027" s="566"/>
      <c r="E2027" s="566"/>
      <c r="F2027" s="566"/>
      <c r="G2027" s="567" t="s">
        <v>3130</v>
      </c>
      <c r="H2027" s="567" t="s">
        <v>335</v>
      </c>
      <c r="I2027" s="239" t="str">
        <f>IF(ISBLANK(global!I504),"",global!I504)</f>
        <v/>
      </c>
      <c r="K2027" s="262" t="s">
        <v>4241</v>
      </c>
      <c r="O2027" s="262" t="s">
        <v>4241</v>
      </c>
    </row>
    <row r="2028" spans="1:15" ht="12.75" customHeight="1" x14ac:dyDescent="0.3">
      <c r="A2028" s="566"/>
      <c r="B2028" s="566"/>
      <c r="C2028" s="566" t="s">
        <v>1477</v>
      </c>
      <c r="D2028" s="566"/>
      <c r="E2028" s="566"/>
      <c r="F2028" s="566"/>
      <c r="G2028" s="567" t="s">
        <v>3131</v>
      </c>
      <c r="H2028" s="567" t="s">
        <v>335</v>
      </c>
      <c r="I2028" s="239" t="str">
        <f>IF(ISBLANK(global!I505),"",global!I505)</f>
        <v/>
      </c>
      <c r="K2028" s="262" t="s">
        <v>4241</v>
      </c>
      <c r="O2028" s="262" t="s">
        <v>4241</v>
      </c>
    </row>
    <row r="2029" spans="1:15" ht="12.75" customHeight="1" x14ac:dyDescent="0.3">
      <c r="A2029" s="566"/>
      <c r="B2029" s="566"/>
      <c r="C2029" s="566" t="s">
        <v>2248</v>
      </c>
      <c r="D2029" s="566"/>
      <c r="E2029" s="566"/>
      <c r="F2029" s="566"/>
      <c r="G2029" s="567" t="s">
        <v>3132</v>
      </c>
      <c r="H2029" s="567" t="s">
        <v>335</v>
      </c>
      <c r="I2029" s="239" t="str">
        <f>IF(ISBLANK(global!I506),"",global!I506)</f>
        <v/>
      </c>
      <c r="K2029" s="262" t="s">
        <v>4241</v>
      </c>
      <c r="O2029" s="262" t="s">
        <v>4241</v>
      </c>
    </row>
    <row r="2030" spans="1:15" ht="12.75" customHeight="1" x14ac:dyDescent="0.3">
      <c r="A2030" s="410" t="s">
        <v>3133</v>
      </c>
      <c r="I2030" s="239" t="str">
        <f>IF(ISBLANK(global!I507),"",global!I507)</f>
        <v/>
      </c>
      <c r="K2030" s="262" t="s">
        <v>4241</v>
      </c>
      <c r="O2030" s="262" t="s">
        <v>4241</v>
      </c>
    </row>
    <row r="2031" spans="1:15" ht="12.75" customHeight="1" x14ac:dyDescent="0.3">
      <c r="A2031" s="566" t="s">
        <v>2782</v>
      </c>
      <c r="B2031" s="566"/>
      <c r="C2031" s="566"/>
      <c r="D2031" s="566"/>
      <c r="E2031" s="566"/>
      <c r="F2031" s="566"/>
      <c r="G2031" s="567" t="s">
        <v>3134</v>
      </c>
      <c r="H2031" s="567" t="s">
        <v>335</v>
      </c>
      <c r="I2031" s="239" t="str">
        <f>IF(ISBLANK(global!I508),"",global!I508)</f>
        <v/>
      </c>
      <c r="K2031" s="262" t="s">
        <v>4241</v>
      </c>
      <c r="O2031" s="262" t="s">
        <v>4241</v>
      </c>
    </row>
    <row r="2032" spans="1:15" ht="12.75" customHeight="1" x14ac:dyDescent="0.3">
      <c r="A2032" s="566"/>
      <c r="B2032" s="566" t="s">
        <v>1493</v>
      </c>
      <c r="C2032" s="566"/>
      <c r="D2032" s="566"/>
      <c r="E2032" s="566"/>
      <c r="F2032" s="566"/>
      <c r="G2032" s="567" t="s">
        <v>3135</v>
      </c>
      <c r="H2032" s="567" t="s">
        <v>708</v>
      </c>
      <c r="I2032" s="239" t="str">
        <f>IF(ISBLANK(global!I509),"",global!I509)</f>
        <v/>
      </c>
      <c r="K2032" s="262" t="s">
        <v>4241</v>
      </c>
      <c r="O2032" s="262" t="s">
        <v>4241</v>
      </c>
    </row>
    <row r="2033" spans="1:15" ht="12.75" customHeight="1" x14ac:dyDescent="0.3">
      <c r="A2033" s="566"/>
      <c r="B2033" s="566"/>
      <c r="C2033" s="566" t="s">
        <v>1447</v>
      </c>
      <c r="D2033" s="566"/>
      <c r="E2033" s="566"/>
      <c r="F2033" s="566"/>
      <c r="G2033" s="566" t="s">
        <v>3137</v>
      </c>
      <c r="H2033" s="566" t="s">
        <v>335</v>
      </c>
      <c r="I2033" s="239" t="str">
        <f>IF(ISBLANK(global!I510),"",global!I510)</f>
        <v/>
      </c>
      <c r="K2033" s="262" t="s">
        <v>4241</v>
      </c>
      <c r="O2033" s="262" t="s">
        <v>4241</v>
      </c>
    </row>
    <row r="2034" spans="1:15" ht="12.75" customHeight="1" x14ac:dyDescent="0.3">
      <c r="A2034" s="566"/>
      <c r="B2034" s="566"/>
      <c r="C2034" s="566" t="s">
        <v>1449</v>
      </c>
      <c r="D2034" s="566"/>
      <c r="E2034" s="566"/>
      <c r="F2034" s="566"/>
      <c r="G2034" s="567" t="s">
        <v>3138</v>
      </c>
      <c r="H2034" s="567" t="s">
        <v>335</v>
      </c>
      <c r="I2034" s="239" t="str">
        <f>IF(ISBLANK(global!I511),"",global!I511)</f>
        <v/>
      </c>
      <c r="K2034" s="262" t="s">
        <v>4241</v>
      </c>
      <c r="O2034" s="262" t="s">
        <v>4241</v>
      </c>
    </row>
    <row r="2035" spans="1:15" ht="12.75" customHeight="1" x14ac:dyDescent="0.3">
      <c r="A2035" s="566" t="s">
        <v>2788</v>
      </c>
      <c r="B2035" s="566"/>
      <c r="C2035" s="566"/>
      <c r="D2035" s="566"/>
      <c r="E2035" s="566"/>
      <c r="F2035" s="566"/>
      <c r="G2035" s="567" t="s">
        <v>3139</v>
      </c>
      <c r="H2035" s="567" t="s">
        <v>335</v>
      </c>
      <c r="I2035" s="239" t="str">
        <f>IF(ISBLANK(global!I512),"",global!I512)</f>
        <v/>
      </c>
      <c r="K2035" s="262" t="s">
        <v>4241</v>
      </c>
      <c r="O2035" s="262" t="s">
        <v>4241</v>
      </c>
    </row>
    <row r="2036" spans="1:15" ht="12.75" customHeight="1" x14ac:dyDescent="0.3">
      <c r="A2036" s="566"/>
      <c r="B2036" s="566" t="s">
        <v>1504</v>
      </c>
      <c r="C2036" s="566"/>
      <c r="D2036" s="566"/>
      <c r="E2036" s="566"/>
      <c r="F2036" s="566"/>
      <c r="G2036" s="567" t="s">
        <v>3140</v>
      </c>
      <c r="H2036" s="567" t="s">
        <v>1506</v>
      </c>
      <c r="I2036" s="239" t="str">
        <f>IF(ISBLANK(global!I513),"",global!I513)</f>
        <v/>
      </c>
      <c r="K2036" s="262" t="s">
        <v>4241</v>
      </c>
      <c r="O2036" s="262" t="s">
        <v>4241</v>
      </c>
    </row>
    <row r="2037" spans="1:15" ht="12.75" customHeight="1" x14ac:dyDescent="0.3">
      <c r="A2037" s="566"/>
      <c r="B2037" s="566" t="s">
        <v>1507</v>
      </c>
      <c r="C2037" s="566"/>
      <c r="D2037" s="566"/>
      <c r="E2037" s="566"/>
      <c r="F2037" s="566"/>
      <c r="G2037" s="566" t="s">
        <v>3141</v>
      </c>
      <c r="H2037" s="567" t="s">
        <v>866</v>
      </c>
      <c r="I2037" s="239" t="str">
        <f>IF(ISBLANK(global!I514),"",global!I514)</f>
        <v/>
      </c>
      <c r="K2037" s="262" t="s">
        <v>4241</v>
      </c>
      <c r="O2037" s="262" t="s">
        <v>4241</v>
      </c>
    </row>
    <row r="2038" spans="1:15" ht="12.75" customHeight="1" x14ac:dyDescent="0.3">
      <c r="A2038" s="566"/>
      <c r="B2038" s="566" t="s">
        <v>1510</v>
      </c>
      <c r="C2038" s="566"/>
      <c r="D2038" s="566"/>
      <c r="E2038" s="566"/>
      <c r="F2038" s="566"/>
      <c r="G2038" s="567" t="s">
        <v>3142</v>
      </c>
      <c r="H2038" s="567" t="s">
        <v>291</v>
      </c>
      <c r="I2038" s="239" t="str">
        <f>IF(ISBLANK(global!I515),"",global!I515)</f>
        <v/>
      </c>
      <c r="K2038" s="262" t="s">
        <v>4241</v>
      </c>
      <c r="O2038" s="262" t="s">
        <v>4241</v>
      </c>
    </row>
    <row r="2039" spans="1:15" ht="12.75" customHeight="1" x14ac:dyDescent="0.3">
      <c r="A2039" s="566"/>
      <c r="B2039" s="566"/>
      <c r="C2039" s="566" t="s">
        <v>1512</v>
      </c>
      <c r="D2039" s="566"/>
      <c r="E2039" s="566"/>
      <c r="F2039" s="566"/>
      <c r="G2039" s="567" t="s">
        <v>3143</v>
      </c>
      <c r="H2039" s="567" t="s">
        <v>291</v>
      </c>
      <c r="I2039" s="239" t="str">
        <f>IF(ISBLANK(global!I516),"",global!I516)</f>
        <v/>
      </c>
      <c r="K2039" s="262" t="s">
        <v>4241</v>
      </c>
      <c r="O2039" s="262" t="s">
        <v>4241</v>
      </c>
    </row>
    <row r="2040" spans="1:15" ht="12.75" customHeight="1" x14ac:dyDescent="0.3">
      <c r="A2040" s="566"/>
      <c r="B2040" s="566"/>
      <c r="C2040" s="566"/>
      <c r="D2040" s="566" t="s">
        <v>1514</v>
      </c>
      <c r="E2040" s="566"/>
      <c r="F2040" s="566"/>
      <c r="G2040" s="566" t="s">
        <v>3144</v>
      </c>
      <c r="H2040" s="567" t="s">
        <v>291</v>
      </c>
      <c r="I2040" s="239" t="str">
        <f>IF(ISBLANK(global!I517),"",global!I517)</f>
        <v/>
      </c>
      <c r="K2040" s="262" t="s">
        <v>4241</v>
      </c>
      <c r="O2040" s="262" t="s">
        <v>4241</v>
      </c>
    </row>
    <row r="2041" spans="1:15" ht="12.75" customHeight="1" x14ac:dyDescent="0.3">
      <c r="A2041" s="566"/>
      <c r="B2041" s="566"/>
      <c r="C2041" s="566"/>
      <c r="D2041" s="566"/>
      <c r="E2041" s="566" t="s">
        <v>1516</v>
      </c>
      <c r="F2041" s="566"/>
      <c r="G2041" s="566" t="s">
        <v>3145</v>
      </c>
      <c r="H2041" s="567" t="s">
        <v>291</v>
      </c>
      <c r="I2041" s="239" t="str">
        <f>IF(ISBLANK(global!I518),"",global!I518)</f>
        <v/>
      </c>
      <c r="K2041" s="262" t="s">
        <v>4241</v>
      </c>
      <c r="O2041" s="262" t="s">
        <v>4241</v>
      </c>
    </row>
    <row r="2042" spans="1:15" ht="12.75" customHeight="1" x14ac:dyDescent="0.3">
      <c r="A2042" s="566"/>
      <c r="B2042" s="566"/>
      <c r="C2042" s="566"/>
      <c r="D2042" s="566"/>
      <c r="E2042" s="566"/>
      <c r="F2042" s="566" t="s">
        <v>1518</v>
      </c>
      <c r="G2042" s="566" t="s">
        <v>3146</v>
      </c>
      <c r="H2042" s="567" t="s">
        <v>1520</v>
      </c>
      <c r="I2042" s="239" t="str">
        <f>IF(ISBLANK(global!I519),"",global!I519)</f>
        <v/>
      </c>
      <c r="K2042" s="262" t="s">
        <v>4241</v>
      </c>
      <c r="O2042" s="262" t="s">
        <v>4241</v>
      </c>
    </row>
    <row r="2043" spans="1:15" ht="12.75" customHeight="1" x14ac:dyDescent="0.3">
      <c r="A2043" s="566"/>
      <c r="B2043" s="566"/>
      <c r="C2043" s="566" t="s">
        <v>1522</v>
      </c>
      <c r="D2043" s="566"/>
      <c r="E2043" s="566"/>
      <c r="F2043" s="566"/>
      <c r="G2043" s="567" t="s">
        <v>3147</v>
      </c>
      <c r="H2043" s="567" t="s">
        <v>291</v>
      </c>
      <c r="I2043" s="239" t="str">
        <f>IF(ISBLANK(global!I520),"",global!I520)</f>
        <v/>
      </c>
      <c r="K2043" s="262" t="s">
        <v>4241</v>
      </c>
      <c r="O2043" s="262" t="s">
        <v>4241</v>
      </c>
    </row>
    <row r="2044" spans="1:15" ht="12.75" customHeight="1" x14ac:dyDescent="0.3">
      <c r="A2044" s="566"/>
      <c r="B2044" s="566"/>
      <c r="C2044" s="566" t="s">
        <v>1524</v>
      </c>
      <c r="D2044" s="566"/>
      <c r="E2044" s="566"/>
      <c r="F2044" s="566"/>
      <c r="G2044" s="567" t="s">
        <v>3148</v>
      </c>
      <c r="H2044" s="567" t="s">
        <v>291</v>
      </c>
      <c r="I2044" s="239" t="str">
        <f>IF(ISBLANK(global!I521),"",global!I521)</f>
        <v/>
      </c>
      <c r="K2044" s="262" t="s">
        <v>4241</v>
      </c>
      <c r="O2044" s="262" t="s">
        <v>4241</v>
      </c>
    </row>
    <row r="2045" spans="1:15" ht="12.75" customHeight="1" x14ac:dyDescent="0.3">
      <c r="A2045" s="566"/>
      <c r="B2045" s="566"/>
      <c r="C2045" s="566"/>
      <c r="D2045" s="566" t="s">
        <v>1526</v>
      </c>
      <c r="E2045" s="566"/>
      <c r="F2045" s="566"/>
      <c r="G2045" s="566" t="s">
        <v>3149</v>
      </c>
      <c r="H2045" s="567" t="s">
        <v>291</v>
      </c>
      <c r="I2045" s="239" t="str">
        <f>IF(ISBLANK(global!I522),"",global!I522)</f>
        <v/>
      </c>
      <c r="K2045" s="262" t="s">
        <v>4241</v>
      </c>
      <c r="O2045" s="262" t="s">
        <v>4241</v>
      </c>
    </row>
    <row r="2046" spans="1:15" ht="12.75" customHeight="1" x14ac:dyDescent="0.3">
      <c r="A2046" s="566"/>
      <c r="B2046" s="566"/>
      <c r="C2046" s="566"/>
      <c r="D2046" s="566" t="s">
        <v>1528</v>
      </c>
      <c r="E2046" s="566"/>
      <c r="F2046" s="566"/>
      <c r="G2046" s="566" t="s">
        <v>3150</v>
      </c>
      <c r="H2046" s="567" t="s">
        <v>1530</v>
      </c>
      <c r="I2046" s="239" t="str">
        <f>IF(ISBLANK(global!I523),"",global!I523)</f>
        <v/>
      </c>
      <c r="K2046" s="262" t="s">
        <v>4241</v>
      </c>
      <c r="O2046" s="262" t="s">
        <v>4241</v>
      </c>
    </row>
    <row r="2047" spans="1:15" ht="12.75" customHeight="1" x14ac:dyDescent="0.3">
      <c r="A2047" s="566"/>
      <c r="B2047" s="566"/>
      <c r="C2047" s="566"/>
      <c r="D2047" s="566" t="s">
        <v>1531</v>
      </c>
      <c r="E2047" s="566"/>
      <c r="F2047" s="566"/>
      <c r="G2047" s="566" t="s">
        <v>3151</v>
      </c>
      <c r="H2047" s="567" t="s">
        <v>291</v>
      </c>
      <c r="I2047" s="239" t="str">
        <f>IF(ISBLANK(global!I524),"",global!I524)</f>
        <v/>
      </c>
      <c r="K2047" s="262" t="s">
        <v>4241</v>
      </c>
      <c r="O2047" s="262" t="s">
        <v>4241</v>
      </c>
    </row>
    <row r="2048" spans="1:15" ht="12.75" customHeight="1" x14ac:dyDescent="0.3">
      <c r="A2048" s="566"/>
      <c r="B2048" s="566"/>
      <c r="C2048" s="566"/>
      <c r="D2048" s="566" t="s">
        <v>1533</v>
      </c>
      <c r="E2048" s="566"/>
      <c r="F2048" s="566"/>
      <c r="G2048" s="567" t="s">
        <v>3152</v>
      </c>
      <c r="H2048" s="567" t="s">
        <v>291</v>
      </c>
      <c r="I2048" s="239" t="str">
        <f>IF(ISBLANK(global!I525),"",global!I525)</f>
        <v/>
      </c>
      <c r="K2048" s="262" t="s">
        <v>4241</v>
      </c>
      <c r="O2048" s="262" t="s">
        <v>4241</v>
      </c>
    </row>
    <row r="2049" spans="1:15" ht="12.75" customHeight="1" x14ac:dyDescent="0.3">
      <c r="A2049" s="410" t="s">
        <v>3153</v>
      </c>
      <c r="I2049" s="239" t="str">
        <f>IF(ISBLANK(global!I526),"",global!I526)</f>
        <v/>
      </c>
      <c r="K2049" s="262" t="s">
        <v>4241</v>
      </c>
      <c r="O2049" s="262" t="s">
        <v>4241</v>
      </c>
    </row>
    <row r="2050" spans="1:15" ht="12.75" customHeight="1" x14ac:dyDescent="0.3">
      <c r="A2050" s="566" t="s">
        <v>2804</v>
      </c>
      <c r="B2050" s="566"/>
      <c r="C2050" s="566"/>
      <c r="D2050" s="566"/>
      <c r="E2050" s="566"/>
      <c r="F2050" s="566"/>
      <c r="G2050" s="567" t="s">
        <v>3154</v>
      </c>
      <c r="H2050" s="567" t="s">
        <v>335</v>
      </c>
      <c r="I2050" s="239" t="str">
        <f>IF(ISBLANK(global!I527),"",global!I527)</f>
        <v/>
      </c>
      <c r="K2050" s="262" t="s">
        <v>4241</v>
      </c>
      <c r="O2050" s="262" t="s">
        <v>4241</v>
      </c>
    </row>
    <row r="2051" spans="1:15" ht="12.75" customHeight="1" x14ac:dyDescent="0.3">
      <c r="A2051" s="566"/>
      <c r="B2051" s="566" t="s">
        <v>1542</v>
      </c>
      <c r="C2051" s="566"/>
      <c r="D2051" s="566"/>
      <c r="E2051" s="566"/>
      <c r="F2051" s="566"/>
      <c r="G2051" s="567" t="s">
        <v>3155</v>
      </c>
      <c r="H2051" s="567" t="s">
        <v>708</v>
      </c>
      <c r="I2051" s="239" t="str">
        <f>IF(ISBLANK(global!I528),"",global!I528)</f>
        <v/>
      </c>
      <c r="K2051" s="262" t="s">
        <v>4241</v>
      </c>
      <c r="O2051" s="262" t="s">
        <v>4241</v>
      </c>
    </row>
    <row r="2052" spans="1:15" ht="12.75" customHeight="1" x14ac:dyDescent="0.3">
      <c r="A2052" s="566"/>
      <c r="B2052" s="566" t="s">
        <v>727</v>
      </c>
      <c r="C2052" s="566"/>
      <c r="D2052" s="566"/>
      <c r="E2052" s="566"/>
      <c r="F2052" s="566"/>
      <c r="G2052" s="567" t="s">
        <v>3156</v>
      </c>
      <c r="H2052" s="567" t="s">
        <v>729</v>
      </c>
      <c r="I2052" s="239" t="str">
        <f>IF(ISBLANK(global!I529),"",global!I529)</f>
        <v/>
      </c>
      <c r="K2052" s="262" t="s">
        <v>4241</v>
      </c>
      <c r="O2052" s="262" t="s">
        <v>4241</v>
      </c>
    </row>
    <row r="2053" spans="1:15" ht="12.75" customHeight="1" x14ac:dyDescent="0.3">
      <c r="A2053" s="566"/>
      <c r="B2053" s="566" t="s">
        <v>1447</v>
      </c>
      <c r="C2053" s="566"/>
      <c r="D2053" s="566"/>
      <c r="E2053" s="566"/>
      <c r="F2053" s="566"/>
      <c r="G2053" s="567" t="s">
        <v>3157</v>
      </c>
      <c r="H2053" s="567" t="s">
        <v>335</v>
      </c>
      <c r="I2053" s="239" t="str">
        <f>IF(ISBLANK(global!I530),"",global!I530)</f>
        <v/>
      </c>
      <c r="K2053" s="262" t="s">
        <v>4241</v>
      </c>
      <c r="O2053" s="262" t="s">
        <v>4241</v>
      </c>
    </row>
    <row r="2054" spans="1:15" ht="12.75" customHeight="1" x14ac:dyDescent="0.3">
      <c r="A2054" s="566"/>
      <c r="B2054" s="566" t="s">
        <v>1449</v>
      </c>
      <c r="C2054" s="566"/>
      <c r="D2054" s="566"/>
      <c r="E2054" s="566"/>
      <c r="F2054" s="566"/>
      <c r="G2054" s="567" t="s">
        <v>3158</v>
      </c>
      <c r="H2054" s="567" t="s">
        <v>335</v>
      </c>
      <c r="I2054" s="239" t="str">
        <f>IF(ISBLANK(global!I531),"",global!I531)</f>
        <v/>
      </c>
      <c r="K2054" s="262" t="s">
        <v>4241</v>
      </c>
      <c r="O2054" s="262" t="s">
        <v>4241</v>
      </c>
    </row>
    <row r="2055" spans="1:15" ht="12.75" customHeight="1" x14ac:dyDescent="0.3">
      <c r="A2055" s="566" t="s">
        <v>2811</v>
      </c>
      <c r="B2055" s="566"/>
      <c r="C2055" s="566"/>
      <c r="D2055" s="566"/>
      <c r="E2055" s="566"/>
      <c r="F2055" s="566"/>
      <c r="G2055" s="567" t="s">
        <v>3159</v>
      </c>
      <c r="H2055" s="567" t="s">
        <v>335</v>
      </c>
      <c r="I2055" s="239" t="str">
        <f>IF(ISBLANK(global!I532),"",global!I532)</f>
        <v/>
      </c>
      <c r="K2055" s="262" t="s">
        <v>4241</v>
      </c>
      <c r="O2055" s="262" t="s">
        <v>4241</v>
      </c>
    </row>
    <row r="2056" spans="1:15" ht="12.75" customHeight="1" x14ac:dyDescent="0.3">
      <c r="A2056" s="566"/>
      <c r="B2056" s="566" t="s">
        <v>1549</v>
      </c>
      <c r="C2056" s="566"/>
      <c r="D2056" s="566"/>
      <c r="E2056" s="566"/>
      <c r="F2056" s="566"/>
      <c r="G2056" s="567" t="s">
        <v>3160</v>
      </c>
      <c r="H2056" s="567" t="s">
        <v>1506</v>
      </c>
      <c r="I2056" s="239" t="str">
        <f>IF(ISBLANK(global!I533),"",global!I533)</f>
        <v/>
      </c>
      <c r="K2056" s="262" t="s">
        <v>4241</v>
      </c>
      <c r="O2056" s="262" t="s">
        <v>4241</v>
      </c>
    </row>
    <row r="2057" spans="1:15" ht="12.75" customHeight="1" x14ac:dyDescent="0.3">
      <c r="A2057" s="566"/>
      <c r="B2057" s="566" t="s">
        <v>1551</v>
      </c>
      <c r="C2057" s="566"/>
      <c r="D2057" s="566"/>
      <c r="E2057" s="566"/>
      <c r="F2057" s="566"/>
      <c r="G2057" s="566" t="s">
        <v>3161</v>
      </c>
      <c r="H2057" s="567" t="s">
        <v>866</v>
      </c>
      <c r="I2057" s="239" t="str">
        <f>IF(ISBLANK(global!I534),"",global!I534)</f>
        <v/>
      </c>
      <c r="K2057" s="262" t="s">
        <v>4241</v>
      </c>
      <c r="O2057" s="262" t="s">
        <v>4241</v>
      </c>
    </row>
    <row r="2058" spans="1:15" ht="12.75" customHeight="1" x14ac:dyDescent="0.3">
      <c r="A2058" s="566"/>
      <c r="B2058" s="566" t="s">
        <v>1510</v>
      </c>
      <c r="C2058" s="566"/>
      <c r="D2058" s="566"/>
      <c r="E2058" s="566"/>
      <c r="F2058" s="566"/>
      <c r="G2058" s="567" t="s">
        <v>3162</v>
      </c>
      <c r="H2058" s="567" t="s">
        <v>291</v>
      </c>
      <c r="I2058" s="239" t="str">
        <f>IF(ISBLANK(global!I535),"",global!I535)</f>
        <v/>
      </c>
      <c r="K2058" s="262" t="s">
        <v>4241</v>
      </c>
      <c r="O2058" s="262" t="s">
        <v>4241</v>
      </c>
    </row>
    <row r="2059" spans="1:15" ht="12.75" customHeight="1" x14ac:dyDescent="0.3">
      <c r="A2059" s="566"/>
      <c r="B2059" s="566"/>
      <c r="C2059" s="566" t="s">
        <v>1512</v>
      </c>
      <c r="D2059" s="566"/>
      <c r="E2059" s="566"/>
      <c r="F2059" s="566"/>
      <c r="G2059" s="567" t="s">
        <v>3163</v>
      </c>
      <c r="H2059" s="567" t="s">
        <v>291</v>
      </c>
      <c r="I2059" s="239" t="str">
        <f>IF(ISBLANK(global!I536),"",global!I536)</f>
        <v/>
      </c>
      <c r="K2059" s="262" t="s">
        <v>4241</v>
      </c>
      <c r="O2059" s="262" t="s">
        <v>4241</v>
      </c>
    </row>
    <row r="2060" spans="1:15" ht="12.75" customHeight="1" x14ac:dyDescent="0.3">
      <c r="A2060" s="566"/>
      <c r="B2060" s="566"/>
      <c r="C2060" s="566"/>
      <c r="D2060" s="566" t="s">
        <v>1514</v>
      </c>
      <c r="E2060" s="566"/>
      <c r="F2060" s="566"/>
      <c r="G2060" s="566" t="s">
        <v>3164</v>
      </c>
      <c r="H2060" s="567" t="s">
        <v>291</v>
      </c>
      <c r="I2060" s="239" t="str">
        <f>IF(ISBLANK(global!I537),"",global!I537)</f>
        <v/>
      </c>
      <c r="K2060" s="262" t="s">
        <v>4241</v>
      </c>
      <c r="O2060" s="262" t="s">
        <v>4241</v>
      </c>
    </row>
    <row r="2061" spans="1:15" ht="12.75" customHeight="1" x14ac:dyDescent="0.3">
      <c r="A2061" s="566"/>
      <c r="B2061" s="566"/>
      <c r="C2061" s="566"/>
      <c r="D2061" s="566"/>
      <c r="E2061" s="566" t="s">
        <v>1556</v>
      </c>
      <c r="F2061" s="566"/>
      <c r="G2061" s="566" t="s">
        <v>3165</v>
      </c>
      <c r="H2061" s="567" t="s">
        <v>291</v>
      </c>
      <c r="I2061" s="239" t="str">
        <f>IF(ISBLANK(global!I538),"",global!I538)</f>
        <v/>
      </c>
      <c r="K2061" s="262" t="s">
        <v>4241</v>
      </c>
      <c r="O2061" s="262" t="s">
        <v>4241</v>
      </c>
    </row>
    <row r="2062" spans="1:15" ht="12.75" customHeight="1" x14ac:dyDescent="0.3">
      <c r="A2062" s="566"/>
      <c r="B2062" s="566"/>
      <c r="C2062" s="566"/>
      <c r="D2062" s="566"/>
      <c r="E2062" s="566"/>
      <c r="F2062" s="566" t="s">
        <v>1558</v>
      </c>
      <c r="G2062" s="566" t="s">
        <v>3166</v>
      </c>
      <c r="H2062" s="567" t="s">
        <v>1520</v>
      </c>
      <c r="I2062" s="239" t="str">
        <f>IF(ISBLANK(global!I539),"",global!I539)</f>
        <v/>
      </c>
      <c r="K2062" s="262" t="s">
        <v>4241</v>
      </c>
      <c r="O2062" s="262" t="s">
        <v>4241</v>
      </c>
    </row>
    <row r="2063" spans="1:15" ht="12.75" customHeight="1" x14ac:dyDescent="0.3">
      <c r="A2063" s="566"/>
      <c r="B2063" s="566"/>
      <c r="C2063" s="566" t="s">
        <v>1522</v>
      </c>
      <c r="D2063" s="566"/>
      <c r="E2063" s="566"/>
      <c r="F2063" s="566"/>
      <c r="G2063" s="567" t="s">
        <v>3167</v>
      </c>
      <c r="H2063" s="567" t="s">
        <v>291</v>
      </c>
      <c r="I2063" s="239" t="str">
        <f>IF(ISBLANK(global!I540),"",global!I540)</f>
        <v/>
      </c>
      <c r="K2063" s="262" t="s">
        <v>4241</v>
      </c>
      <c r="O2063" s="262" t="s">
        <v>4241</v>
      </c>
    </row>
    <row r="2064" spans="1:15" ht="12.75" customHeight="1" x14ac:dyDescent="0.3">
      <c r="A2064" s="566"/>
      <c r="B2064" s="566"/>
      <c r="C2064" s="566" t="s">
        <v>1524</v>
      </c>
      <c r="D2064" s="566"/>
      <c r="E2064" s="566"/>
      <c r="F2064" s="566"/>
      <c r="G2064" s="567" t="s">
        <v>3168</v>
      </c>
      <c r="H2064" s="567" t="s">
        <v>291</v>
      </c>
      <c r="I2064" s="239" t="str">
        <f>IF(ISBLANK(global!I541),"",global!I541)</f>
        <v/>
      </c>
      <c r="K2064" s="262" t="s">
        <v>4241</v>
      </c>
      <c r="O2064" s="262" t="s">
        <v>4241</v>
      </c>
    </row>
    <row r="2065" spans="1:15" ht="12.75" customHeight="1" x14ac:dyDescent="0.3">
      <c r="A2065" s="566"/>
      <c r="B2065" s="566"/>
      <c r="C2065" s="566"/>
      <c r="D2065" s="566" t="s">
        <v>1528</v>
      </c>
      <c r="E2065" s="566"/>
      <c r="F2065" s="566"/>
      <c r="G2065" s="566" t="s">
        <v>3169</v>
      </c>
      <c r="H2065" s="567" t="s">
        <v>1530</v>
      </c>
      <c r="I2065" s="239" t="str">
        <f>IF(ISBLANK(global!I542),"",global!I542)</f>
        <v/>
      </c>
      <c r="K2065" s="262" t="s">
        <v>4241</v>
      </c>
      <c r="O2065" s="262" t="s">
        <v>4241</v>
      </c>
    </row>
    <row r="2066" spans="1:15" ht="12.75" customHeight="1" x14ac:dyDescent="0.3">
      <c r="A2066" s="566"/>
      <c r="B2066" s="566"/>
      <c r="C2066" s="566"/>
      <c r="D2066" s="566" t="s">
        <v>1531</v>
      </c>
      <c r="E2066" s="566"/>
      <c r="F2066" s="566"/>
      <c r="G2066" s="566" t="s">
        <v>3170</v>
      </c>
      <c r="H2066" s="567" t="s">
        <v>291</v>
      </c>
      <c r="I2066" s="239" t="str">
        <f>IF(ISBLANK(global!I543),"",global!I543)</f>
        <v/>
      </c>
      <c r="K2066" s="262" t="s">
        <v>4241</v>
      </c>
      <c r="O2066" s="262" t="s">
        <v>4241</v>
      </c>
    </row>
    <row r="2067" spans="1:15" ht="12.75" customHeight="1" x14ac:dyDescent="0.3">
      <c r="A2067" s="566"/>
      <c r="B2067" s="566"/>
      <c r="C2067" s="566"/>
      <c r="D2067" s="566" t="s">
        <v>1526</v>
      </c>
      <c r="E2067" s="566"/>
      <c r="F2067" s="566"/>
      <c r="G2067" s="566" t="s">
        <v>3171</v>
      </c>
      <c r="H2067" s="567" t="s">
        <v>291</v>
      </c>
      <c r="I2067" s="239" t="str">
        <f>IF(ISBLANK(global!I544),"",global!I544)</f>
        <v/>
      </c>
      <c r="K2067" s="262" t="s">
        <v>4241</v>
      </c>
      <c r="O2067" s="262" t="s">
        <v>4241</v>
      </c>
    </row>
    <row r="2068" spans="1:15" ht="12.75" customHeight="1" x14ac:dyDescent="0.3">
      <c r="A2068" s="566"/>
      <c r="B2068" s="566"/>
      <c r="C2068" s="566"/>
      <c r="D2068" s="566" t="s">
        <v>1533</v>
      </c>
      <c r="E2068" s="566"/>
      <c r="F2068" s="566"/>
      <c r="G2068" s="567" t="s">
        <v>3172</v>
      </c>
      <c r="H2068" s="567" t="s">
        <v>291</v>
      </c>
      <c r="I2068" s="239" t="str">
        <f>IF(ISBLANK(global!I545),"",global!I545)</f>
        <v/>
      </c>
      <c r="K2068" s="262" t="s">
        <v>4241</v>
      </c>
      <c r="O2068" s="262" t="s">
        <v>4241</v>
      </c>
    </row>
    <row r="2069" spans="1:15" ht="12.75" customHeight="1" x14ac:dyDescent="0.3">
      <c r="I2069" s="239" t="str">
        <f>IF(ISBLANK(global!I546),"",global!I546)</f>
        <v/>
      </c>
      <c r="K2069" s="262" t="s">
        <v>4241</v>
      </c>
      <c r="O2069" s="262" t="s">
        <v>4241</v>
      </c>
    </row>
    <row r="2070" spans="1:15" ht="12.75" customHeight="1" x14ac:dyDescent="0.3">
      <c r="A2070" s="632" t="s">
        <v>1598</v>
      </c>
      <c r="B2070" s="633"/>
      <c r="C2070" s="633"/>
      <c r="D2070" s="633"/>
      <c r="E2070" s="633"/>
      <c r="F2070" s="633"/>
      <c r="G2070" s="632" t="s">
        <v>258</v>
      </c>
      <c r="H2070" s="632" t="s">
        <v>274</v>
      </c>
      <c r="I2070" s="239" t="str">
        <f>IF(ISBLANK(global!I547),"",global!I547)</f>
        <v>User input</v>
      </c>
      <c r="K2070" s="262" t="s">
        <v>259</v>
      </c>
      <c r="O2070" s="262" t="s">
        <v>259</v>
      </c>
    </row>
    <row r="2071" spans="1:15" ht="12.75" customHeight="1" x14ac:dyDescent="0.3">
      <c r="A2071" t="s">
        <v>3173</v>
      </c>
      <c r="I2071" s="239" t="str">
        <f>IF(ISBLANK(global!I548),"",global!I548)</f>
        <v/>
      </c>
      <c r="K2071" s="262" t="s">
        <v>4241</v>
      </c>
      <c r="O2071" s="262" t="s">
        <v>4241</v>
      </c>
    </row>
    <row r="2072" spans="1:15" ht="12.75" customHeight="1" x14ac:dyDescent="0.3">
      <c r="A2072" s="566"/>
      <c r="B2072" s="566" t="s">
        <v>1600</v>
      </c>
      <c r="C2072" s="566"/>
      <c r="D2072" s="566"/>
      <c r="E2072" s="566"/>
      <c r="F2072" s="566"/>
      <c r="G2072" s="567" t="s">
        <v>3174</v>
      </c>
      <c r="H2072" s="567" t="s">
        <v>813</v>
      </c>
      <c r="I2072" s="239" t="str">
        <f>IF(ISBLANK(global!I549),"",global!I549)</f>
        <v/>
      </c>
      <c r="K2072" s="262" t="s">
        <v>4241</v>
      </c>
      <c r="O2072" s="262" t="s">
        <v>4241</v>
      </c>
    </row>
    <row r="2073" spans="1:15" ht="12.75" customHeight="1" x14ac:dyDescent="0.3">
      <c r="A2073" s="566"/>
      <c r="B2073" s="566" t="s">
        <v>1603</v>
      </c>
      <c r="C2073" s="566"/>
      <c r="D2073" s="566"/>
      <c r="E2073" s="566"/>
      <c r="F2073" s="566"/>
      <c r="G2073" s="567" t="s">
        <v>3175</v>
      </c>
      <c r="H2073" s="567" t="s">
        <v>291</v>
      </c>
      <c r="I2073" s="239" t="str">
        <f>IF(ISBLANK(global!I550),"",global!I550)</f>
        <v/>
      </c>
      <c r="K2073" s="262" t="s">
        <v>4241</v>
      </c>
      <c r="O2073" s="262" t="s">
        <v>4241</v>
      </c>
    </row>
    <row r="2074" spans="1:15" ht="12.75" customHeight="1" x14ac:dyDescent="0.3">
      <c r="A2074" s="566"/>
      <c r="B2074" s="566" t="s">
        <v>1606</v>
      </c>
      <c r="C2074" s="566"/>
      <c r="D2074" s="566"/>
      <c r="E2074" s="566"/>
      <c r="F2074" s="566"/>
      <c r="G2074" s="567" t="s">
        <v>3176</v>
      </c>
      <c r="H2074" s="567" t="s">
        <v>866</v>
      </c>
      <c r="I2074" s="239" t="str">
        <f>IF(ISBLANK(global!I551),"",global!I551)</f>
        <v/>
      </c>
      <c r="K2074" s="262" t="s">
        <v>4241</v>
      </c>
      <c r="O2074" s="262" t="s">
        <v>4241</v>
      </c>
    </row>
    <row r="2075" spans="1:15" ht="12.75" customHeight="1" x14ac:dyDescent="0.3">
      <c r="A2075" s="566"/>
      <c r="B2075" s="566" t="s">
        <v>1610</v>
      </c>
      <c r="C2075" s="566"/>
      <c r="D2075" s="566"/>
      <c r="E2075" s="566"/>
      <c r="F2075" s="566"/>
      <c r="G2075" s="567" t="s">
        <v>3177</v>
      </c>
      <c r="H2075" s="567" t="s">
        <v>866</v>
      </c>
      <c r="I2075" s="239" t="str">
        <f>IF(ISBLANK(global!I552),"",global!I552)</f>
        <v/>
      </c>
      <c r="K2075" s="262" t="s">
        <v>4241</v>
      </c>
      <c r="O2075" s="262" t="s">
        <v>4241</v>
      </c>
    </row>
    <row r="2076" spans="1:15" ht="12.75" customHeight="1" x14ac:dyDescent="0.3">
      <c r="A2076" s="566"/>
      <c r="B2076" s="566" t="s">
        <v>1612</v>
      </c>
      <c r="C2076" s="566"/>
      <c r="D2076" s="566"/>
      <c r="E2076" s="566"/>
      <c r="F2076" s="566"/>
      <c r="G2076" s="567" t="s">
        <v>3178</v>
      </c>
      <c r="H2076" s="567" t="s">
        <v>291</v>
      </c>
      <c r="I2076" s="239" t="str">
        <f>IF(ISBLANK(global!I553),"",global!I553)</f>
        <v/>
      </c>
      <c r="K2076" s="262" t="s">
        <v>4241</v>
      </c>
      <c r="O2076" s="262" t="s">
        <v>4241</v>
      </c>
    </row>
    <row r="2077" spans="1:15" ht="12.75" customHeight="1" x14ac:dyDescent="0.3">
      <c r="A2077" s="566"/>
      <c r="B2077" s="566" t="s">
        <v>1614</v>
      </c>
      <c r="C2077" s="566"/>
      <c r="D2077" s="566"/>
      <c r="E2077" s="566"/>
      <c r="F2077" s="566"/>
      <c r="G2077" s="567" t="s">
        <v>3179</v>
      </c>
      <c r="H2077" s="567" t="s">
        <v>291</v>
      </c>
      <c r="I2077" s="239" t="str">
        <f>IF(ISBLANK(global!I554),"",global!I554)</f>
        <v/>
      </c>
      <c r="K2077" s="262" t="s">
        <v>4241</v>
      </c>
      <c r="O2077" s="262" t="s">
        <v>4241</v>
      </c>
    </row>
    <row r="2078" spans="1:15" ht="12.75" customHeight="1" x14ac:dyDescent="0.3">
      <c r="A2078" s="566"/>
      <c r="B2078" s="566" t="s">
        <v>1616</v>
      </c>
      <c r="C2078" s="566"/>
      <c r="D2078" s="566"/>
      <c r="E2078" s="566"/>
      <c r="F2078" s="566"/>
      <c r="G2078" s="567" t="s">
        <v>3180</v>
      </c>
      <c r="H2078" s="567" t="s">
        <v>291</v>
      </c>
      <c r="I2078" s="239" t="str">
        <f>IF(ISBLANK(global!I555),"",global!I555)</f>
        <v/>
      </c>
      <c r="K2078" s="262" t="s">
        <v>4241</v>
      </c>
      <c r="O2078" s="262" t="s">
        <v>4241</v>
      </c>
    </row>
    <row r="2079" spans="1:15" ht="12.75" customHeight="1" x14ac:dyDescent="0.3">
      <c r="A2079" t="s">
        <v>3181</v>
      </c>
      <c r="G2079"/>
      <c r="H2079"/>
      <c r="I2079" s="239" t="str">
        <f>IF(ISBLANK(global!I556),"",global!I556)</f>
        <v/>
      </c>
      <c r="K2079" s="262" t="s">
        <v>4241</v>
      </c>
      <c r="O2079" s="262" t="s">
        <v>4241</v>
      </c>
    </row>
    <row r="2080" spans="1:15" ht="12.75" customHeight="1" x14ac:dyDescent="0.3">
      <c r="A2080" s="566"/>
      <c r="B2080" s="566" t="s">
        <v>1619</v>
      </c>
      <c r="C2080" s="566"/>
      <c r="D2080" s="566"/>
      <c r="E2080" s="566"/>
      <c r="F2080" s="566"/>
      <c r="G2080" s="566" t="s">
        <v>3182</v>
      </c>
      <c r="H2080" s="566" t="s">
        <v>813</v>
      </c>
      <c r="I2080" s="239" t="str">
        <f>IF(ISBLANK(global!I557),"",global!I557)</f>
        <v/>
      </c>
      <c r="K2080" s="262" t="s">
        <v>4241</v>
      </c>
      <c r="O2080" s="262" t="s">
        <v>4241</v>
      </c>
    </row>
    <row r="2081" spans="1:15" ht="12.75" customHeight="1" x14ac:dyDescent="0.3">
      <c r="A2081" s="566"/>
      <c r="B2081" s="566" t="s">
        <v>1621</v>
      </c>
      <c r="C2081" s="566"/>
      <c r="D2081" s="566"/>
      <c r="E2081" s="566"/>
      <c r="F2081" s="566"/>
      <c r="G2081" s="566" t="s">
        <v>3183</v>
      </c>
      <c r="H2081" s="566" t="s">
        <v>282</v>
      </c>
      <c r="I2081" s="239" t="str">
        <f>IF(ISBLANK(global!I558),"",global!I558)</f>
        <v/>
      </c>
      <c r="K2081" s="262" t="s">
        <v>4241</v>
      </c>
      <c r="O2081" s="262" t="s">
        <v>4241</v>
      </c>
    </row>
    <row r="2082" spans="1:15" ht="12.75" customHeight="1" x14ac:dyDescent="0.3">
      <c r="A2082" s="566"/>
      <c r="B2082" s="566"/>
      <c r="C2082" s="566" t="s">
        <v>1623</v>
      </c>
      <c r="D2082" s="566"/>
      <c r="E2082" s="566"/>
      <c r="F2082" s="566"/>
      <c r="G2082" s="566" t="s">
        <v>3184</v>
      </c>
      <c r="H2082" s="566" t="s">
        <v>857</v>
      </c>
      <c r="I2082" s="239" t="str">
        <f>IF(ISBLANK(global!I559),"",global!I559)</f>
        <v/>
      </c>
      <c r="K2082" s="262" t="s">
        <v>4241</v>
      </c>
      <c r="O2082" s="262" t="s">
        <v>4241</v>
      </c>
    </row>
    <row r="2083" spans="1:15" ht="12.75" customHeight="1" x14ac:dyDescent="0.3">
      <c r="A2083" s="566"/>
      <c r="B2083" s="566"/>
      <c r="C2083" s="566" t="s">
        <v>1625</v>
      </c>
      <c r="D2083" s="566"/>
      <c r="E2083" s="566"/>
      <c r="F2083" s="566"/>
      <c r="G2083" s="566" t="s">
        <v>3185</v>
      </c>
      <c r="H2083" s="566" t="s">
        <v>888</v>
      </c>
      <c r="I2083" s="239" t="str">
        <f>IF(ISBLANK(global!I560),"",global!I560)</f>
        <v/>
      </c>
      <c r="K2083" s="262" t="s">
        <v>4241</v>
      </c>
      <c r="O2083" s="262" t="s">
        <v>4241</v>
      </c>
    </row>
    <row r="2084" spans="1:15" ht="12.75" customHeight="1" x14ac:dyDescent="0.3">
      <c r="A2084" t="s">
        <v>3186</v>
      </c>
      <c r="G2084"/>
      <c r="H2084"/>
      <c r="I2084" s="239" t="str">
        <f>IF(ISBLANK(global!I561),"",global!I561)</f>
        <v/>
      </c>
      <c r="K2084" s="262" t="s">
        <v>4241</v>
      </c>
      <c r="O2084" s="262" t="s">
        <v>4241</v>
      </c>
    </row>
    <row r="2085" spans="1:15" ht="12.75" customHeight="1" x14ac:dyDescent="0.3">
      <c r="A2085" s="566" t="s">
        <v>1628</v>
      </c>
      <c r="B2085" s="566"/>
      <c r="C2085" s="566"/>
      <c r="D2085" s="566"/>
      <c r="E2085" s="566"/>
      <c r="F2085" s="566"/>
      <c r="G2085" s="567" t="s">
        <v>3187</v>
      </c>
      <c r="H2085" s="567" t="s">
        <v>335</v>
      </c>
      <c r="I2085" s="239" t="str">
        <f>IF(ISBLANK(global!I562),"",global!I562)</f>
        <v/>
      </c>
      <c r="K2085" s="262" t="s">
        <v>4241</v>
      </c>
      <c r="O2085" s="262" t="s">
        <v>4241</v>
      </c>
    </row>
    <row r="2086" spans="1:15" ht="12.75" customHeight="1" x14ac:dyDescent="0.3">
      <c r="A2086" s="566"/>
      <c r="B2086" s="566" t="s">
        <v>1631</v>
      </c>
      <c r="C2086" s="566"/>
      <c r="D2086" s="566"/>
      <c r="E2086" s="566"/>
      <c r="F2086" s="566"/>
      <c r="G2086" s="567" t="s">
        <v>3188</v>
      </c>
      <c r="H2086" s="567" t="s">
        <v>1633</v>
      </c>
      <c r="I2086" s="239" t="str">
        <f>IF(ISBLANK(global!I563),"",global!I563)</f>
        <v/>
      </c>
      <c r="K2086" s="262" t="s">
        <v>4241</v>
      </c>
      <c r="O2086" s="262" t="s">
        <v>4241</v>
      </c>
    </row>
    <row r="2087" spans="1:15" ht="12.75" customHeight="1" x14ac:dyDescent="0.3">
      <c r="A2087" s="566"/>
      <c r="B2087" s="566" t="s">
        <v>1634</v>
      </c>
      <c r="C2087" s="566"/>
      <c r="D2087" s="566"/>
      <c r="E2087" s="566"/>
      <c r="F2087" s="566"/>
      <c r="G2087" s="567" t="s">
        <v>3189</v>
      </c>
      <c r="H2087" s="567" t="s">
        <v>291</v>
      </c>
      <c r="I2087" s="239" t="str">
        <f>IF(ISBLANK(global!I564),"",global!I564)</f>
        <v/>
      </c>
      <c r="K2087" s="262" t="s">
        <v>4241</v>
      </c>
      <c r="O2087" s="262" t="s">
        <v>4241</v>
      </c>
    </row>
    <row r="2088" spans="1:15" ht="12.75" customHeight="1" x14ac:dyDescent="0.3">
      <c r="A2088" s="566"/>
      <c r="B2088" s="566" t="s">
        <v>1637</v>
      </c>
      <c r="C2088" s="566"/>
      <c r="D2088" s="566"/>
      <c r="E2088" s="566"/>
      <c r="F2088" s="566"/>
      <c r="G2088" s="567" t="s">
        <v>3190</v>
      </c>
      <c r="H2088" s="567" t="s">
        <v>866</v>
      </c>
      <c r="I2088" s="239" t="str">
        <f>IF(ISBLANK(global!I565),"",global!I565)</f>
        <v/>
      </c>
      <c r="K2088" s="262" t="s">
        <v>4241</v>
      </c>
      <c r="O2088" s="262" t="s">
        <v>4241</v>
      </c>
    </row>
    <row r="2089" spans="1:15" ht="12.75" customHeight="1" x14ac:dyDescent="0.3">
      <c r="A2089" s="566"/>
      <c r="B2089" s="566" t="s">
        <v>1639</v>
      </c>
      <c r="C2089" s="566"/>
      <c r="D2089" s="566"/>
      <c r="E2089" s="566"/>
      <c r="F2089" s="566"/>
      <c r="G2089" s="567" t="s">
        <v>3191</v>
      </c>
      <c r="H2089" s="567" t="s">
        <v>291</v>
      </c>
      <c r="I2089" s="239" t="str">
        <f>IF(ISBLANK(global!I566),"",global!I566)</f>
        <v/>
      </c>
      <c r="K2089" s="262" t="s">
        <v>4241</v>
      </c>
      <c r="O2089" s="262" t="s">
        <v>4241</v>
      </c>
    </row>
    <row r="2090" spans="1:15" ht="12.75" customHeight="1" x14ac:dyDescent="0.3">
      <c r="A2090" s="566"/>
      <c r="B2090" s="566"/>
      <c r="C2090" s="566" t="s">
        <v>1641</v>
      </c>
      <c r="D2090" s="566"/>
      <c r="E2090" s="566"/>
      <c r="F2090" s="566"/>
      <c r="G2090" s="567" t="s">
        <v>3192</v>
      </c>
      <c r="H2090" s="567" t="s">
        <v>291</v>
      </c>
      <c r="I2090" s="239" t="str">
        <f>IF(ISBLANK(global!I567),"",global!I567)</f>
        <v/>
      </c>
      <c r="K2090" s="262" t="s">
        <v>4241</v>
      </c>
      <c r="O2090" s="262" t="s">
        <v>4241</v>
      </c>
    </row>
    <row r="2091" spans="1:15" ht="12.75" customHeight="1" x14ac:dyDescent="0.3">
      <c r="A2091" s="566"/>
      <c r="B2091" s="566"/>
      <c r="C2091" s="566" t="s">
        <v>1643</v>
      </c>
      <c r="D2091" s="566"/>
      <c r="E2091" s="566"/>
      <c r="F2091" s="566"/>
      <c r="G2091" s="567" t="s">
        <v>3193</v>
      </c>
      <c r="H2091" s="567" t="s">
        <v>291</v>
      </c>
      <c r="I2091" s="239" t="str">
        <f>IF(ISBLANK(global!I568),"",global!I568)</f>
        <v/>
      </c>
      <c r="K2091" s="262" t="s">
        <v>4241</v>
      </c>
      <c r="O2091" s="262" t="s">
        <v>4241</v>
      </c>
    </row>
    <row r="2092" spans="1:15" ht="12.75" customHeight="1" x14ac:dyDescent="0.3">
      <c r="A2092" s="566"/>
      <c r="B2092" s="566"/>
      <c r="C2092" s="566" t="s">
        <v>1645</v>
      </c>
      <c r="D2092" s="566"/>
      <c r="E2092" s="566"/>
      <c r="F2092" s="566"/>
      <c r="G2092" s="567" t="s">
        <v>3194</v>
      </c>
      <c r="H2092" s="567" t="s">
        <v>291</v>
      </c>
      <c r="I2092" s="239" t="str">
        <f>IF(ISBLANK(global!I569),"",global!I569)</f>
        <v/>
      </c>
      <c r="K2092" s="262" t="s">
        <v>4241</v>
      </c>
      <c r="O2092" s="262" t="s">
        <v>4241</v>
      </c>
    </row>
    <row r="2093" spans="1:15" ht="12.75" customHeight="1" x14ac:dyDescent="0.3">
      <c r="A2093" s="566"/>
      <c r="B2093" s="566"/>
      <c r="C2093" s="566" t="s">
        <v>1647</v>
      </c>
      <c r="D2093" s="566"/>
      <c r="E2093" s="566"/>
      <c r="F2093" s="566"/>
      <c r="G2093" s="567" t="s">
        <v>3195</v>
      </c>
      <c r="H2093" s="567" t="s">
        <v>291</v>
      </c>
      <c r="I2093" s="239" t="str">
        <f>IF(ISBLANK(global!I570),"",global!I570)</f>
        <v/>
      </c>
      <c r="K2093" s="262" t="s">
        <v>4241</v>
      </c>
      <c r="O2093" s="262" t="s">
        <v>4241</v>
      </c>
    </row>
    <row r="2094" spans="1:15" ht="12.75" customHeight="1" x14ac:dyDescent="0.3">
      <c r="A2094" s="566" t="s">
        <v>1649</v>
      </c>
      <c r="B2094" s="566"/>
      <c r="C2094" s="566"/>
      <c r="D2094" s="566"/>
      <c r="E2094" s="566"/>
      <c r="F2094" s="566"/>
      <c r="G2094" s="567" t="s">
        <v>3196</v>
      </c>
      <c r="H2094" s="567" t="s">
        <v>335</v>
      </c>
      <c r="I2094" s="239" t="str">
        <f>IF(ISBLANK(global!I571),"",global!I571)</f>
        <v/>
      </c>
      <c r="K2094" s="262" t="s">
        <v>4241</v>
      </c>
      <c r="O2094" s="262" t="s">
        <v>4241</v>
      </c>
    </row>
    <row r="2095" spans="1:15" ht="12.75" customHeight="1" x14ac:dyDescent="0.3">
      <c r="A2095" s="566"/>
      <c r="B2095" s="566" t="s">
        <v>1651</v>
      </c>
      <c r="C2095" s="566"/>
      <c r="D2095" s="566"/>
      <c r="E2095" s="566"/>
      <c r="F2095" s="566"/>
      <c r="G2095" s="567" t="s">
        <v>3197</v>
      </c>
      <c r="H2095" s="567" t="s">
        <v>291</v>
      </c>
      <c r="I2095" s="239" t="str">
        <f>IF(ISBLANK(global!I572),"",global!I572)</f>
        <v/>
      </c>
      <c r="K2095" s="262" t="s">
        <v>4241</v>
      </c>
      <c r="O2095" s="262" t="s">
        <v>4241</v>
      </c>
    </row>
    <row r="2096" spans="1:15" ht="12.75" customHeight="1" x14ac:dyDescent="0.3">
      <c r="A2096" s="566"/>
      <c r="B2096" s="566" t="s">
        <v>1653</v>
      </c>
      <c r="C2096" s="566"/>
      <c r="D2096" s="566"/>
      <c r="E2096" s="566"/>
      <c r="F2096" s="566"/>
      <c r="G2096" s="567" t="s">
        <v>3198</v>
      </c>
      <c r="H2096" s="567"/>
      <c r="I2096" s="239" t="str">
        <f>IF(ISBLANK(global!I573),"",global!I573)</f>
        <v/>
      </c>
      <c r="K2096" s="262" t="s">
        <v>4241</v>
      </c>
      <c r="O2096" s="262" t="s">
        <v>4241</v>
      </c>
    </row>
    <row r="2097" spans="1:15" ht="12.75" customHeight="1" x14ac:dyDescent="0.3">
      <c r="A2097" s="566"/>
      <c r="B2097" s="566" t="s">
        <v>1631</v>
      </c>
      <c r="C2097" s="566"/>
      <c r="D2097" s="566"/>
      <c r="E2097" s="566"/>
      <c r="F2097" s="566"/>
      <c r="G2097" s="567" t="s">
        <v>3199</v>
      </c>
      <c r="H2097" s="567" t="s">
        <v>1633</v>
      </c>
      <c r="I2097" s="239" t="str">
        <f>IF(ISBLANK(global!I574),"",global!I574)</f>
        <v/>
      </c>
      <c r="K2097" s="262" t="s">
        <v>4241</v>
      </c>
      <c r="O2097" s="262" t="s">
        <v>4241</v>
      </c>
    </row>
    <row r="2098" spans="1:15" ht="12.75" customHeight="1" x14ac:dyDescent="0.3">
      <c r="A2098" s="566"/>
      <c r="B2098" s="566" t="s">
        <v>1656</v>
      </c>
      <c r="C2098" s="566"/>
      <c r="D2098" s="566"/>
      <c r="E2098" s="566"/>
      <c r="F2098" s="566"/>
      <c r="G2098" s="567" t="s">
        <v>3200</v>
      </c>
      <c r="H2098" s="567" t="s">
        <v>291</v>
      </c>
      <c r="I2098" s="239" t="str">
        <f>IF(ISBLANK(global!I575),"",global!I575)</f>
        <v/>
      </c>
      <c r="K2098" s="262" t="s">
        <v>4241</v>
      </c>
      <c r="O2098" s="262" t="s">
        <v>4241</v>
      </c>
    </row>
    <row r="2099" spans="1:15" ht="12.75" customHeight="1" x14ac:dyDescent="0.3">
      <c r="A2099" s="566"/>
      <c r="B2099" s="566" t="s">
        <v>1637</v>
      </c>
      <c r="C2099" s="566"/>
      <c r="D2099" s="566"/>
      <c r="E2099" s="566"/>
      <c r="F2099" s="566"/>
      <c r="G2099" s="567" t="s">
        <v>3201</v>
      </c>
      <c r="H2099" s="567" t="s">
        <v>866</v>
      </c>
      <c r="I2099" s="239" t="str">
        <f>IF(ISBLANK(global!I576),"",global!I576)</f>
        <v/>
      </c>
      <c r="K2099" s="262" t="s">
        <v>4241</v>
      </c>
      <c r="O2099" s="262" t="s">
        <v>4241</v>
      </c>
    </row>
    <row r="2100" spans="1:15" ht="12.75" customHeight="1" x14ac:dyDescent="0.3">
      <c r="A2100" s="566"/>
      <c r="B2100" s="566" t="s">
        <v>1639</v>
      </c>
      <c r="C2100" s="566"/>
      <c r="D2100" s="566"/>
      <c r="E2100" s="566"/>
      <c r="F2100" s="566"/>
      <c r="G2100" s="567" t="s">
        <v>3202</v>
      </c>
      <c r="H2100" s="567" t="s">
        <v>291</v>
      </c>
      <c r="I2100" s="239" t="str">
        <f>IF(ISBLANK(global!I577),"",global!I577)</f>
        <v/>
      </c>
      <c r="K2100" s="262" t="s">
        <v>4241</v>
      </c>
      <c r="O2100" s="262" t="s">
        <v>4241</v>
      </c>
    </row>
    <row r="2101" spans="1:15" ht="12.75" customHeight="1" x14ac:dyDescent="0.3">
      <c r="A2101" s="566"/>
      <c r="B2101" s="566"/>
      <c r="C2101" s="566" t="s">
        <v>1641</v>
      </c>
      <c r="D2101" s="566"/>
      <c r="E2101" s="566"/>
      <c r="F2101" s="566"/>
      <c r="G2101" s="567" t="s">
        <v>3203</v>
      </c>
      <c r="H2101" s="567" t="s">
        <v>291</v>
      </c>
      <c r="I2101" s="239" t="str">
        <f>IF(ISBLANK(global!I578),"",global!I578)</f>
        <v/>
      </c>
      <c r="K2101" s="262" t="s">
        <v>4241</v>
      </c>
      <c r="O2101" s="262" t="s">
        <v>4241</v>
      </c>
    </row>
    <row r="2102" spans="1:15" ht="12.75" customHeight="1" x14ac:dyDescent="0.3">
      <c r="A2102" s="566"/>
      <c r="B2102" s="566"/>
      <c r="C2102" s="566" t="s">
        <v>1643</v>
      </c>
      <c r="D2102" s="566"/>
      <c r="E2102" s="566"/>
      <c r="F2102" s="566"/>
      <c r="G2102" s="567" t="s">
        <v>3204</v>
      </c>
      <c r="H2102" s="567" t="s">
        <v>291</v>
      </c>
      <c r="I2102" s="239" t="str">
        <f>IF(ISBLANK(global!I579),"",global!I579)</f>
        <v/>
      </c>
      <c r="K2102" s="262" t="s">
        <v>4241</v>
      </c>
      <c r="O2102" s="262" t="s">
        <v>4241</v>
      </c>
    </row>
    <row r="2103" spans="1:15" ht="12.75" customHeight="1" x14ac:dyDescent="0.3">
      <c r="A2103" s="566"/>
      <c r="B2103" s="566"/>
      <c r="C2103" s="566" t="s">
        <v>1645</v>
      </c>
      <c r="D2103" s="566"/>
      <c r="E2103" s="566"/>
      <c r="F2103" s="566"/>
      <c r="G2103" s="567" t="s">
        <v>3205</v>
      </c>
      <c r="H2103" s="567" t="s">
        <v>291</v>
      </c>
      <c r="I2103" s="239" t="str">
        <f>IF(ISBLANK(global!I580),"",global!I580)</f>
        <v/>
      </c>
      <c r="K2103" s="262" t="s">
        <v>4241</v>
      </c>
      <c r="O2103" s="262" t="s">
        <v>4241</v>
      </c>
    </row>
    <row r="2104" spans="1:15" ht="12.75" customHeight="1" x14ac:dyDescent="0.3">
      <c r="A2104" s="566"/>
      <c r="B2104" s="566"/>
      <c r="C2104" s="566" t="s">
        <v>1647</v>
      </c>
      <c r="D2104" s="566"/>
      <c r="E2104" s="566"/>
      <c r="F2104" s="566"/>
      <c r="G2104" s="567" t="s">
        <v>3206</v>
      </c>
      <c r="H2104" s="567" t="s">
        <v>291</v>
      </c>
      <c r="I2104" s="239" t="str">
        <f>IF(ISBLANK(global!I581),"",global!I581)</f>
        <v/>
      </c>
      <c r="K2104" s="262" t="s">
        <v>4241</v>
      </c>
      <c r="O2104" s="262" t="s">
        <v>4241</v>
      </c>
    </row>
    <row r="2105" spans="1:15" ht="12.75" customHeight="1" x14ac:dyDescent="0.3">
      <c r="A2105" s="566" t="s">
        <v>1664</v>
      </c>
      <c r="B2105" s="566"/>
      <c r="C2105" s="566"/>
      <c r="D2105" s="566"/>
      <c r="E2105" s="566"/>
      <c r="F2105" s="566"/>
      <c r="G2105" s="567" t="s">
        <v>3207</v>
      </c>
      <c r="H2105" s="567" t="s">
        <v>335</v>
      </c>
      <c r="I2105" s="239" t="str">
        <f>IF(ISBLANK(global!I582),"",global!I582)</f>
        <v/>
      </c>
      <c r="K2105" s="262" t="s">
        <v>4241</v>
      </c>
      <c r="O2105" s="262" t="s">
        <v>4241</v>
      </c>
    </row>
    <row r="2106" spans="1:15" ht="12.75" customHeight="1" x14ac:dyDescent="0.3">
      <c r="A2106" s="566" t="s">
        <v>2862</v>
      </c>
      <c r="B2106" s="566"/>
      <c r="C2106" s="566"/>
      <c r="D2106" s="566"/>
      <c r="E2106" s="566"/>
      <c r="F2106" s="566"/>
      <c r="G2106" s="567" t="s">
        <v>3208</v>
      </c>
      <c r="H2106" s="567" t="s">
        <v>335</v>
      </c>
      <c r="I2106" s="239" t="str">
        <f>IF(ISBLANK(global!I583),"",global!I583)</f>
        <v/>
      </c>
      <c r="K2106" s="262" t="s">
        <v>4241</v>
      </c>
      <c r="O2106" s="262" t="s">
        <v>4241</v>
      </c>
    </row>
    <row r="2107" spans="1:15" ht="12.75" customHeight="1" x14ac:dyDescent="0.3">
      <c r="A2107" s="566"/>
      <c r="B2107" s="566" t="s">
        <v>1669</v>
      </c>
      <c r="C2107" s="566"/>
      <c r="D2107" s="566"/>
      <c r="E2107" s="566"/>
      <c r="F2107" s="566"/>
      <c r="G2107" s="567" t="s">
        <v>3209</v>
      </c>
      <c r="H2107" s="567" t="s">
        <v>866</v>
      </c>
      <c r="I2107" s="239" t="str">
        <f>IF(ISBLANK(global!I584),"",global!I584)</f>
        <v/>
      </c>
      <c r="K2107" s="262" t="s">
        <v>4241</v>
      </c>
      <c r="O2107" s="262" t="s">
        <v>4241</v>
      </c>
    </row>
    <row r="2108" spans="1:15" ht="12.75" customHeight="1" x14ac:dyDescent="0.3">
      <c r="A2108" s="566"/>
      <c r="B2108" s="566" t="s">
        <v>1671</v>
      </c>
      <c r="C2108" s="566"/>
      <c r="D2108" s="566"/>
      <c r="E2108" s="566"/>
      <c r="F2108" s="566"/>
      <c r="G2108" s="567" t="s">
        <v>3210</v>
      </c>
      <c r="H2108" s="567" t="s">
        <v>1673</v>
      </c>
      <c r="I2108" s="239" t="str">
        <f>IF(ISBLANK(global!I585),"",global!I585)</f>
        <v/>
      </c>
      <c r="K2108" s="262" t="s">
        <v>4241</v>
      </c>
      <c r="O2108" s="262" t="s">
        <v>4241</v>
      </c>
    </row>
    <row r="2109" spans="1:15" ht="12.75" customHeight="1" x14ac:dyDescent="0.3">
      <c r="A2109" s="566"/>
      <c r="B2109" s="566" t="s">
        <v>1676</v>
      </c>
      <c r="C2109" s="566"/>
      <c r="D2109" s="566"/>
      <c r="E2109" s="566"/>
      <c r="F2109" s="566"/>
      <c r="G2109" s="567" t="s">
        <v>3211</v>
      </c>
      <c r="H2109" s="567" t="s">
        <v>1673</v>
      </c>
      <c r="I2109" s="239" t="str">
        <f>IF(ISBLANK(global!I586),"",global!I586)</f>
        <v/>
      </c>
      <c r="K2109" s="262" t="s">
        <v>4241</v>
      </c>
      <c r="O2109" s="262" t="s">
        <v>4241</v>
      </c>
    </row>
    <row r="2110" spans="1:15" ht="12.75" customHeight="1" x14ac:dyDescent="0.3">
      <c r="A2110" s="566"/>
      <c r="B2110" s="566"/>
      <c r="C2110" s="566" t="s">
        <v>1679</v>
      </c>
      <c r="D2110" s="566"/>
      <c r="E2110" s="566"/>
      <c r="F2110" s="566"/>
      <c r="G2110" s="567" t="s">
        <v>3212</v>
      </c>
      <c r="H2110" s="567" t="s">
        <v>866</v>
      </c>
      <c r="I2110" s="239" t="str">
        <f>IF(ISBLANK(global!I587),"",global!I587)</f>
        <v/>
      </c>
      <c r="K2110" s="262" t="s">
        <v>4241</v>
      </c>
      <c r="O2110" s="262" t="s">
        <v>4241</v>
      </c>
    </row>
    <row r="2111" spans="1:15" ht="12.75" customHeight="1" x14ac:dyDescent="0.3">
      <c r="A2111" s="566"/>
      <c r="B2111" s="566"/>
      <c r="C2111" s="566" t="s">
        <v>1641</v>
      </c>
      <c r="D2111" s="566"/>
      <c r="E2111" s="566"/>
      <c r="F2111" s="566"/>
      <c r="G2111" s="567" t="s">
        <v>3213</v>
      </c>
      <c r="H2111" s="567" t="s">
        <v>291</v>
      </c>
      <c r="I2111" s="239" t="str">
        <f>IF(ISBLANK(global!I588),"",global!I588)</f>
        <v/>
      </c>
      <c r="K2111" s="262" t="s">
        <v>4241</v>
      </c>
      <c r="O2111" s="262" t="s">
        <v>4241</v>
      </c>
    </row>
    <row r="2112" spans="1:15" ht="12.75" customHeight="1" x14ac:dyDescent="0.3">
      <c r="A2112" s="566"/>
      <c r="B2112" s="566"/>
      <c r="C2112" s="566" t="s">
        <v>1643</v>
      </c>
      <c r="D2112" s="566"/>
      <c r="E2112" s="566"/>
      <c r="F2112" s="566"/>
      <c r="G2112" s="567" t="s">
        <v>3214</v>
      </c>
      <c r="H2112" s="567" t="s">
        <v>291</v>
      </c>
      <c r="I2112" s="239" t="str">
        <f>IF(ISBLANK(global!I589),"",global!I589)</f>
        <v/>
      </c>
      <c r="K2112" s="262" t="s">
        <v>4241</v>
      </c>
      <c r="O2112" s="262" t="s">
        <v>4241</v>
      </c>
    </row>
    <row r="2113" spans="1:15" ht="12.75" customHeight="1" x14ac:dyDescent="0.3">
      <c r="A2113" s="566"/>
      <c r="B2113" s="566"/>
      <c r="C2113" s="566"/>
      <c r="D2113" s="566" t="s">
        <v>1686</v>
      </c>
      <c r="E2113" s="566"/>
      <c r="F2113" s="566"/>
      <c r="G2113" s="567" t="s">
        <v>3215</v>
      </c>
      <c r="H2113" s="567" t="s">
        <v>813</v>
      </c>
      <c r="I2113" s="239" t="str">
        <f>IF(ISBLANK(global!I590),"",global!I590)</f>
        <v/>
      </c>
      <c r="K2113" s="262" t="s">
        <v>4241</v>
      </c>
      <c r="O2113" s="262" t="s">
        <v>4241</v>
      </c>
    </row>
    <row r="2114" spans="1:15" ht="12.75" customHeight="1" x14ac:dyDescent="0.3">
      <c r="A2114" s="566"/>
      <c r="B2114" s="566"/>
      <c r="C2114" s="566"/>
      <c r="D2114" s="566" t="s">
        <v>1688</v>
      </c>
      <c r="E2114" s="566"/>
      <c r="F2114" s="566"/>
      <c r="G2114" s="567" t="s">
        <v>3216</v>
      </c>
      <c r="H2114" s="567" t="s">
        <v>813</v>
      </c>
      <c r="I2114" s="239" t="str">
        <f>IF(ISBLANK(global!I591),"",global!I591)</f>
        <v/>
      </c>
      <c r="K2114" s="262" t="s">
        <v>4241</v>
      </c>
      <c r="O2114" s="262" t="s">
        <v>4241</v>
      </c>
    </row>
    <row r="2115" spans="1:15" ht="12.75" customHeight="1" x14ac:dyDescent="0.3">
      <c r="A2115" s="566"/>
      <c r="B2115" s="566"/>
      <c r="C2115" s="566"/>
      <c r="D2115" s="566" t="s">
        <v>1690</v>
      </c>
      <c r="E2115" s="566"/>
      <c r="F2115" s="566"/>
      <c r="G2115" s="567" t="s">
        <v>3217</v>
      </c>
      <c r="H2115" s="567" t="s">
        <v>291</v>
      </c>
      <c r="I2115" s="239" t="str">
        <f>IF(ISBLANK(global!I592),"",global!I592)</f>
        <v/>
      </c>
      <c r="K2115" s="262" t="s">
        <v>4241</v>
      </c>
      <c r="O2115" s="262" t="s">
        <v>4241</v>
      </c>
    </row>
    <row r="2116" spans="1:15" ht="12.75" customHeight="1" x14ac:dyDescent="0.3">
      <c r="A2116" s="566"/>
      <c r="B2116" s="566"/>
      <c r="C2116" s="566" t="s">
        <v>1645</v>
      </c>
      <c r="D2116" s="566"/>
      <c r="E2116" s="566"/>
      <c r="F2116" s="566"/>
      <c r="G2116" s="567" t="s">
        <v>3218</v>
      </c>
      <c r="H2116" s="567" t="s">
        <v>291</v>
      </c>
      <c r="I2116" s="239" t="str">
        <f>IF(ISBLANK(global!I593),"",global!I593)</f>
        <v/>
      </c>
      <c r="K2116" s="262" t="s">
        <v>4241</v>
      </c>
      <c r="O2116" s="262" t="s">
        <v>4241</v>
      </c>
    </row>
    <row r="2117" spans="1:15" ht="12.75" customHeight="1" x14ac:dyDescent="0.3">
      <c r="A2117" s="566" t="s">
        <v>2874</v>
      </c>
      <c r="B2117" s="566"/>
      <c r="C2117" s="566"/>
      <c r="D2117" s="566"/>
      <c r="E2117" s="566"/>
      <c r="F2117" s="566"/>
      <c r="G2117" s="567" t="s">
        <v>3219</v>
      </c>
      <c r="H2117" s="567" t="s">
        <v>335</v>
      </c>
      <c r="I2117" s="239" t="str">
        <f>IF(ISBLANK(global!I594),"",global!I594)</f>
        <v/>
      </c>
      <c r="K2117" s="262" t="s">
        <v>4241</v>
      </c>
      <c r="O2117" s="262" t="s">
        <v>4241</v>
      </c>
    </row>
    <row r="2118" spans="1:15" ht="12.75" customHeight="1" x14ac:dyDescent="0.3">
      <c r="A2118" s="566"/>
      <c r="B2118" s="566" t="s">
        <v>1669</v>
      </c>
      <c r="C2118" s="566"/>
      <c r="D2118" s="566"/>
      <c r="E2118" s="566"/>
      <c r="F2118" s="566"/>
      <c r="G2118" s="567" t="s">
        <v>3220</v>
      </c>
      <c r="H2118" s="567" t="s">
        <v>866</v>
      </c>
      <c r="I2118" s="239" t="str">
        <f>IF(ISBLANK(global!I595),"",global!I595)</f>
        <v/>
      </c>
      <c r="K2118" s="262" t="s">
        <v>4241</v>
      </c>
      <c r="O2118" s="262" t="s">
        <v>4241</v>
      </c>
    </row>
    <row r="2119" spans="1:15" ht="12.75" customHeight="1" x14ac:dyDescent="0.3">
      <c r="A2119" s="566"/>
      <c r="B2119" s="566" t="s">
        <v>1676</v>
      </c>
      <c r="C2119" s="566"/>
      <c r="D2119" s="566"/>
      <c r="E2119" s="566"/>
      <c r="F2119" s="566"/>
      <c r="G2119" s="567" t="s">
        <v>3221</v>
      </c>
      <c r="H2119" s="567" t="s">
        <v>1673</v>
      </c>
      <c r="I2119" s="239" t="str">
        <f>IF(ISBLANK(global!I596),"",global!I596)</f>
        <v/>
      </c>
      <c r="K2119" s="262" t="s">
        <v>4241</v>
      </c>
      <c r="O2119" s="262" t="s">
        <v>4241</v>
      </c>
    </row>
    <row r="2120" spans="1:15" ht="12.75" customHeight="1" x14ac:dyDescent="0.3">
      <c r="A2120" s="566"/>
      <c r="B2120" s="566"/>
      <c r="C2120" s="566" t="s">
        <v>1641</v>
      </c>
      <c r="D2120" s="566"/>
      <c r="E2120" s="566"/>
      <c r="F2120" s="566"/>
      <c r="G2120" s="567" t="s">
        <v>3222</v>
      </c>
      <c r="H2120" s="567" t="s">
        <v>291</v>
      </c>
      <c r="I2120" s="239" t="str">
        <f>IF(ISBLANK(global!I597),"",global!I597)</f>
        <v/>
      </c>
      <c r="K2120" s="262" t="s">
        <v>4241</v>
      </c>
      <c r="O2120" s="262" t="s">
        <v>4241</v>
      </c>
    </row>
    <row r="2121" spans="1:15" ht="12.75" customHeight="1" x14ac:dyDescent="0.3">
      <c r="A2121" s="566"/>
      <c r="B2121" s="566"/>
      <c r="C2121" s="566" t="s">
        <v>1643</v>
      </c>
      <c r="D2121" s="566"/>
      <c r="E2121" s="566"/>
      <c r="F2121" s="566"/>
      <c r="G2121" s="567" t="s">
        <v>3223</v>
      </c>
      <c r="H2121" s="567" t="s">
        <v>291</v>
      </c>
      <c r="I2121" s="239" t="str">
        <f>IF(ISBLANK(global!I598),"",global!I598)</f>
        <v/>
      </c>
      <c r="K2121" s="262" t="s">
        <v>4241</v>
      </c>
      <c r="O2121" s="262" t="s">
        <v>4241</v>
      </c>
    </row>
    <row r="2122" spans="1:15" ht="12.75" customHeight="1" x14ac:dyDescent="0.3">
      <c r="A2122" s="566"/>
      <c r="B2122" s="566"/>
      <c r="C2122" s="566" t="s">
        <v>1645</v>
      </c>
      <c r="D2122" s="566"/>
      <c r="E2122" s="566"/>
      <c r="F2122" s="566"/>
      <c r="G2122" s="567" t="s">
        <v>3224</v>
      </c>
      <c r="H2122" s="567" t="s">
        <v>291</v>
      </c>
      <c r="I2122" s="239" t="str">
        <f>IF(ISBLANK(global!I599),"",global!I599)</f>
        <v/>
      </c>
      <c r="K2122" s="262" t="s">
        <v>4241</v>
      </c>
      <c r="O2122" s="262" t="s">
        <v>4241</v>
      </c>
    </row>
    <row r="2123" spans="1:15" ht="12.75" customHeight="1" x14ac:dyDescent="0.3">
      <c r="A2123" s="566" t="s">
        <v>2881</v>
      </c>
      <c r="B2123" s="566"/>
      <c r="C2123" s="566"/>
      <c r="D2123" s="566"/>
      <c r="E2123" s="566"/>
      <c r="F2123" s="566"/>
      <c r="G2123" s="567" t="s">
        <v>3225</v>
      </c>
      <c r="H2123" s="567" t="s">
        <v>335</v>
      </c>
      <c r="I2123" s="239" t="str">
        <f>IF(ISBLANK(global!I600),"",global!I600)</f>
        <v/>
      </c>
      <c r="K2123" s="262" t="s">
        <v>4241</v>
      </c>
      <c r="O2123" s="262" t="s">
        <v>4241</v>
      </c>
    </row>
    <row r="2124" spans="1:15" ht="12.75" customHeight="1" x14ac:dyDescent="0.3">
      <c r="A2124" s="566" t="s">
        <v>2883</v>
      </c>
      <c r="B2124" s="566"/>
      <c r="C2124" s="566"/>
      <c r="D2124" s="566"/>
      <c r="E2124" s="566"/>
      <c r="F2124" s="566"/>
      <c r="G2124" s="567" t="s">
        <v>3226</v>
      </c>
      <c r="H2124" s="567" t="s">
        <v>335</v>
      </c>
      <c r="I2124" s="239" t="str">
        <f>IF(ISBLANK(global!I601),"",global!I601)</f>
        <v/>
      </c>
      <c r="K2124" s="262" t="s">
        <v>4241</v>
      </c>
      <c r="O2124" s="262" t="s">
        <v>4241</v>
      </c>
    </row>
    <row r="2125" spans="1:15" ht="12.75" customHeight="1" x14ac:dyDescent="0.3">
      <c r="A2125" s="566"/>
      <c r="B2125" s="566" t="s">
        <v>1669</v>
      </c>
      <c r="C2125" s="566"/>
      <c r="D2125" s="566"/>
      <c r="E2125" s="566"/>
      <c r="F2125" s="566"/>
      <c r="G2125" s="567" t="s">
        <v>3227</v>
      </c>
      <c r="H2125" s="567" t="s">
        <v>866</v>
      </c>
      <c r="I2125" s="239" t="str">
        <f>IF(ISBLANK(global!I602),"",global!I602)</f>
        <v/>
      </c>
      <c r="K2125" s="262" t="s">
        <v>4241</v>
      </c>
      <c r="O2125" s="262" t="s">
        <v>4241</v>
      </c>
    </row>
    <row r="2126" spans="1:15" ht="12.75" customHeight="1" x14ac:dyDescent="0.3">
      <c r="A2126" s="566"/>
      <c r="B2126" s="566"/>
      <c r="C2126" s="566" t="s">
        <v>1765</v>
      </c>
      <c r="D2126" s="566"/>
      <c r="E2126" s="566"/>
      <c r="F2126" s="566"/>
      <c r="G2126" s="566" t="s">
        <v>3228</v>
      </c>
      <c r="H2126" s="567" t="s">
        <v>1673</v>
      </c>
      <c r="I2126" s="239" t="str">
        <f>IF(ISBLANK(global!I603),"",global!I603)</f>
        <v/>
      </c>
      <c r="K2126" s="262" t="s">
        <v>4241</v>
      </c>
      <c r="O2126" s="262" t="s">
        <v>4241</v>
      </c>
    </row>
    <row r="2127" spans="1:15" ht="12.75" customHeight="1" x14ac:dyDescent="0.3">
      <c r="A2127" s="566"/>
      <c r="B2127" s="566"/>
      <c r="C2127" s="566" t="s">
        <v>2887</v>
      </c>
      <c r="D2127" s="566"/>
      <c r="E2127" s="566"/>
      <c r="F2127" s="566"/>
      <c r="G2127" s="567" t="s">
        <v>3229</v>
      </c>
      <c r="H2127" s="567" t="s">
        <v>1673</v>
      </c>
      <c r="I2127" s="239" t="str">
        <f>IF(ISBLANK(global!I604),"",global!I604)</f>
        <v/>
      </c>
      <c r="K2127" s="262" t="s">
        <v>4241</v>
      </c>
      <c r="O2127" s="262" t="s">
        <v>4241</v>
      </c>
    </row>
    <row r="2128" spans="1:15" ht="12.75" customHeight="1" x14ac:dyDescent="0.3">
      <c r="A2128" s="566"/>
      <c r="B2128" s="566"/>
      <c r="C2128" s="566" t="s">
        <v>1753</v>
      </c>
      <c r="D2128" s="566"/>
      <c r="E2128" s="566"/>
      <c r="F2128" s="566"/>
      <c r="G2128" s="567" t="s">
        <v>3230</v>
      </c>
      <c r="H2128" s="567" t="s">
        <v>866</v>
      </c>
      <c r="I2128" s="239" t="str">
        <f>IF(ISBLANK(global!I605),"",global!I605)</f>
        <v/>
      </c>
      <c r="K2128" s="262" t="s">
        <v>4241</v>
      </c>
      <c r="O2128" s="262" t="s">
        <v>4241</v>
      </c>
    </row>
    <row r="2129" spans="1:15" ht="12.75" customHeight="1" x14ac:dyDescent="0.3">
      <c r="A2129" s="566"/>
      <c r="B2129" s="566"/>
      <c r="C2129" s="566"/>
      <c r="D2129" s="566" t="s">
        <v>1641</v>
      </c>
      <c r="E2129" s="566"/>
      <c r="F2129" s="566"/>
      <c r="G2129" s="567" t="s">
        <v>3231</v>
      </c>
      <c r="H2129" s="567" t="s">
        <v>291</v>
      </c>
      <c r="I2129" s="239" t="str">
        <f>IF(ISBLANK(global!I606),"",global!I606)</f>
        <v/>
      </c>
      <c r="K2129" s="262" t="s">
        <v>4241</v>
      </c>
      <c r="O2129" s="262" t="s">
        <v>4241</v>
      </c>
    </row>
    <row r="2130" spans="1:15" ht="12.75" customHeight="1" x14ac:dyDescent="0.3">
      <c r="A2130" s="566"/>
      <c r="B2130" s="566"/>
      <c r="C2130" s="566"/>
      <c r="D2130" s="566" t="s">
        <v>1645</v>
      </c>
      <c r="E2130" s="566"/>
      <c r="F2130" s="566"/>
      <c r="G2130" s="567" t="s">
        <v>3232</v>
      </c>
      <c r="H2130" s="567" t="s">
        <v>291</v>
      </c>
      <c r="I2130" s="239" t="str">
        <f>IF(ISBLANK(global!I607),"",global!I607)</f>
        <v/>
      </c>
      <c r="K2130" s="262" t="s">
        <v>4241</v>
      </c>
      <c r="O2130" s="262" t="s">
        <v>4241</v>
      </c>
    </row>
    <row r="2131" spans="1:15" ht="12.75" customHeight="1" x14ac:dyDescent="0.3">
      <c r="A2131" s="566" t="s">
        <v>2892</v>
      </c>
      <c r="B2131" s="566"/>
      <c r="C2131" s="566"/>
      <c r="D2131" s="566"/>
      <c r="E2131" s="566"/>
      <c r="F2131" s="566"/>
      <c r="G2131" s="566" t="s">
        <v>3233</v>
      </c>
      <c r="H2131" s="567" t="s">
        <v>335</v>
      </c>
      <c r="I2131" s="239" t="str">
        <f>IF(ISBLANK(global!I608),"",global!I608)</f>
        <v/>
      </c>
      <c r="K2131" s="262" t="s">
        <v>4241</v>
      </c>
      <c r="O2131" s="262" t="s">
        <v>4241</v>
      </c>
    </row>
    <row r="2132" spans="1:15" ht="12.75" customHeight="1" x14ac:dyDescent="0.3">
      <c r="A2132" s="566"/>
      <c r="B2132" s="566" t="s">
        <v>1669</v>
      </c>
      <c r="C2132" s="566"/>
      <c r="D2132" s="566"/>
      <c r="E2132" s="566"/>
      <c r="F2132" s="566"/>
      <c r="G2132" s="567" t="s">
        <v>3234</v>
      </c>
      <c r="H2132" s="567" t="s">
        <v>866</v>
      </c>
      <c r="I2132" s="239" t="str">
        <f>IF(ISBLANK(global!I609),"",global!I609)</f>
        <v/>
      </c>
      <c r="K2132" s="262" t="s">
        <v>4241</v>
      </c>
      <c r="O2132" s="262" t="s">
        <v>4241</v>
      </c>
    </row>
    <row r="2133" spans="1:15" ht="12.75" customHeight="1" x14ac:dyDescent="0.3">
      <c r="A2133" s="566"/>
      <c r="B2133" s="566"/>
      <c r="C2133" s="566" t="s">
        <v>1751</v>
      </c>
      <c r="D2133" s="566"/>
      <c r="E2133" s="566"/>
      <c r="F2133" s="566"/>
      <c r="G2133" s="567" t="s">
        <v>3235</v>
      </c>
      <c r="H2133" s="567" t="s">
        <v>1673</v>
      </c>
      <c r="I2133" s="239" t="str">
        <f>IF(ISBLANK(global!I610),"",global!I610)</f>
        <v/>
      </c>
      <c r="K2133" s="262" t="s">
        <v>4241</v>
      </c>
      <c r="O2133" s="262" t="s">
        <v>4241</v>
      </c>
    </row>
    <row r="2134" spans="1:15" ht="12.75" customHeight="1" x14ac:dyDescent="0.3">
      <c r="A2134" s="566"/>
      <c r="B2134" s="566"/>
      <c r="C2134" s="566"/>
      <c r="D2134" s="566" t="s">
        <v>1641</v>
      </c>
      <c r="E2134" s="566"/>
      <c r="F2134" s="566"/>
      <c r="G2134" s="567" t="s">
        <v>3236</v>
      </c>
      <c r="H2134" s="567" t="s">
        <v>291</v>
      </c>
      <c r="I2134" s="239" t="str">
        <f>IF(ISBLANK(global!I611),"",global!I611)</f>
        <v/>
      </c>
      <c r="K2134" s="262" t="s">
        <v>4241</v>
      </c>
      <c r="O2134" s="262" t="s">
        <v>4241</v>
      </c>
    </row>
    <row r="2135" spans="1:15" ht="12.75" customHeight="1" x14ac:dyDescent="0.3">
      <c r="A2135" s="566"/>
      <c r="B2135" s="566"/>
      <c r="C2135" s="566"/>
      <c r="D2135" s="566" t="s">
        <v>1645</v>
      </c>
      <c r="E2135" s="566"/>
      <c r="F2135" s="566"/>
      <c r="G2135" s="567" t="s">
        <v>3237</v>
      </c>
      <c r="H2135" s="567" t="s">
        <v>291</v>
      </c>
      <c r="I2135" s="239" t="str">
        <f>IF(ISBLANK(global!I612),"",global!I612)</f>
        <v/>
      </c>
      <c r="K2135" s="262" t="s">
        <v>4241</v>
      </c>
      <c r="O2135" s="262" t="s">
        <v>4241</v>
      </c>
    </row>
    <row r="2136" spans="1:15" ht="12.75" customHeight="1" x14ac:dyDescent="0.3">
      <c r="A2136" s="566" t="s">
        <v>2898</v>
      </c>
      <c r="B2136" s="566"/>
      <c r="C2136" s="566"/>
      <c r="D2136" s="566"/>
      <c r="E2136" s="566"/>
      <c r="F2136" s="566"/>
      <c r="G2136" s="566" t="s">
        <v>3238</v>
      </c>
      <c r="H2136" s="567" t="s">
        <v>335</v>
      </c>
      <c r="I2136" s="239" t="str">
        <f>IF(ISBLANK(global!I613),"",global!I613)</f>
        <v/>
      </c>
      <c r="K2136" s="262" t="s">
        <v>4241</v>
      </c>
      <c r="O2136" s="262" t="s">
        <v>4241</v>
      </c>
    </row>
    <row r="2137" spans="1:15" ht="12.75" customHeight="1" x14ac:dyDescent="0.3">
      <c r="A2137" s="566" t="s">
        <v>2900</v>
      </c>
      <c r="B2137" s="566"/>
      <c r="C2137" s="566"/>
      <c r="D2137" s="566"/>
      <c r="E2137" s="566"/>
      <c r="F2137" s="566"/>
      <c r="G2137" s="567" t="s">
        <v>3239</v>
      </c>
      <c r="H2137" s="567" t="s">
        <v>335</v>
      </c>
      <c r="I2137" s="239" t="str">
        <f>IF(ISBLANK(global!I614),"",global!I614)</f>
        <v/>
      </c>
      <c r="K2137" s="262" t="s">
        <v>4241</v>
      </c>
      <c r="O2137" s="262" t="s">
        <v>4241</v>
      </c>
    </row>
    <row r="2138" spans="1:15" ht="12.75" customHeight="1" x14ac:dyDescent="0.3">
      <c r="A2138" s="566" t="s">
        <v>2902</v>
      </c>
      <c r="B2138" s="566"/>
      <c r="C2138" s="566"/>
      <c r="D2138" s="566"/>
      <c r="E2138" s="566"/>
      <c r="F2138" s="566"/>
      <c r="G2138" s="567" t="s">
        <v>3240</v>
      </c>
      <c r="H2138" s="567" t="s">
        <v>335</v>
      </c>
      <c r="I2138" s="239" t="str">
        <f>IF(ISBLANK(global!I615),"",global!I615)</f>
        <v/>
      </c>
      <c r="K2138" s="262" t="s">
        <v>4241</v>
      </c>
      <c r="O2138" s="262" t="s">
        <v>4241</v>
      </c>
    </row>
    <row r="2139" spans="1:15" ht="12.75" customHeight="1" x14ac:dyDescent="0.3">
      <c r="A2139" s="566" t="s">
        <v>2904</v>
      </c>
      <c r="B2139" s="566"/>
      <c r="C2139" s="566"/>
      <c r="D2139" s="566"/>
      <c r="E2139" s="566"/>
      <c r="F2139" s="566"/>
      <c r="G2139" s="567" t="s">
        <v>3241</v>
      </c>
      <c r="H2139" s="567" t="s">
        <v>335</v>
      </c>
      <c r="I2139" s="239" t="str">
        <f>IF(ISBLANK(global!I616),"",global!I616)</f>
        <v/>
      </c>
      <c r="K2139" s="262" t="s">
        <v>4241</v>
      </c>
      <c r="O2139" s="262" t="s">
        <v>4241</v>
      </c>
    </row>
    <row r="2140" spans="1:15" ht="12.75" customHeight="1" x14ac:dyDescent="0.3">
      <c r="A2140" s="566" t="s">
        <v>2906</v>
      </c>
      <c r="B2140" s="566"/>
      <c r="C2140" s="566"/>
      <c r="D2140" s="566"/>
      <c r="E2140" s="566"/>
      <c r="F2140" s="566"/>
      <c r="G2140" s="567" t="s">
        <v>3242</v>
      </c>
      <c r="H2140" s="567" t="s">
        <v>335</v>
      </c>
      <c r="I2140" s="239" t="str">
        <f>IF(ISBLANK(global!I617),"",global!I617)</f>
        <v/>
      </c>
      <c r="K2140" s="262" t="s">
        <v>4241</v>
      </c>
      <c r="O2140" s="262" t="s">
        <v>4241</v>
      </c>
    </row>
    <row r="2141" spans="1:15" ht="12.75" customHeight="1" x14ac:dyDescent="0.3">
      <c r="A2141" s="566" t="s">
        <v>2908</v>
      </c>
      <c r="B2141" s="566"/>
      <c r="C2141" s="566"/>
      <c r="D2141" s="566"/>
      <c r="E2141" s="566"/>
      <c r="F2141" s="566"/>
      <c r="G2141" s="567" t="s">
        <v>3243</v>
      </c>
      <c r="H2141" s="567" t="s">
        <v>335</v>
      </c>
      <c r="I2141" s="239" t="str">
        <f>IF(ISBLANK(global!I618),"",global!I618)</f>
        <v/>
      </c>
      <c r="K2141" s="262" t="s">
        <v>4241</v>
      </c>
      <c r="O2141" s="262" t="s">
        <v>4241</v>
      </c>
    </row>
    <row r="2142" spans="1:15" ht="12.75" customHeight="1" x14ac:dyDescent="0.3">
      <c r="A2142" s="566" t="s">
        <v>2910</v>
      </c>
      <c r="B2142" s="566"/>
      <c r="C2142" s="566"/>
      <c r="D2142" s="566"/>
      <c r="E2142" s="566"/>
      <c r="F2142" s="566"/>
      <c r="G2142" s="567" t="s">
        <v>3244</v>
      </c>
      <c r="H2142" s="567" t="s">
        <v>335</v>
      </c>
      <c r="I2142" s="239" t="str">
        <f>IF(ISBLANK(global!I619),"",global!I619)</f>
        <v/>
      </c>
      <c r="K2142" s="262" t="s">
        <v>4241</v>
      </c>
      <c r="O2142" s="262" t="s">
        <v>4241</v>
      </c>
    </row>
    <row r="2143" spans="1:15" ht="12.75" customHeight="1" x14ac:dyDescent="0.3">
      <c r="A2143" s="566" t="s">
        <v>2912</v>
      </c>
      <c r="B2143" s="566"/>
      <c r="C2143" s="566"/>
      <c r="D2143" s="566"/>
      <c r="E2143" s="566"/>
      <c r="F2143" s="566"/>
      <c r="G2143" s="567" t="s">
        <v>3245</v>
      </c>
      <c r="H2143" s="567" t="s">
        <v>335</v>
      </c>
      <c r="I2143" s="239" t="str">
        <f>IF(ISBLANK(global!I620),"",global!I620)</f>
        <v/>
      </c>
      <c r="K2143" s="262" t="s">
        <v>4241</v>
      </c>
      <c r="O2143" s="262" t="s">
        <v>4241</v>
      </c>
    </row>
    <row r="2144" spans="1:15" ht="12.75" customHeight="1" x14ac:dyDescent="0.3">
      <c r="A2144" s="566" t="s">
        <v>2915</v>
      </c>
      <c r="B2144" s="566"/>
      <c r="C2144" s="566"/>
      <c r="D2144" s="566"/>
      <c r="E2144" s="566"/>
      <c r="F2144" s="566"/>
      <c r="G2144" s="567" t="s">
        <v>3246</v>
      </c>
      <c r="H2144" s="567" t="s">
        <v>335</v>
      </c>
      <c r="I2144" s="239" t="str">
        <f>IF(ISBLANK(global!I621),"",global!I621)</f>
        <v/>
      </c>
      <c r="K2144" s="262" t="s">
        <v>4241</v>
      </c>
      <c r="O2144" s="262" t="s">
        <v>4241</v>
      </c>
    </row>
    <row r="2145" spans="1:15" ht="12.75" customHeight="1" x14ac:dyDescent="0.3">
      <c r="A2145" s="566" t="s">
        <v>2917</v>
      </c>
      <c r="B2145" s="566"/>
      <c r="C2145" s="566"/>
      <c r="D2145" s="566"/>
      <c r="E2145" s="566"/>
      <c r="F2145" s="566"/>
      <c r="G2145" s="567" t="s">
        <v>3247</v>
      </c>
      <c r="H2145" s="567" t="s">
        <v>335</v>
      </c>
      <c r="I2145" s="239" t="str">
        <f>IF(ISBLANK(global!I622),"",global!I622)</f>
        <v/>
      </c>
      <c r="K2145" s="262" t="s">
        <v>4241</v>
      </c>
      <c r="O2145" s="262" t="s">
        <v>4241</v>
      </c>
    </row>
    <row r="2146" spans="1:15" ht="12.75" customHeight="1" x14ac:dyDescent="0.3">
      <c r="A2146" s="566" t="s">
        <v>2919</v>
      </c>
      <c r="B2146" s="566"/>
      <c r="C2146" s="566"/>
      <c r="D2146" s="566"/>
      <c r="E2146" s="566"/>
      <c r="F2146" s="566"/>
      <c r="G2146" s="567" t="s">
        <v>3248</v>
      </c>
      <c r="H2146" s="567" t="s">
        <v>335</v>
      </c>
      <c r="I2146" s="239" t="str">
        <f>IF(ISBLANK(global!I623),"",global!I623)</f>
        <v/>
      </c>
      <c r="K2146" s="262" t="s">
        <v>4241</v>
      </c>
      <c r="O2146" s="262" t="s">
        <v>4241</v>
      </c>
    </row>
    <row r="2147" spans="1:15" ht="12.75" customHeight="1" x14ac:dyDescent="0.3">
      <c r="A2147" s="566" t="s">
        <v>2921</v>
      </c>
      <c r="B2147" s="566"/>
      <c r="C2147" s="566"/>
      <c r="D2147" s="566"/>
      <c r="E2147" s="566"/>
      <c r="F2147" s="566"/>
      <c r="G2147" s="567" t="s">
        <v>3249</v>
      </c>
      <c r="H2147" s="567" t="s">
        <v>335</v>
      </c>
      <c r="I2147" s="239" t="str">
        <f>IF(ISBLANK(global!I624),"",global!I624)</f>
        <v/>
      </c>
      <c r="K2147" s="262" t="s">
        <v>4241</v>
      </c>
      <c r="O2147" s="262" t="s">
        <v>4241</v>
      </c>
    </row>
    <row r="2148" spans="1:15" ht="12.75" customHeight="1" x14ac:dyDescent="0.3">
      <c r="A2148" s="566" t="s">
        <v>3250</v>
      </c>
      <c r="B2148" s="566"/>
      <c r="C2148" s="566"/>
      <c r="D2148" s="566"/>
      <c r="E2148" s="566"/>
      <c r="F2148" s="566"/>
      <c r="G2148" s="567" t="s">
        <v>3251</v>
      </c>
      <c r="H2148" s="567" t="s">
        <v>335</v>
      </c>
      <c r="I2148" s="239" t="str">
        <f>IF(ISBLANK(global!I625),"",global!I625)</f>
        <v/>
      </c>
      <c r="K2148" s="262" t="s">
        <v>4241</v>
      </c>
      <c r="O2148" s="262" t="s">
        <v>4241</v>
      </c>
    </row>
    <row r="2149" spans="1:15" ht="12.75" customHeight="1" x14ac:dyDescent="0.3">
      <c r="A2149" s="566" t="s">
        <v>2925</v>
      </c>
      <c r="B2149" s="566"/>
      <c r="C2149" s="566"/>
      <c r="D2149" s="566"/>
      <c r="E2149" s="566"/>
      <c r="F2149" s="566"/>
      <c r="G2149" s="567" t="s">
        <v>3252</v>
      </c>
      <c r="H2149" s="567" t="s">
        <v>335</v>
      </c>
      <c r="I2149" s="239" t="str">
        <f>IF(ISBLANK(global!I626),"",global!I626)</f>
        <v/>
      </c>
      <c r="K2149" s="262" t="s">
        <v>4241</v>
      </c>
      <c r="O2149" s="262" t="s">
        <v>4241</v>
      </c>
    </row>
    <row r="2150" spans="1:15" ht="12.75" customHeight="1" x14ac:dyDescent="0.3">
      <c r="A2150" s="566" t="s">
        <v>2927</v>
      </c>
      <c r="B2150" s="566"/>
      <c r="C2150" s="566"/>
      <c r="D2150" s="566"/>
      <c r="E2150" s="566"/>
      <c r="F2150" s="566"/>
      <c r="G2150" s="567" t="s">
        <v>3253</v>
      </c>
      <c r="H2150" s="567" t="s">
        <v>335</v>
      </c>
      <c r="I2150" s="239" t="str">
        <f>IF(ISBLANK(global!I627),"",global!I627)</f>
        <v/>
      </c>
      <c r="K2150" s="262" t="s">
        <v>4241</v>
      </c>
      <c r="O2150" s="262" t="s">
        <v>4241</v>
      </c>
    </row>
    <row r="2151" spans="1:15" ht="12.75" customHeight="1" x14ac:dyDescent="0.3">
      <c r="A2151" s="566" t="s">
        <v>2929</v>
      </c>
      <c r="B2151" s="566"/>
      <c r="C2151" s="566"/>
      <c r="D2151" s="566"/>
      <c r="E2151" s="566"/>
      <c r="F2151" s="566"/>
      <c r="G2151" s="567" t="s">
        <v>3254</v>
      </c>
      <c r="H2151" s="567" t="s">
        <v>335</v>
      </c>
      <c r="I2151" s="239" t="str">
        <f>IF(ISBLANK(global!I628),"",global!I628)</f>
        <v/>
      </c>
      <c r="K2151" s="262" t="s">
        <v>4241</v>
      </c>
      <c r="O2151" s="262" t="s">
        <v>4241</v>
      </c>
    </row>
    <row r="2152" spans="1:15" ht="12.75" customHeight="1" x14ac:dyDescent="0.3">
      <c r="A2152" s="566" t="s">
        <v>1860</v>
      </c>
      <c r="B2152" s="566"/>
      <c r="C2152" s="566"/>
      <c r="D2152" s="566"/>
      <c r="E2152" s="566"/>
      <c r="F2152" s="566"/>
      <c r="G2152" s="567" t="s">
        <v>3255</v>
      </c>
      <c r="H2152" s="567" t="s">
        <v>335</v>
      </c>
      <c r="I2152" s="239" t="str">
        <f>IF(ISBLANK(global!I629),"",global!I629)</f>
        <v/>
      </c>
      <c r="K2152" s="262" t="s">
        <v>4241</v>
      </c>
      <c r="O2152" s="262" t="s">
        <v>4241</v>
      </c>
    </row>
    <row r="2153" spans="1:15" ht="12.75" customHeight="1" x14ac:dyDescent="0.3">
      <c r="A2153" s="566" t="s">
        <v>1867</v>
      </c>
      <c r="B2153" s="566"/>
      <c r="C2153" s="566"/>
      <c r="D2153" s="566"/>
      <c r="E2153" s="566"/>
      <c r="F2153" s="566"/>
      <c r="G2153" s="567" t="s">
        <v>3256</v>
      </c>
      <c r="H2153" s="567" t="s">
        <v>335</v>
      </c>
      <c r="I2153" s="239" t="str">
        <f>IF(ISBLANK(global!I630),"",global!I630)</f>
        <v/>
      </c>
      <c r="K2153" s="262" t="s">
        <v>4241</v>
      </c>
      <c r="O2153" s="262" t="s">
        <v>4241</v>
      </c>
    </row>
    <row r="2154" spans="1:15" ht="12.75" customHeight="1" x14ac:dyDescent="0.3">
      <c r="A2154" s="566" t="s">
        <v>1873</v>
      </c>
      <c r="B2154" s="566"/>
      <c r="C2154" s="566"/>
      <c r="D2154" s="566"/>
      <c r="E2154" s="566"/>
      <c r="F2154" s="566"/>
      <c r="G2154" s="567" t="s">
        <v>3257</v>
      </c>
      <c r="H2154" s="567" t="s">
        <v>335</v>
      </c>
      <c r="I2154" s="239" t="str">
        <f>IF(ISBLANK(global!I631),"",global!I631)</f>
        <v/>
      </c>
      <c r="K2154" s="262" t="s">
        <v>4241</v>
      </c>
      <c r="O2154" s="262" t="s">
        <v>4241</v>
      </c>
    </row>
    <row r="2155" spans="1:15" ht="12.75" customHeight="1" x14ac:dyDescent="0.3">
      <c r="A2155" s="630" t="s">
        <v>3258</v>
      </c>
      <c r="B2155" s="413"/>
      <c r="C2155" s="413"/>
      <c r="D2155" s="413"/>
      <c r="E2155" s="413"/>
      <c r="F2155" s="413"/>
      <c r="G2155" s="630"/>
      <c r="H2155" s="630"/>
      <c r="I2155" s="239" t="str">
        <f>IF(ISBLANK(global!I632),"",global!I632)</f>
        <v/>
      </c>
      <c r="K2155" s="262" t="s">
        <v>4241</v>
      </c>
      <c r="O2155" s="262" t="s">
        <v>4241</v>
      </c>
    </row>
    <row r="2156" spans="1:15" ht="12.75" customHeight="1" x14ac:dyDescent="0.3">
      <c r="A2156" s="567" t="s">
        <v>1315</v>
      </c>
      <c r="B2156" s="566"/>
      <c r="C2156" s="566"/>
      <c r="D2156" s="566"/>
      <c r="E2156" s="566"/>
      <c r="F2156" s="566"/>
      <c r="G2156" s="567" t="s">
        <v>3259</v>
      </c>
      <c r="H2156" s="567" t="s">
        <v>617</v>
      </c>
      <c r="I2156" s="239" t="str">
        <f>IF(ISBLANK(global!I633),"",global!I633)</f>
        <v/>
      </c>
      <c r="K2156" s="262" t="s">
        <v>4241</v>
      </c>
      <c r="O2156" s="262" t="s">
        <v>4241</v>
      </c>
    </row>
    <row r="2157" spans="1:15" ht="12.75" customHeight="1" x14ac:dyDescent="0.3">
      <c r="A2157" s="567" t="s">
        <v>1315</v>
      </c>
      <c r="B2157" s="566"/>
      <c r="C2157" s="566"/>
      <c r="D2157" s="566"/>
      <c r="E2157" s="566"/>
      <c r="F2157" s="566"/>
      <c r="G2157" s="567" t="s">
        <v>3260</v>
      </c>
      <c r="H2157" s="567" t="s">
        <v>617</v>
      </c>
      <c r="I2157" s="239" t="str">
        <f>IF(ISBLANK(global!I634),"",global!I634)</f>
        <v/>
      </c>
      <c r="K2157" s="262" t="s">
        <v>4241</v>
      </c>
      <c r="O2157" s="262" t="s">
        <v>4241</v>
      </c>
    </row>
    <row r="2158" spans="1:15" ht="12.75" customHeight="1" x14ac:dyDescent="0.3">
      <c r="A2158" s="567" t="s">
        <v>1315</v>
      </c>
      <c r="B2158" s="566"/>
      <c r="C2158" s="566"/>
      <c r="D2158" s="566"/>
      <c r="E2158" s="566"/>
      <c r="F2158" s="566"/>
      <c r="G2158" s="567" t="s">
        <v>3261</v>
      </c>
      <c r="H2158" s="567" t="s">
        <v>617</v>
      </c>
      <c r="I2158" s="239" t="str">
        <f>IF(ISBLANK(global!I635),"",global!I635)</f>
        <v/>
      </c>
      <c r="K2158" s="262" t="s">
        <v>4241</v>
      </c>
      <c r="O2158" s="262" t="s">
        <v>4241</v>
      </c>
    </row>
    <row r="2159" spans="1:15" ht="12.75" customHeight="1" x14ac:dyDescent="0.3">
      <c r="A2159" s="567" t="s">
        <v>1317</v>
      </c>
      <c r="B2159" s="566"/>
      <c r="C2159" s="566"/>
      <c r="D2159" s="566"/>
      <c r="E2159" s="566"/>
      <c r="F2159" s="566"/>
      <c r="G2159" s="567" t="s">
        <v>3262</v>
      </c>
      <c r="H2159" s="567" t="s">
        <v>617</v>
      </c>
      <c r="I2159" s="239" t="str">
        <f>IF(ISBLANK(global!I636),"",global!I636)</f>
        <v/>
      </c>
      <c r="K2159" s="262" t="s">
        <v>4241</v>
      </c>
      <c r="O2159" s="262" t="s">
        <v>4241</v>
      </c>
    </row>
    <row r="2160" spans="1:15" ht="12.75" customHeight="1" x14ac:dyDescent="0.3">
      <c r="A2160" s="567" t="s">
        <v>1317</v>
      </c>
      <c r="B2160" s="566"/>
      <c r="C2160" s="566"/>
      <c r="D2160" s="566"/>
      <c r="E2160" s="566"/>
      <c r="F2160" s="566"/>
      <c r="G2160" s="567" t="s">
        <v>3263</v>
      </c>
      <c r="H2160" s="567" t="s">
        <v>617</v>
      </c>
      <c r="I2160" s="239" t="str">
        <f>IF(ISBLANK(global!I637),"",global!I637)</f>
        <v/>
      </c>
      <c r="K2160" s="262" t="s">
        <v>4241</v>
      </c>
      <c r="O2160" s="262" t="s">
        <v>4241</v>
      </c>
    </row>
    <row r="2161" spans="1:15" ht="12.75" customHeight="1" x14ac:dyDescent="0.3">
      <c r="A2161" s="567" t="s">
        <v>1317</v>
      </c>
      <c r="B2161" s="566"/>
      <c r="C2161" s="566"/>
      <c r="D2161" s="566"/>
      <c r="E2161" s="566"/>
      <c r="F2161" s="566"/>
      <c r="G2161" s="567" t="s">
        <v>3264</v>
      </c>
      <c r="H2161" s="567" t="s">
        <v>617</v>
      </c>
      <c r="I2161" s="239" t="str">
        <f>IF(ISBLANK(global!I638),"",global!I638)</f>
        <v/>
      </c>
      <c r="K2161" s="262" t="s">
        <v>4241</v>
      </c>
      <c r="O2161" s="262" t="s">
        <v>4241</v>
      </c>
    </row>
    <row r="2162" spans="1:15" ht="12.75" customHeight="1" x14ac:dyDescent="0.3">
      <c r="A2162" s="567" t="s">
        <v>1319</v>
      </c>
      <c r="B2162" s="566"/>
      <c r="C2162" s="566"/>
      <c r="D2162" s="566"/>
      <c r="E2162" s="566"/>
      <c r="F2162" s="566"/>
      <c r="G2162" s="567" t="s">
        <v>3265</v>
      </c>
      <c r="H2162" s="567" t="s">
        <v>617</v>
      </c>
      <c r="I2162" s="239" t="str">
        <f>IF(ISBLANK(global!I639),"",global!I639)</f>
        <v/>
      </c>
      <c r="K2162" s="262" t="s">
        <v>4241</v>
      </c>
      <c r="O2162" s="262" t="s">
        <v>4241</v>
      </c>
    </row>
    <row r="2163" spans="1:15" ht="12.75" customHeight="1" x14ac:dyDescent="0.3">
      <c r="A2163" s="567" t="s">
        <v>1319</v>
      </c>
      <c r="B2163" s="566"/>
      <c r="C2163" s="566"/>
      <c r="D2163" s="566"/>
      <c r="E2163" s="566"/>
      <c r="F2163" s="566"/>
      <c r="G2163" s="567" t="s">
        <v>3266</v>
      </c>
      <c r="H2163" s="567" t="s">
        <v>617</v>
      </c>
      <c r="I2163" s="239" t="str">
        <f>IF(ISBLANK(global!I640),"",global!I640)</f>
        <v/>
      </c>
      <c r="K2163" s="262" t="s">
        <v>4241</v>
      </c>
      <c r="O2163" s="262" t="s">
        <v>4241</v>
      </c>
    </row>
    <row r="2164" spans="1:15" ht="12.75" customHeight="1" x14ac:dyDescent="0.3">
      <c r="A2164" s="567" t="s">
        <v>1319</v>
      </c>
      <c r="B2164" s="566"/>
      <c r="C2164" s="566"/>
      <c r="D2164" s="566"/>
      <c r="E2164" s="566"/>
      <c r="F2164" s="566"/>
      <c r="G2164" s="567" t="s">
        <v>3267</v>
      </c>
      <c r="H2164" s="567" t="s">
        <v>617</v>
      </c>
      <c r="I2164" s="239" t="str">
        <f>IF(ISBLANK(global!I641),"",global!I641)</f>
        <v/>
      </c>
      <c r="K2164" s="262" t="s">
        <v>4241</v>
      </c>
      <c r="O2164" s="262" t="s">
        <v>4241</v>
      </c>
    </row>
    <row r="2165" spans="1:15" ht="12.75" customHeight="1" x14ac:dyDescent="0.3">
      <c r="A2165" s="567" t="s">
        <v>1323</v>
      </c>
      <c r="B2165" s="566"/>
      <c r="C2165" s="566"/>
      <c r="D2165" s="566"/>
      <c r="E2165" s="566"/>
      <c r="F2165" s="566"/>
      <c r="G2165" s="567" t="s">
        <v>3268</v>
      </c>
      <c r="H2165" s="567" t="s">
        <v>617</v>
      </c>
      <c r="I2165" s="239" t="str">
        <f>IF(ISBLANK(global!I642),"",global!I642)</f>
        <v/>
      </c>
      <c r="K2165" s="262" t="s">
        <v>4241</v>
      </c>
      <c r="O2165" s="262" t="s">
        <v>4241</v>
      </c>
    </row>
    <row r="2166" spans="1:15" ht="12.75" customHeight="1" x14ac:dyDescent="0.3">
      <c r="A2166" s="567" t="s">
        <v>1323</v>
      </c>
      <c r="B2166" s="566"/>
      <c r="C2166" s="566"/>
      <c r="D2166" s="566"/>
      <c r="E2166" s="566"/>
      <c r="F2166" s="566"/>
      <c r="G2166" s="567" t="s">
        <v>3269</v>
      </c>
      <c r="H2166" s="567" t="s">
        <v>617</v>
      </c>
      <c r="I2166" s="239" t="str">
        <f>IF(ISBLANK(global!I643),"",global!I643)</f>
        <v/>
      </c>
      <c r="K2166" s="262" t="s">
        <v>4241</v>
      </c>
      <c r="O2166" s="262" t="s">
        <v>4241</v>
      </c>
    </row>
    <row r="2167" spans="1:15" ht="12.75" customHeight="1" x14ac:dyDescent="0.3">
      <c r="A2167" s="567" t="s">
        <v>1323</v>
      </c>
      <c r="B2167" s="566"/>
      <c r="C2167" s="566"/>
      <c r="D2167" s="566"/>
      <c r="E2167" s="566"/>
      <c r="F2167" s="566"/>
      <c r="G2167" s="567" t="s">
        <v>3270</v>
      </c>
      <c r="H2167" s="567" t="s">
        <v>617</v>
      </c>
      <c r="I2167" s="239" t="str">
        <f>IF(ISBLANK(global!I644),"",global!I644)</f>
        <v/>
      </c>
      <c r="K2167" s="262" t="s">
        <v>4241</v>
      </c>
      <c r="O2167" s="262" t="s">
        <v>4241</v>
      </c>
    </row>
    <row r="2168" spans="1:15" ht="12.75" customHeight="1" x14ac:dyDescent="0.3">
      <c r="A2168" s="567" t="s">
        <v>1329</v>
      </c>
      <c r="B2168" s="566"/>
      <c r="C2168" s="566"/>
      <c r="D2168" s="566"/>
      <c r="E2168" s="566"/>
      <c r="F2168" s="566"/>
      <c r="G2168" s="567" t="s">
        <v>3271</v>
      </c>
      <c r="H2168" s="567" t="s">
        <v>617</v>
      </c>
      <c r="I2168" s="239" t="str">
        <f>IF(ISBLANK(global!I645),"",global!I645)</f>
        <v/>
      </c>
      <c r="K2168" s="262" t="s">
        <v>4241</v>
      </c>
      <c r="O2168" s="262" t="s">
        <v>4241</v>
      </c>
    </row>
    <row r="2169" spans="1:15" ht="12.75" customHeight="1" x14ac:dyDescent="0.3">
      <c r="A2169" s="567" t="s">
        <v>1329</v>
      </c>
      <c r="B2169" s="566"/>
      <c r="C2169" s="566"/>
      <c r="D2169" s="566"/>
      <c r="E2169" s="566"/>
      <c r="F2169" s="566"/>
      <c r="G2169" s="567" t="s">
        <v>3272</v>
      </c>
      <c r="H2169" s="567" t="s">
        <v>617</v>
      </c>
      <c r="I2169" s="239" t="str">
        <f>IF(ISBLANK(global!I646),"",global!I646)</f>
        <v/>
      </c>
      <c r="K2169" s="262" t="s">
        <v>4241</v>
      </c>
      <c r="O2169" s="262" t="s">
        <v>4241</v>
      </c>
    </row>
    <row r="2170" spans="1:15" ht="12.75" customHeight="1" x14ac:dyDescent="0.3">
      <c r="A2170" s="567" t="s">
        <v>1329</v>
      </c>
      <c r="B2170" s="566"/>
      <c r="C2170" s="566"/>
      <c r="D2170" s="566"/>
      <c r="E2170" s="566"/>
      <c r="F2170" s="566"/>
      <c r="G2170" s="567" t="s">
        <v>3273</v>
      </c>
      <c r="H2170" s="567" t="s">
        <v>617</v>
      </c>
      <c r="I2170" s="239" t="str">
        <f>IF(ISBLANK(global!I647),"",global!I647)</f>
        <v/>
      </c>
      <c r="K2170" s="262" t="s">
        <v>4241</v>
      </c>
      <c r="O2170" s="262" t="s">
        <v>4241</v>
      </c>
    </row>
    <row r="2171" spans="1:15" ht="12.75" customHeight="1" x14ac:dyDescent="0.3">
      <c r="A2171" s="566"/>
      <c r="B2171" s="566" t="s">
        <v>1912</v>
      </c>
      <c r="C2171" s="566"/>
      <c r="D2171" s="566"/>
      <c r="E2171" s="566"/>
      <c r="F2171" s="566"/>
      <c r="G2171" s="567" t="s">
        <v>3274</v>
      </c>
      <c r="H2171" s="567" t="s">
        <v>335</v>
      </c>
      <c r="I2171" s="239" t="str">
        <f>IF(ISBLANK(global!I648),"",global!I648)</f>
        <v/>
      </c>
      <c r="K2171" s="262" t="s">
        <v>4241</v>
      </c>
      <c r="O2171" s="262" t="s">
        <v>4241</v>
      </c>
    </row>
    <row r="2172" spans="1:15" ht="12.75" customHeight="1" x14ac:dyDescent="0.3">
      <c r="A2172" s="598"/>
      <c r="B2172" s="598" t="s">
        <v>1919</v>
      </c>
      <c r="C2172" s="598"/>
      <c r="D2172" s="598"/>
      <c r="E2172" s="598"/>
      <c r="F2172" s="598"/>
      <c r="G2172" s="601" t="s">
        <v>3275</v>
      </c>
      <c r="H2172" s="601" t="s">
        <v>335</v>
      </c>
      <c r="I2172" s="239" t="str">
        <f>IF(ISBLANK(global!I649),"",global!I649)</f>
        <v/>
      </c>
      <c r="K2172" s="262" t="s">
        <v>4241</v>
      </c>
      <c r="O2172" s="262" t="s">
        <v>4241</v>
      </c>
    </row>
    <row r="2173" spans="1:15" ht="12.75" customHeight="1" x14ac:dyDescent="0.3">
      <c r="A2173" s="73"/>
      <c r="B2173" s="5"/>
      <c r="C2173" s="17"/>
      <c r="D2173" s="17"/>
      <c r="E2173" s="17"/>
      <c r="F2173" s="17"/>
      <c r="G2173" s="17"/>
      <c r="H2173" s="38"/>
      <c r="I2173" s="239" t="str">
        <f>IF(ISBLANK(global!I650),"",global!I650)</f>
        <v/>
      </c>
      <c r="K2173" s="262" t="s">
        <v>4241</v>
      </c>
      <c r="O2173" s="262" t="s">
        <v>4241</v>
      </c>
    </row>
    <row r="2174" spans="1:15" ht="12.75" customHeight="1" x14ac:dyDescent="0.3">
      <c r="A2174" s="73"/>
      <c r="B2174" s="5"/>
      <c r="C2174" s="17"/>
      <c r="D2174" s="17"/>
      <c r="E2174" s="17"/>
      <c r="F2174" s="17"/>
      <c r="G2174" s="17"/>
      <c r="H2174" s="38"/>
      <c r="I2174" s="239" t="str">
        <f>IF(ISBLANK(global!I651),"",global!I651)</f>
        <v/>
      </c>
      <c r="K2174" s="262" t="s">
        <v>4241</v>
      </c>
      <c r="O2174" s="262" t="s">
        <v>4241</v>
      </c>
    </row>
    <row r="2175" spans="1:15" ht="12.75" customHeight="1" x14ac:dyDescent="0.3">
      <c r="A2175" s="101" t="s">
        <v>3276</v>
      </c>
      <c r="B2175" s="5"/>
      <c r="C2175" s="17"/>
      <c r="D2175" s="17"/>
      <c r="E2175" s="17"/>
      <c r="F2175" s="17"/>
      <c r="G2175" s="17"/>
      <c r="H2175" s="38"/>
      <c r="I2175" s="239" t="str">
        <f>IF(ISBLANK(global!I652),"",global!I652)</f>
        <v/>
      </c>
      <c r="K2175" s="262" t="s">
        <v>4241</v>
      </c>
      <c r="O2175" s="262" t="s">
        <v>4241</v>
      </c>
    </row>
    <row r="2176" spans="1:15" ht="12.75" customHeight="1" x14ac:dyDescent="0.3">
      <c r="A2176" s="17"/>
      <c r="B2176" s="17"/>
      <c r="C2176" s="17"/>
      <c r="D2176" s="17"/>
      <c r="E2176" s="17"/>
      <c r="F2176" s="17"/>
      <c r="G2176" s="17"/>
      <c r="H2176" s="38"/>
      <c r="I2176" s="239" t="str">
        <f>IF(ISBLANK(global!I653),"",global!I653)</f>
        <v/>
      </c>
      <c r="K2176" s="262" t="s">
        <v>4241</v>
      </c>
      <c r="O2176" s="262" t="s">
        <v>4241</v>
      </c>
    </row>
    <row r="2177" spans="1:15" ht="12.75" customHeight="1" x14ac:dyDescent="0.3">
      <c r="A2177" s="147" t="s">
        <v>947</v>
      </c>
      <c r="B2177" s="147"/>
      <c r="C2177" s="147"/>
      <c r="D2177" s="147"/>
      <c r="E2177" s="147"/>
      <c r="F2177" s="147"/>
      <c r="G2177" s="148" t="s">
        <v>258</v>
      </c>
      <c r="H2177" s="148" t="s">
        <v>274</v>
      </c>
      <c r="I2177" s="239" t="str">
        <f>IF(ISBLANK(global!I654),"",global!I654)</f>
        <v>User input</v>
      </c>
      <c r="K2177" s="262" t="s">
        <v>259</v>
      </c>
      <c r="O2177" s="262" t="s">
        <v>259</v>
      </c>
    </row>
    <row r="2178" spans="1:15" ht="12.75" customHeight="1" x14ac:dyDescent="0.3">
      <c r="A2178" s="17"/>
      <c r="B2178" s="17"/>
      <c r="C2178" s="17"/>
      <c r="D2178" s="17"/>
      <c r="E2178" s="17"/>
      <c r="F2178" s="17"/>
      <c r="G2178" s="17"/>
      <c r="H2178" s="38"/>
      <c r="I2178" s="239" t="str">
        <f>IF(ISBLANK(global!I655),"",global!I655)</f>
        <v/>
      </c>
      <c r="K2178" s="262" t="s">
        <v>4241</v>
      </c>
      <c r="O2178" s="262" t="s">
        <v>4241</v>
      </c>
    </row>
    <row r="2179" spans="1:15" ht="12.75" customHeight="1" x14ac:dyDescent="0.3">
      <c r="A2179" s="38" t="s">
        <v>948</v>
      </c>
      <c r="B2179" s="17"/>
      <c r="C2179" s="17"/>
      <c r="D2179" s="17"/>
      <c r="E2179" s="17"/>
      <c r="F2179" s="17"/>
      <c r="G2179" s="38" t="s">
        <v>3277</v>
      </c>
      <c r="H2179" s="38" t="s">
        <v>950</v>
      </c>
      <c r="I2179" s="239" t="str">
        <f>IF(ISBLANK(global!I656),"",global!I656)</f>
        <v/>
      </c>
      <c r="K2179" s="262" t="s">
        <v>4241</v>
      </c>
      <c r="O2179" s="262" t="s">
        <v>4241</v>
      </c>
    </row>
    <row r="2180" spans="1:15" ht="12.75" customHeight="1" x14ac:dyDescent="0.3">
      <c r="A2180" s="567" t="s">
        <v>1928</v>
      </c>
      <c r="B2180" s="566"/>
      <c r="C2180" s="566"/>
      <c r="D2180" s="566"/>
      <c r="E2180" s="566"/>
      <c r="F2180" s="566"/>
      <c r="G2180" s="567" t="s">
        <v>3278</v>
      </c>
      <c r="H2180" s="566" t="s">
        <v>950</v>
      </c>
      <c r="I2180" s="239" t="str">
        <f>IF(ISBLANK(global!I657),"",global!I657)</f>
        <v/>
      </c>
      <c r="K2180" s="262" t="s">
        <v>4241</v>
      </c>
      <c r="O2180" s="262" t="s">
        <v>4241</v>
      </c>
    </row>
    <row r="2181" spans="1:15" ht="12.75" customHeight="1" x14ac:dyDescent="0.3">
      <c r="A2181" s="17" t="s">
        <v>2956</v>
      </c>
      <c r="B2181" s="17"/>
      <c r="C2181" s="17"/>
      <c r="D2181" s="17"/>
      <c r="E2181" s="17"/>
      <c r="F2181" s="17"/>
      <c r="G2181" s="38" t="s">
        <v>3279</v>
      </c>
      <c r="H2181" s="17" t="s">
        <v>950</v>
      </c>
      <c r="I2181" s="239" t="str">
        <f>IF(ISBLANK(global!I658),"",global!I658)</f>
        <v/>
      </c>
      <c r="K2181" s="262" t="s">
        <v>4241</v>
      </c>
      <c r="O2181" s="262" t="s">
        <v>4241</v>
      </c>
    </row>
    <row r="2182" spans="1:15" ht="12.75" customHeight="1" x14ac:dyDescent="0.3">
      <c r="A2182" s="38" t="s">
        <v>2958</v>
      </c>
      <c r="B2182" s="17"/>
      <c r="C2182" s="17"/>
      <c r="D2182" s="17"/>
      <c r="E2182" s="17"/>
      <c r="F2182" s="17"/>
      <c r="G2182" s="38" t="s">
        <v>3280</v>
      </c>
      <c r="H2182" s="17" t="s">
        <v>950</v>
      </c>
      <c r="I2182" s="239" t="str">
        <f>IF(ISBLANK(global!I659),"",global!I659)</f>
        <v/>
      </c>
      <c r="K2182" s="262" t="s">
        <v>4241</v>
      </c>
      <c r="O2182" s="262" t="s">
        <v>4241</v>
      </c>
    </row>
    <row r="2183" spans="1:15" ht="12.75" customHeight="1" x14ac:dyDescent="0.3">
      <c r="A2183" s="38" t="s">
        <v>2531</v>
      </c>
      <c r="B2183" s="17"/>
      <c r="C2183" s="17"/>
      <c r="D2183" s="17"/>
      <c r="E2183" s="17"/>
      <c r="F2183" s="17"/>
      <c r="G2183" s="38" t="s">
        <v>3281</v>
      </c>
      <c r="H2183" s="38" t="s">
        <v>950</v>
      </c>
      <c r="I2183" s="239" t="str">
        <f>IF(ISBLANK(global!I660),"",global!I660)</f>
        <v/>
      </c>
      <c r="K2183" s="262" t="s">
        <v>4241</v>
      </c>
      <c r="O2183" s="262" t="s">
        <v>4241</v>
      </c>
    </row>
    <row r="2184" spans="1:15" ht="12.75" customHeight="1" x14ac:dyDescent="0.3">
      <c r="A2184" s="38" t="s">
        <v>2533</v>
      </c>
      <c r="B2184" s="17"/>
      <c r="C2184" s="17"/>
      <c r="D2184" s="17"/>
      <c r="E2184" s="17"/>
      <c r="F2184" s="17"/>
      <c r="G2184" s="38" t="s">
        <v>3282</v>
      </c>
      <c r="H2184" s="38" t="s">
        <v>950</v>
      </c>
      <c r="I2184" s="239" t="str">
        <f>IF(ISBLANK(global!I661),"",global!I661)</f>
        <v/>
      </c>
      <c r="K2184" s="262" t="s">
        <v>4241</v>
      </c>
      <c r="O2184" s="262" t="s">
        <v>4241</v>
      </c>
    </row>
    <row r="2185" spans="1:15" ht="12.75" customHeight="1" x14ac:dyDescent="0.3">
      <c r="A2185" s="17"/>
      <c r="B2185" s="38" t="s">
        <v>3283</v>
      </c>
      <c r="C2185" s="17"/>
      <c r="D2185" s="17"/>
      <c r="E2185" s="17"/>
      <c r="F2185" s="17"/>
      <c r="G2185" s="38" t="s">
        <v>3284</v>
      </c>
      <c r="H2185" s="38" t="s">
        <v>672</v>
      </c>
      <c r="I2185" s="239" t="str">
        <f>IF(ISBLANK(global!I662),"",global!I662)</f>
        <v/>
      </c>
      <c r="K2185" s="262" t="s">
        <v>4241</v>
      </c>
      <c r="O2185" s="262" t="s">
        <v>4241</v>
      </c>
    </row>
    <row r="2186" spans="1:15" ht="12.75" customHeight="1" x14ac:dyDescent="0.3">
      <c r="A2186" s="17"/>
      <c r="B2186" s="38" t="s">
        <v>2537</v>
      </c>
      <c r="C2186" s="17"/>
      <c r="D2186" s="17"/>
      <c r="E2186" s="17"/>
      <c r="F2186" s="17"/>
      <c r="G2186" s="146" t="s">
        <v>3285</v>
      </c>
      <c r="H2186" s="38" t="s">
        <v>291</v>
      </c>
      <c r="I2186" s="239" t="str">
        <f>IF(ISBLANK(global!I663),"",global!I663)</f>
        <v/>
      </c>
      <c r="K2186" s="262" t="s">
        <v>4241</v>
      </c>
      <c r="O2186" s="262" t="s">
        <v>4241</v>
      </c>
    </row>
    <row r="2187" spans="1:15" ht="12.75" customHeight="1" x14ac:dyDescent="0.3">
      <c r="A2187" s="17"/>
      <c r="B2187" s="38" t="s">
        <v>2539</v>
      </c>
      <c r="C2187" s="17"/>
      <c r="D2187" s="17"/>
      <c r="E2187" s="17"/>
      <c r="F2187" s="17"/>
      <c r="G2187" s="146" t="s">
        <v>3286</v>
      </c>
      <c r="H2187" s="38" t="s">
        <v>291</v>
      </c>
      <c r="I2187" s="239" t="str">
        <f>IF(ISBLANK(global!I664),"",global!I664)</f>
        <v/>
      </c>
      <c r="K2187" s="262" t="s">
        <v>4241</v>
      </c>
      <c r="O2187" s="262" t="s">
        <v>4241</v>
      </c>
    </row>
    <row r="2188" spans="1:15" ht="12.75" customHeight="1" x14ac:dyDescent="0.3">
      <c r="A2188" s="17"/>
      <c r="B2188" s="17"/>
      <c r="C2188" s="38" t="s">
        <v>987</v>
      </c>
      <c r="D2188" s="17"/>
      <c r="E2188" s="17"/>
      <c r="F2188" s="17"/>
      <c r="G2188" s="146" t="s">
        <v>3287</v>
      </c>
      <c r="H2188" s="38" t="s">
        <v>813</v>
      </c>
      <c r="I2188" s="239" t="str">
        <f>IF(ISBLANK(global!I665),"",global!I665)</f>
        <v/>
      </c>
      <c r="K2188" s="262" t="s">
        <v>4241</v>
      </c>
      <c r="O2188" s="262" t="s">
        <v>4241</v>
      </c>
    </row>
    <row r="2189" spans="1:15" ht="12.75" customHeight="1" x14ac:dyDescent="0.3">
      <c r="A2189" s="17"/>
      <c r="B2189" s="17"/>
      <c r="C2189" s="38" t="s">
        <v>2967</v>
      </c>
      <c r="D2189" s="17"/>
      <c r="E2189" s="17"/>
      <c r="F2189" s="17"/>
      <c r="G2189" s="146" t="s">
        <v>3288</v>
      </c>
      <c r="H2189" s="38" t="s">
        <v>813</v>
      </c>
      <c r="I2189" s="239" t="str">
        <f>IF(ISBLANK(global!I666),"",global!I666)</f>
        <v/>
      </c>
      <c r="K2189" s="262" t="s">
        <v>4241</v>
      </c>
      <c r="O2189" s="262" t="s">
        <v>4241</v>
      </c>
    </row>
    <row r="2190" spans="1:15" ht="12.75" customHeight="1" x14ac:dyDescent="0.3">
      <c r="A2190" s="17"/>
      <c r="B2190" s="17"/>
      <c r="C2190" s="38" t="s">
        <v>2969</v>
      </c>
      <c r="D2190" s="17"/>
      <c r="E2190" s="17"/>
      <c r="F2190" s="17"/>
      <c r="G2190" s="146" t="s">
        <v>3289</v>
      </c>
      <c r="H2190" s="38" t="s">
        <v>813</v>
      </c>
      <c r="I2190" s="239" t="str">
        <f>IF(ISBLANK(global!I667),"",global!I667)</f>
        <v/>
      </c>
      <c r="K2190" s="262" t="s">
        <v>4241</v>
      </c>
      <c r="O2190" s="262" t="s">
        <v>4241</v>
      </c>
    </row>
    <row r="2191" spans="1:15" ht="12.75" customHeight="1" x14ac:dyDescent="0.3">
      <c r="A2191" s="17"/>
      <c r="B2191" s="17"/>
      <c r="C2191" s="38" t="s">
        <v>2546</v>
      </c>
      <c r="D2191" s="17"/>
      <c r="E2191" s="17"/>
      <c r="F2191" s="17"/>
      <c r="G2191" s="146" t="s">
        <v>3290</v>
      </c>
      <c r="H2191" s="38" t="s">
        <v>997</v>
      </c>
      <c r="I2191" s="239" t="str">
        <f>IF(ISBLANK(global!I668),"",global!I668)</f>
        <v/>
      </c>
      <c r="K2191" s="262" t="s">
        <v>4241</v>
      </c>
      <c r="O2191" s="262" t="s">
        <v>4241</v>
      </c>
    </row>
    <row r="2192" spans="1:15" ht="12.75" customHeight="1" x14ac:dyDescent="0.3">
      <c r="A2192" s="38"/>
      <c r="B2192" s="17"/>
      <c r="C2192" s="38" t="s">
        <v>2548</v>
      </c>
      <c r="D2192" s="146"/>
      <c r="E2192" s="146"/>
      <c r="F2192" s="146"/>
      <c r="G2192" s="146" t="s">
        <v>3291</v>
      </c>
      <c r="H2192" s="38" t="s">
        <v>813</v>
      </c>
      <c r="I2192" s="239" t="str">
        <f>IF(ISBLANK(global!I669),"",global!I669)</f>
        <v/>
      </c>
      <c r="K2192" s="262" t="s">
        <v>4241</v>
      </c>
      <c r="O2192" s="262" t="s">
        <v>4241</v>
      </c>
    </row>
    <row r="2193" spans="1:15" ht="12.75" customHeight="1" x14ac:dyDescent="0.3">
      <c r="A2193" s="566"/>
      <c r="B2193" s="566"/>
      <c r="C2193" s="566" t="s">
        <v>1008</v>
      </c>
      <c r="D2193" s="566"/>
      <c r="E2193" s="566"/>
      <c r="F2193" s="566"/>
      <c r="G2193" s="567" t="s">
        <v>3292</v>
      </c>
      <c r="H2193" s="567" t="s">
        <v>1010</v>
      </c>
      <c r="I2193" s="239" t="str">
        <f>IF(ISBLANK(global!I670),"",global!I670)</f>
        <v/>
      </c>
      <c r="K2193" s="262" t="s">
        <v>4241</v>
      </c>
      <c r="O2193" s="262" t="s">
        <v>4241</v>
      </c>
    </row>
    <row r="2194" spans="1:15" ht="12.75" customHeight="1" x14ac:dyDescent="0.3">
      <c r="A2194" s="17"/>
      <c r="B2194" s="17"/>
      <c r="C2194" s="17" t="s">
        <v>1012</v>
      </c>
      <c r="D2194" s="17"/>
      <c r="E2194" s="17"/>
      <c r="F2194" s="17"/>
      <c r="G2194" s="38" t="s">
        <v>3293</v>
      </c>
      <c r="H2194" s="38" t="s">
        <v>1010</v>
      </c>
      <c r="I2194" s="239" t="str">
        <f>IF(ISBLANK(global!I671),"",global!I671)</f>
        <v/>
      </c>
      <c r="K2194" s="262" t="s">
        <v>4241</v>
      </c>
      <c r="O2194" s="262" t="s">
        <v>4241</v>
      </c>
    </row>
    <row r="2195" spans="1:15" ht="12.75" customHeight="1" x14ac:dyDescent="0.3">
      <c r="A2195" s="17"/>
      <c r="B2195" s="17"/>
      <c r="C2195" s="17" t="s">
        <v>1015</v>
      </c>
      <c r="D2195" s="17"/>
      <c r="E2195" s="17"/>
      <c r="F2195" s="17"/>
      <c r="G2195" s="38" t="s">
        <v>3294</v>
      </c>
      <c r="H2195" s="38" t="s">
        <v>1010</v>
      </c>
      <c r="I2195" s="239" t="str">
        <f>IF(ISBLANK(global!I672),"",global!I672)</f>
        <v/>
      </c>
      <c r="K2195" s="262" t="s">
        <v>4241</v>
      </c>
      <c r="O2195" s="262" t="s">
        <v>4241</v>
      </c>
    </row>
    <row r="2196" spans="1:15" ht="12.75" customHeight="1" x14ac:dyDescent="0.3">
      <c r="A2196" s="17"/>
      <c r="B2196" s="17"/>
      <c r="C2196" s="38" t="s">
        <v>2553</v>
      </c>
      <c r="D2196" s="146"/>
      <c r="E2196" s="146"/>
      <c r="F2196" s="146"/>
      <c r="G2196" s="146" t="s">
        <v>3295</v>
      </c>
      <c r="H2196" s="38" t="s">
        <v>1010</v>
      </c>
      <c r="I2196" s="239" t="str">
        <f>IF(ISBLANK(global!I673),"",global!I673)</f>
        <v/>
      </c>
      <c r="K2196" s="262" t="s">
        <v>4241</v>
      </c>
      <c r="O2196" s="262" t="s">
        <v>4241</v>
      </c>
    </row>
    <row r="2197" spans="1:15" ht="12.75" customHeight="1" x14ac:dyDescent="0.3">
      <c r="A2197" s="17"/>
      <c r="B2197" s="17"/>
      <c r="C2197" s="38" t="s">
        <v>2555</v>
      </c>
      <c r="D2197" s="17"/>
      <c r="E2197" s="17"/>
      <c r="F2197" s="17"/>
      <c r="G2197" s="146" t="s">
        <v>3296</v>
      </c>
      <c r="H2197" s="38" t="s">
        <v>1010</v>
      </c>
      <c r="I2197" s="239" t="str">
        <f>IF(ISBLANK(global!I674),"",global!I674)</f>
        <v/>
      </c>
      <c r="K2197" s="262" t="s">
        <v>4241</v>
      </c>
      <c r="O2197" s="262" t="s">
        <v>4241</v>
      </c>
    </row>
    <row r="2198" spans="1:15" ht="12.75" customHeight="1" x14ac:dyDescent="0.3">
      <c r="A2198" s="17"/>
      <c r="B2198" s="17"/>
      <c r="C2198" s="38" t="s">
        <v>2557</v>
      </c>
      <c r="D2198" s="17"/>
      <c r="E2198" s="17"/>
      <c r="F2198" s="17"/>
      <c r="G2198" s="146" t="s">
        <v>3297</v>
      </c>
      <c r="H2198" s="38" t="s">
        <v>1010</v>
      </c>
      <c r="I2198" s="239" t="str">
        <f>IF(ISBLANK(global!I675),"",global!I675)</f>
        <v/>
      </c>
      <c r="K2198" s="262" t="s">
        <v>4241</v>
      </c>
      <c r="O2198" s="262" t="s">
        <v>4241</v>
      </c>
    </row>
    <row r="2199" spans="1:15" ht="12.75" customHeight="1" x14ac:dyDescent="0.3">
      <c r="A2199" s="38"/>
      <c r="B2199" s="17"/>
      <c r="C2199" s="38" t="s">
        <v>1035</v>
      </c>
      <c r="D2199" s="146"/>
      <c r="E2199" s="146"/>
      <c r="F2199" s="146"/>
      <c r="G2199" s="146" t="s">
        <v>3298</v>
      </c>
      <c r="H2199" s="38" t="s">
        <v>1010</v>
      </c>
      <c r="I2199" s="239" t="str">
        <f>IF(ISBLANK(global!I676),"",global!I676)</f>
        <v/>
      </c>
      <c r="K2199" s="262" t="s">
        <v>4241</v>
      </c>
      <c r="O2199" s="262" t="s">
        <v>4241</v>
      </c>
    </row>
    <row r="2200" spans="1:15" ht="12.75" customHeight="1" x14ac:dyDescent="0.3">
      <c r="A2200" s="38"/>
      <c r="B2200" s="17"/>
      <c r="C2200" s="38" t="s">
        <v>1037</v>
      </c>
      <c r="D2200" s="146"/>
      <c r="E2200" s="146"/>
      <c r="F2200" s="146"/>
      <c r="G2200" s="146" t="s">
        <v>3299</v>
      </c>
      <c r="H2200" s="38" t="s">
        <v>1010</v>
      </c>
      <c r="I2200" s="239" t="str">
        <f>IF(ISBLANK(global!I677),"",global!I677)</f>
        <v/>
      </c>
      <c r="K2200" s="262" t="s">
        <v>4241</v>
      </c>
      <c r="O2200" s="262" t="s">
        <v>4241</v>
      </c>
    </row>
    <row r="2201" spans="1:15" ht="12.75" customHeight="1" x14ac:dyDescent="0.3">
      <c r="A2201" s="17"/>
      <c r="B2201" s="17"/>
      <c r="C2201" s="17"/>
      <c r="D2201" s="17"/>
      <c r="E2201" s="17"/>
      <c r="F2201" s="17"/>
      <c r="G2201" s="17"/>
      <c r="H2201" s="17"/>
      <c r="I2201" s="239" t="str">
        <f>IF(ISBLANK(global!I678),"",global!I678)</f>
        <v/>
      </c>
      <c r="K2201" s="262" t="s">
        <v>4241</v>
      </c>
      <c r="O2201" s="262" t="s">
        <v>4241</v>
      </c>
    </row>
    <row r="2202" spans="1:15" ht="12.75" customHeight="1" x14ac:dyDescent="0.3">
      <c r="A2202" s="38" t="s">
        <v>3300</v>
      </c>
      <c r="B2202" s="17"/>
      <c r="C2202" s="17"/>
      <c r="D2202" s="17"/>
      <c r="E2202" s="17"/>
      <c r="F2202" s="17"/>
      <c r="G2202" s="38" t="s">
        <v>3301</v>
      </c>
      <c r="H2202" s="38" t="s">
        <v>617</v>
      </c>
      <c r="I2202" s="239" t="str">
        <f>IF(ISBLANK(global!I679),"",global!I679)</f>
        <v/>
      </c>
      <c r="K2202" s="262" t="s">
        <v>4241</v>
      </c>
      <c r="O2202" s="262" t="s">
        <v>4241</v>
      </c>
    </row>
    <row r="2203" spans="1:15" ht="12.75" customHeight="1" x14ac:dyDescent="0.3">
      <c r="A2203" s="38"/>
      <c r="B2203" s="38"/>
      <c r="C2203" s="38" t="s">
        <v>3302</v>
      </c>
      <c r="D2203" s="17"/>
      <c r="E2203" s="17"/>
      <c r="F2203" s="17"/>
      <c r="G2203" s="38" t="s">
        <v>3303</v>
      </c>
      <c r="H2203" s="17" t="s">
        <v>1044</v>
      </c>
      <c r="I2203" s="239" t="str">
        <f>IF(ISBLANK(global!I680),"",global!I680)</f>
        <v/>
      </c>
      <c r="K2203" s="262" t="s">
        <v>4241</v>
      </c>
      <c r="O2203" s="262" t="s">
        <v>4241</v>
      </c>
    </row>
    <row r="2204" spans="1:15" ht="12.75" customHeight="1" x14ac:dyDescent="0.3">
      <c r="A2204" s="17"/>
      <c r="B2204" s="17"/>
      <c r="C2204" s="17"/>
      <c r="D2204" s="17"/>
      <c r="E2204" s="17"/>
      <c r="F2204" s="17"/>
      <c r="G2204" s="17"/>
      <c r="H2204" s="17"/>
      <c r="I2204" s="239" t="str">
        <f>IF(ISBLANK(global!I681),"",global!I681)</f>
        <v/>
      </c>
      <c r="K2204" s="262" t="s">
        <v>4241</v>
      </c>
      <c r="O2204" s="262" t="s">
        <v>4241</v>
      </c>
    </row>
    <row r="2205" spans="1:15" ht="12.75" customHeight="1" x14ac:dyDescent="0.3">
      <c r="A2205" s="38" t="s">
        <v>3304</v>
      </c>
      <c r="B2205" s="17"/>
      <c r="C2205" s="17"/>
      <c r="D2205" s="17"/>
      <c r="E2205" s="17"/>
      <c r="F2205" s="17"/>
      <c r="G2205" s="38" t="s">
        <v>3305</v>
      </c>
      <c r="H2205" s="38" t="s">
        <v>617</v>
      </c>
      <c r="I2205" s="239" t="str">
        <f>IF(ISBLANK(global!I682),"",global!I682)</f>
        <v/>
      </c>
      <c r="K2205" s="262" t="s">
        <v>4241</v>
      </c>
      <c r="O2205" s="262" t="s">
        <v>4241</v>
      </c>
    </row>
    <row r="2206" spans="1:15" ht="12.75" customHeight="1" x14ac:dyDescent="0.3">
      <c r="A2206" s="38" t="s">
        <v>3306</v>
      </c>
      <c r="B2206" s="17"/>
      <c r="C2206" s="17"/>
      <c r="D2206" s="17"/>
      <c r="E2206" s="17"/>
      <c r="F2206" s="17"/>
      <c r="G2206" s="38" t="s">
        <v>3307</v>
      </c>
      <c r="H2206" s="38" t="s">
        <v>617</v>
      </c>
      <c r="I2206" s="239" t="str">
        <f>IF(ISBLANK(global!I683),"",global!I683)</f>
        <v/>
      </c>
      <c r="K2206" s="262" t="s">
        <v>4241</v>
      </c>
      <c r="O2206" s="262" t="s">
        <v>4241</v>
      </c>
    </row>
    <row r="2207" spans="1:15" ht="12.75" customHeight="1" x14ac:dyDescent="0.3">
      <c r="A2207" s="38"/>
      <c r="B2207" s="38" t="s">
        <v>3308</v>
      </c>
      <c r="C2207" s="17"/>
      <c r="D2207" s="17"/>
      <c r="E2207" s="17"/>
      <c r="F2207" s="17"/>
      <c r="G2207" s="146" t="s">
        <v>3309</v>
      </c>
      <c r="H2207" s="17" t="s">
        <v>1058</v>
      </c>
      <c r="I2207" s="239" t="str">
        <f>IF(ISBLANK(global!I684),"",global!I684)</f>
        <v/>
      </c>
      <c r="K2207" s="262" t="s">
        <v>4241</v>
      </c>
      <c r="O2207" s="262" t="s">
        <v>4241</v>
      </c>
    </row>
    <row r="2208" spans="1:15" ht="12.75" customHeight="1" x14ac:dyDescent="0.3">
      <c r="A2208" s="38" t="s">
        <v>2992</v>
      </c>
      <c r="B2208" s="17"/>
      <c r="C2208" s="17"/>
      <c r="D2208" s="17"/>
      <c r="E2208" s="17"/>
      <c r="F2208" s="17"/>
      <c r="G2208" s="38" t="s">
        <v>3310</v>
      </c>
      <c r="H2208" s="38" t="s">
        <v>617</v>
      </c>
      <c r="I2208" s="239" t="str">
        <f>IF(ISBLANK(global!I685),"",global!I685)</f>
        <v/>
      </c>
      <c r="K2208" s="262" t="s">
        <v>4241</v>
      </c>
      <c r="O2208" s="262" t="s">
        <v>4241</v>
      </c>
    </row>
    <row r="2209" spans="1:15" ht="12.75" customHeight="1" x14ac:dyDescent="0.3">
      <c r="A2209" s="38" t="s">
        <v>2994</v>
      </c>
      <c r="B2209" s="17"/>
      <c r="C2209" s="17"/>
      <c r="D2209" s="17"/>
      <c r="E2209" s="17"/>
      <c r="F2209" s="17"/>
      <c r="G2209" s="38" t="s">
        <v>3311</v>
      </c>
      <c r="H2209" s="38" t="s">
        <v>617</v>
      </c>
      <c r="I2209" s="239" t="str">
        <f>IF(ISBLANK(global!I686),"",global!I686)</f>
        <v/>
      </c>
      <c r="K2209" s="262" t="s">
        <v>4241</v>
      </c>
      <c r="O2209" s="262" t="s">
        <v>4241</v>
      </c>
    </row>
    <row r="2210" spans="1:15" ht="12.75" customHeight="1" x14ac:dyDescent="0.3">
      <c r="A2210" s="38"/>
      <c r="B2210" s="17" t="s">
        <v>2589</v>
      </c>
      <c r="C2210" s="17"/>
      <c r="D2210" s="17"/>
      <c r="E2210" s="17"/>
      <c r="F2210" s="17"/>
      <c r="G2210" s="38" t="s">
        <v>3312</v>
      </c>
      <c r="H2210" s="17" t="s">
        <v>1058</v>
      </c>
      <c r="I2210" s="239" t="str">
        <f>IF(ISBLANK(global!I687),"",global!I687)</f>
        <v/>
      </c>
      <c r="K2210" s="262" t="s">
        <v>4241</v>
      </c>
      <c r="O2210" s="262" t="s">
        <v>4241</v>
      </c>
    </row>
    <row r="2211" spans="1:15" ht="12.75" customHeight="1" x14ac:dyDescent="0.3">
      <c r="A2211" s="38"/>
      <c r="B2211" s="38"/>
      <c r="C2211" s="17" t="s">
        <v>2591</v>
      </c>
      <c r="D2211" s="17"/>
      <c r="E2211" s="17"/>
      <c r="F2211" s="17"/>
      <c r="G2211" s="38" t="s">
        <v>3313</v>
      </c>
      <c r="H2211" s="17" t="s">
        <v>1044</v>
      </c>
      <c r="I2211" s="239" t="str">
        <f>IF(ISBLANK(global!I688),"",global!I688)</f>
        <v/>
      </c>
      <c r="K2211" s="262" t="s">
        <v>4241</v>
      </c>
      <c r="O2211" s="262" t="s">
        <v>4241</v>
      </c>
    </row>
    <row r="2212" spans="1:15" ht="12.75" customHeight="1" x14ac:dyDescent="0.3">
      <c r="A2212" s="17"/>
      <c r="B2212" s="17"/>
      <c r="C2212" s="17"/>
      <c r="D2212" s="17"/>
      <c r="E2212" s="17"/>
      <c r="F2212" s="17"/>
      <c r="G2212" s="17"/>
      <c r="H2212" s="38"/>
      <c r="I2212" s="239" t="str">
        <f>IF(ISBLANK(global!I689),"",global!I689)</f>
        <v/>
      </c>
      <c r="K2212" s="262" t="s">
        <v>4241</v>
      </c>
      <c r="O2212" s="262" t="s">
        <v>4241</v>
      </c>
    </row>
    <row r="2213" spans="1:15" ht="12.75" customHeight="1" x14ac:dyDescent="0.3">
      <c r="A2213" s="148" t="s">
        <v>2010</v>
      </c>
      <c r="B2213" s="147"/>
      <c r="C2213" s="147"/>
      <c r="D2213" s="147"/>
      <c r="E2213" s="147"/>
      <c r="F2213" s="147"/>
      <c r="G2213" s="148" t="s">
        <v>258</v>
      </c>
      <c r="H2213" s="148" t="s">
        <v>274</v>
      </c>
      <c r="I2213" s="239" t="str">
        <f>IF(ISBLANK(global!I690),"",global!I690)</f>
        <v>User input</v>
      </c>
      <c r="K2213" s="262" t="s">
        <v>259</v>
      </c>
      <c r="O2213" s="262" t="s">
        <v>259</v>
      </c>
    </row>
    <row r="2214" spans="1:15" ht="12.75" customHeight="1" x14ac:dyDescent="0.3">
      <c r="A2214" s="17"/>
      <c r="B2214" s="17"/>
      <c r="C2214" s="17"/>
      <c r="D2214" s="17"/>
      <c r="E2214" s="17"/>
      <c r="F2214" s="17"/>
      <c r="G2214" s="17"/>
      <c r="H2214" s="38"/>
      <c r="I2214" s="239" t="str">
        <f>IF(ISBLANK(global!I691),"",global!I691)</f>
        <v/>
      </c>
      <c r="K2214" s="262" t="s">
        <v>4241</v>
      </c>
      <c r="O2214" s="262" t="s">
        <v>4241</v>
      </c>
    </row>
    <row r="2215" spans="1:15" ht="12.75" customHeight="1" x14ac:dyDescent="0.3">
      <c r="A2215" s="17"/>
      <c r="B2215" s="38" t="s">
        <v>2593</v>
      </c>
      <c r="C2215" s="38"/>
      <c r="D2215" s="38"/>
      <c r="E2215" s="38"/>
      <c r="F2215" s="38"/>
      <c r="G2215" s="38" t="s">
        <v>3314</v>
      </c>
      <c r="H2215" s="38" t="s">
        <v>291</v>
      </c>
      <c r="I2215" s="239" t="str">
        <f>IF(ISBLANK(global!I692),"",global!I692)</f>
        <v/>
      </c>
      <c r="K2215" s="262" t="s">
        <v>4241</v>
      </c>
      <c r="O2215" s="262" t="s">
        <v>4241</v>
      </c>
    </row>
    <row r="2216" spans="1:15" ht="12.75" customHeight="1" x14ac:dyDescent="0.3">
      <c r="A2216" s="17"/>
      <c r="B2216" s="17" t="s">
        <v>2013</v>
      </c>
      <c r="C2216" s="17"/>
      <c r="D2216" s="17"/>
      <c r="E2216" s="17"/>
      <c r="F2216" s="17"/>
      <c r="G2216" s="17" t="s">
        <v>3315</v>
      </c>
      <c r="H2216" s="17" t="s">
        <v>291</v>
      </c>
      <c r="I2216" s="239" t="str">
        <f>IF(ISBLANK(global!I693),"",global!I693)</f>
        <v/>
      </c>
      <c r="K2216" s="262" t="s">
        <v>4241</v>
      </c>
      <c r="O2216" s="262" t="s">
        <v>4241</v>
      </c>
    </row>
    <row r="2217" spans="1:15" ht="12.75" customHeight="1" x14ac:dyDescent="0.3">
      <c r="A2217" s="17"/>
      <c r="B2217" s="17" t="s">
        <v>2015</v>
      </c>
      <c r="C2217" s="17"/>
      <c r="D2217" s="17"/>
      <c r="E2217" s="17"/>
      <c r="F2217" s="17"/>
      <c r="G2217" s="17" t="s">
        <v>3316</v>
      </c>
      <c r="H2217" s="17" t="s">
        <v>291</v>
      </c>
      <c r="I2217" s="239" t="str">
        <f>IF(ISBLANK(global!I694),"",global!I694)</f>
        <v/>
      </c>
      <c r="K2217" s="262" t="s">
        <v>4241</v>
      </c>
      <c r="O2217" s="262" t="s">
        <v>4241</v>
      </c>
    </row>
    <row r="2218" spans="1:15" ht="12.75" customHeight="1" x14ac:dyDescent="0.3">
      <c r="A2218" s="17"/>
      <c r="B2218" s="17"/>
      <c r="C2218" s="38" t="s">
        <v>2017</v>
      </c>
      <c r="D2218" s="38"/>
      <c r="E2218" s="38"/>
      <c r="F2218" s="38"/>
      <c r="G2218" s="38" t="s">
        <v>3317</v>
      </c>
      <c r="H2218" s="38" t="s">
        <v>291</v>
      </c>
      <c r="I2218" s="239" t="str">
        <f>IF(ISBLANK(global!I695),"",global!I695)</f>
        <v/>
      </c>
      <c r="K2218" s="262" t="s">
        <v>4241</v>
      </c>
      <c r="O2218" s="262" t="s">
        <v>4241</v>
      </c>
    </row>
    <row r="2219" spans="1:15" ht="12.75" customHeight="1" x14ac:dyDescent="0.3">
      <c r="A2219" s="38"/>
      <c r="B2219" s="38"/>
      <c r="C2219" s="38" t="s">
        <v>3318</v>
      </c>
      <c r="D2219" s="38"/>
      <c r="E2219" s="38"/>
      <c r="F2219" s="38"/>
      <c r="G2219" s="38" t="s">
        <v>3319</v>
      </c>
      <c r="H2219" s="38" t="s">
        <v>585</v>
      </c>
      <c r="I2219" s="239" t="str">
        <f>IF(ISBLANK(global!I696),"",global!I696)</f>
        <v/>
      </c>
      <c r="K2219" s="262" t="s">
        <v>4241</v>
      </c>
      <c r="O2219" s="262" t="s">
        <v>4241</v>
      </c>
    </row>
    <row r="2220" spans="1:15" ht="12.75" customHeight="1" x14ac:dyDescent="0.4">
      <c r="A2220" s="17"/>
      <c r="B2220" s="17"/>
      <c r="C2220" s="17" t="s">
        <v>2019</v>
      </c>
      <c r="D2220" s="17"/>
      <c r="E2220" s="17"/>
      <c r="F2220" s="17"/>
      <c r="G2220" s="17" t="s">
        <v>3320</v>
      </c>
      <c r="H2220" s="17" t="s">
        <v>1081</v>
      </c>
      <c r="I2220" s="239" t="str">
        <f>IF(ISBLANK(global!I697),"",global!I697)</f>
        <v/>
      </c>
      <c r="K2220" s="262" t="s">
        <v>4241</v>
      </c>
      <c r="O2220" s="262" t="s">
        <v>4241</v>
      </c>
    </row>
    <row r="2221" spans="1:15" ht="12.75" customHeight="1" x14ac:dyDescent="0.4">
      <c r="A2221" s="17"/>
      <c r="B2221" s="17"/>
      <c r="C2221" s="17" t="s">
        <v>2021</v>
      </c>
      <c r="D2221" s="17"/>
      <c r="E2221" s="17"/>
      <c r="F2221" s="17"/>
      <c r="G2221" s="17" t="s">
        <v>3321</v>
      </c>
      <c r="H2221" s="17" t="s">
        <v>1084</v>
      </c>
      <c r="I2221" s="239" t="str">
        <f>IF(ISBLANK(global!I698),"",global!I698)</f>
        <v/>
      </c>
      <c r="K2221" s="262" t="s">
        <v>4241</v>
      </c>
      <c r="O2221" s="262" t="s">
        <v>4241</v>
      </c>
    </row>
    <row r="2222" spans="1:15" ht="12.75" customHeight="1" x14ac:dyDescent="0.3">
      <c r="A2222" s="38"/>
      <c r="B2222" s="38" t="s">
        <v>2604</v>
      </c>
      <c r="C2222" s="146"/>
      <c r="D2222" s="17"/>
      <c r="E2222" s="17"/>
      <c r="F2222" s="17"/>
      <c r="G2222" s="38" t="s">
        <v>3322</v>
      </c>
      <c r="H2222" s="38" t="s">
        <v>291</v>
      </c>
      <c r="I2222" s="239" t="str">
        <f>IF(ISBLANK(global!I699),"",global!I699)</f>
        <v/>
      </c>
      <c r="K2222" s="262" t="s">
        <v>4241</v>
      </c>
      <c r="O2222" s="262" t="s">
        <v>4241</v>
      </c>
    </row>
    <row r="2223" spans="1:15" ht="12.75" customHeight="1" x14ac:dyDescent="0.3">
      <c r="A2223" s="38"/>
      <c r="B2223" s="38" t="s">
        <v>2606</v>
      </c>
      <c r="C2223" s="146"/>
      <c r="D2223" s="17"/>
      <c r="E2223" s="17"/>
      <c r="F2223" s="17"/>
      <c r="G2223" s="38" t="s">
        <v>3323</v>
      </c>
      <c r="H2223" s="38" t="s">
        <v>291</v>
      </c>
      <c r="I2223" s="239" t="str">
        <f>IF(ISBLANK(global!I700),"",global!I700)</f>
        <v/>
      </c>
      <c r="K2223" s="262" t="s">
        <v>4241</v>
      </c>
      <c r="O2223" s="262" t="s">
        <v>4241</v>
      </c>
    </row>
    <row r="2224" spans="1:15" ht="12.75" customHeight="1" x14ac:dyDescent="0.3">
      <c r="A2224" s="38"/>
      <c r="B2224" s="17"/>
      <c r="C2224" s="38" t="s">
        <v>2608</v>
      </c>
      <c r="D2224" s="17"/>
      <c r="E2224" s="17"/>
      <c r="F2224" s="17"/>
      <c r="G2224" s="146" t="s">
        <v>3324</v>
      </c>
      <c r="H2224" s="38" t="s">
        <v>1090</v>
      </c>
      <c r="I2224" s="239" t="str">
        <f>IF(ISBLANK(global!I701),"",global!I701)</f>
        <v/>
      </c>
      <c r="K2224" s="262" t="s">
        <v>4241</v>
      </c>
      <c r="O2224" s="262" t="s">
        <v>4241</v>
      </c>
    </row>
    <row r="2225" spans="1:15" ht="12.75" customHeight="1" x14ac:dyDescent="0.3">
      <c r="A2225" s="38"/>
      <c r="B2225" s="17"/>
      <c r="C2225" s="38" t="s">
        <v>2610</v>
      </c>
      <c r="D2225" s="17"/>
      <c r="E2225" s="17"/>
      <c r="F2225" s="17"/>
      <c r="G2225" s="146" t="s">
        <v>3325</v>
      </c>
      <c r="H2225" s="38" t="s">
        <v>1090</v>
      </c>
      <c r="I2225" s="239" t="str">
        <f>IF(ISBLANK(global!I702),"",global!I702)</f>
        <v/>
      </c>
      <c r="K2225" s="262" t="s">
        <v>4241</v>
      </c>
      <c r="O2225" s="262" t="s">
        <v>4241</v>
      </c>
    </row>
    <row r="2226" spans="1:15" ht="12.75" customHeight="1" x14ac:dyDescent="0.3">
      <c r="A2226" s="38"/>
      <c r="B2226" s="17"/>
      <c r="C2226" s="38" t="s">
        <v>2612</v>
      </c>
      <c r="D2226" s="17"/>
      <c r="E2226" s="17"/>
      <c r="F2226" s="17"/>
      <c r="G2226" s="146" t="s">
        <v>3326</v>
      </c>
      <c r="H2226" s="38" t="s">
        <v>291</v>
      </c>
      <c r="I2226" s="239" t="str">
        <f>IF(ISBLANK(global!I703),"",global!I703)</f>
        <v/>
      </c>
      <c r="K2226" s="262" t="s">
        <v>4241</v>
      </c>
      <c r="O2226" s="262" t="s">
        <v>4241</v>
      </c>
    </row>
    <row r="2227" spans="1:15" ht="12.75" customHeight="1" x14ac:dyDescent="0.3">
      <c r="A2227" s="38"/>
      <c r="B2227" s="17"/>
      <c r="C2227" s="38" t="s">
        <v>2614</v>
      </c>
      <c r="D2227" s="17"/>
      <c r="E2227" s="17"/>
      <c r="F2227" s="17"/>
      <c r="G2227" s="146" t="s">
        <v>3327</v>
      </c>
      <c r="H2227" s="38" t="s">
        <v>291</v>
      </c>
      <c r="I2227" s="239" t="str">
        <f>IF(ISBLANK(global!I704),"",global!I704)</f>
        <v/>
      </c>
      <c r="K2227" s="262" t="s">
        <v>4241</v>
      </c>
      <c r="O2227" s="262" t="s">
        <v>4241</v>
      </c>
    </row>
    <row r="2228" spans="1:15" ht="12.75" customHeight="1" x14ac:dyDescent="0.3">
      <c r="A2228" s="38"/>
      <c r="B2228" s="17"/>
      <c r="C2228" s="38" t="s">
        <v>2616</v>
      </c>
      <c r="D2228" s="17"/>
      <c r="E2228" s="17"/>
      <c r="F2228" s="17"/>
      <c r="G2228" s="146" t="s">
        <v>3328</v>
      </c>
      <c r="H2228" s="38" t="s">
        <v>579</v>
      </c>
      <c r="I2228" s="239" t="str">
        <f>IF(ISBLANK(global!I705),"",global!I705)</f>
        <v/>
      </c>
      <c r="K2228" s="262" t="s">
        <v>4241</v>
      </c>
      <c r="O2228" s="262" t="s">
        <v>4241</v>
      </c>
    </row>
    <row r="2229" spans="1:15" ht="12.75" customHeight="1" x14ac:dyDescent="0.3">
      <c r="A2229" s="38"/>
      <c r="B2229" s="17"/>
      <c r="C2229" s="38" t="s">
        <v>2618</v>
      </c>
      <c r="D2229" s="17"/>
      <c r="E2229" s="17"/>
      <c r="F2229" s="17"/>
      <c r="G2229" s="146" t="s">
        <v>3329</v>
      </c>
      <c r="H2229" s="38" t="s">
        <v>579</v>
      </c>
      <c r="I2229" s="239" t="str">
        <f>IF(ISBLANK(global!I706),"",global!I706)</f>
        <v/>
      </c>
      <c r="K2229" s="262" t="s">
        <v>4241</v>
      </c>
      <c r="O2229" s="262" t="s">
        <v>4241</v>
      </c>
    </row>
    <row r="2230" spans="1:15" ht="12.75" customHeight="1" x14ac:dyDescent="0.3">
      <c r="A2230" s="38"/>
      <c r="B2230" s="17"/>
      <c r="C2230" s="38" t="s">
        <v>2620</v>
      </c>
      <c r="D2230" s="17"/>
      <c r="E2230" s="17"/>
      <c r="F2230" s="17"/>
      <c r="G2230" s="146" t="s">
        <v>3330</v>
      </c>
      <c r="H2230" s="38" t="s">
        <v>1096</v>
      </c>
      <c r="I2230" s="239" t="str">
        <f>IF(ISBLANK(global!I707),"",global!I707)</f>
        <v/>
      </c>
      <c r="K2230" s="262" t="s">
        <v>4241</v>
      </c>
      <c r="O2230" s="262" t="s">
        <v>4241</v>
      </c>
    </row>
    <row r="2231" spans="1:15" ht="12.75" customHeight="1" x14ac:dyDescent="0.3">
      <c r="A2231" s="38"/>
      <c r="B2231" s="17"/>
      <c r="C2231" s="38" t="s">
        <v>2622</v>
      </c>
      <c r="D2231" s="17"/>
      <c r="E2231" s="17"/>
      <c r="F2231" s="17"/>
      <c r="G2231" s="146" t="s">
        <v>3331</v>
      </c>
      <c r="H2231" s="38" t="s">
        <v>1096</v>
      </c>
      <c r="I2231" s="239" t="str">
        <f>IF(ISBLANK(global!I708),"",global!I708)</f>
        <v/>
      </c>
      <c r="K2231" s="262" t="s">
        <v>4241</v>
      </c>
      <c r="O2231" s="262" t="s">
        <v>4241</v>
      </c>
    </row>
    <row r="2232" spans="1:15" ht="12.75" customHeight="1" x14ac:dyDescent="0.3">
      <c r="A2232" s="38"/>
      <c r="B2232" s="17"/>
      <c r="C2232" s="38" t="s">
        <v>2624</v>
      </c>
      <c r="D2232" s="17"/>
      <c r="E2232" s="17"/>
      <c r="F2232" s="17"/>
      <c r="G2232" s="146" t="s">
        <v>3332</v>
      </c>
      <c r="H2232" s="38" t="s">
        <v>716</v>
      </c>
      <c r="I2232" s="239" t="str">
        <f>IF(ISBLANK(global!I709),"",global!I709)</f>
        <v/>
      </c>
      <c r="K2232" s="262" t="s">
        <v>4241</v>
      </c>
      <c r="O2232" s="262" t="s">
        <v>4241</v>
      </c>
    </row>
    <row r="2233" spans="1:15" ht="12.75" customHeight="1" x14ac:dyDescent="0.3">
      <c r="A2233" s="38"/>
      <c r="B2233" s="17"/>
      <c r="C2233" s="38" t="s">
        <v>2626</v>
      </c>
      <c r="D2233" s="17"/>
      <c r="E2233" s="17"/>
      <c r="F2233" s="17"/>
      <c r="G2233" s="146" t="s">
        <v>3333</v>
      </c>
      <c r="H2233" s="38" t="s">
        <v>716</v>
      </c>
      <c r="I2233" s="239" t="str">
        <f>IF(ISBLANK(global!I710),"",global!I710)</f>
        <v/>
      </c>
      <c r="K2233" s="262" t="s">
        <v>4241</v>
      </c>
      <c r="O2233" s="262" t="s">
        <v>4241</v>
      </c>
    </row>
    <row r="2234" spans="1:15" ht="12.75" customHeight="1" x14ac:dyDescent="0.3">
      <c r="A2234" s="38"/>
      <c r="B2234" s="38" t="s">
        <v>2628</v>
      </c>
      <c r="C2234" s="146"/>
      <c r="D2234" s="17"/>
      <c r="E2234" s="17"/>
      <c r="F2234" s="17"/>
      <c r="G2234" s="146" t="s">
        <v>3334</v>
      </c>
      <c r="H2234" s="38" t="s">
        <v>291</v>
      </c>
      <c r="I2234" s="239" t="str">
        <f>IF(ISBLANK(global!I711),"",global!I711)</f>
        <v/>
      </c>
      <c r="K2234" s="262" t="s">
        <v>4241</v>
      </c>
      <c r="O2234" s="262" t="s">
        <v>4241</v>
      </c>
    </row>
    <row r="2235" spans="1:15" ht="12.75" customHeight="1" x14ac:dyDescent="0.3">
      <c r="A2235" s="38"/>
      <c r="B2235" s="17"/>
      <c r="C2235" s="38" t="s">
        <v>2630</v>
      </c>
      <c r="D2235" s="17"/>
      <c r="E2235" s="17"/>
      <c r="F2235" s="17"/>
      <c r="G2235" s="146" t="s">
        <v>3335</v>
      </c>
      <c r="H2235" s="38" t="s">
        <v>1090</v>
      </c>
      <c r="I2235" s="239" t="str">
        <f>IF(ISBLANK(global!I712),"",global!I712)</f>
        <v/>
      </c>
      <c r="K2235" s="262" t="s">
        <v>4241</v>
      </c>
      <c r="O2235" s="262" t="s">
        <v>4241</v>
      </c>
    </row>
    <row r="2236" spans="1:15" ht="12.75" customHeight="1" x14ac:dyDescent="0.3">
      <c r="A2236" s="38"/>
      <c r="B2236" s="17"/>
      <c r="C2236" s="38" t="s">
        <v>2632</v>
      </c>
      <c r="D2236" s="17"/>
      <c r="E2236" s="17"/>
      <c r="F2236" s="17"/>
      <c r="G2236" s="146" t="s">
        <v>3336</v>
      </c>
      <c r="H2236" s="38" t="s">
        <v>291</v>
      </c>
      <c r="I2236" s="239" t="str">
        <f>IF(ISBLANK(global!I713),"",global!I713)</f>
        <v/>
      </c>
      <c r="K2236" s="262" t="s">
        <v>4241</v>
      </c>
      <c r="O2236" s="262" t="s">
        <v>4241</v>
      </c>
    </row>
    <row r="2237" spans="1:15" ht="12.75" customHeight="1" x14ac:dyDescent="0.3">
      <c r="A2237" s="38"/>
      <c r="B2237" s="38" t="s">
        <v>2634</v>
      </c>
      <c r="C2237" s="146"/>
      <c r="D2237" s="17"/>
      <c r="E2237" s="17"/>
      <c r="F2237" s="17"/>
      <c r="G2237" s="146" t="s">
        <v>3337</v>
      </c>
      <c r="H2237" s="38" t="s">
        <v>291</v>
      </c>
      <c r="I2237" s="239" t="str">
        <f>IF(ISBLANK(global!I714),"",global!I714)</f>
        <v/>
      </c>
      <c r="K2237" s="262" t="s">
        <v>4241</v>
      </c>
      <c r="O2237" s="262" t="s">
        <v>4241</v>
      </c>
    </row>
    <row r="2238" spans="1:15" ht="12.75" customHeight="1" x14ac:dyDescent="0.3">
      <c r="A2238" s="38"/>
      <c r="B2238" s="38" t="s">
        <v>2636</v>
      </c>
      <c r="C2238" s="146"/>
      <c r="D2238" s="17"/>
      <c r="E2238" s="17"/>
      <c r="F2238" s="17"/>
      <c r="G2238" s="146" t="s">
        <v>3338</v>
      </c>
      <c r="H2238" s="38" t="s">
        <v>291</v>
      </c>
      <c r="I2238" s="239" t="str">
        <f>IF(ISBLANK(global!I715),"",global!I715)</f>
        <v/>
      </c>
      <c r="K2238" s="262" t="s">
        <v>4241</v>
      </c>
      <c r="O2238" s="262" t="s">
        <v>4241</v>
      </c>
    </row>
    <row r="2239" spans="1:15" ht="12.75" customHeight="1" x14ac:dyDescent="0.3">
      <c r="A2239" s="38"/>
      <c r="B2239" s="38" t="s">
        <v>2638</v>
      </c>
      <c r="C2239" s="146"/>
      <c r="D2239" s="17"/>
      <c r="E2239" s="17"/>
      <c r="F2239" s="17"/>
      <c r="G2239" s="146" t="s">
        <v>3339</v>
      </c>
      <c r="H2239" s="38" t="s">
        <v>291</v>
      </c>
      <c r="I2239" s="239" t="str">
        <f>IF(ISBLANK(global!I716),"",global!I716)</f>
        <v/>
      </c>
      <c r="K2239" s="262" t="s">
        <v>4241</v>
      </c>
      <c r="O2239" s="262" t="s">
        <v>4241</v>
      </c>
    </row>
    <row r="2240" spans="1:15" ht="12.75" customHeight="1" x14ac:dyDescent="0.3">
      <c r="A2240" s="38"/>
      <c r="B2240" s="17"/>
      <c r="C2240" s="38" t="s">
        <v>2640</v>
      </c>
      <c r="D2240" s="17"/>
      <c r="E2240" s="17"/>
      <c r="F2240" s="17"/>
      <c r="G2240" s="146" t="s">
        <v>3340</v>
      </c>
      <c r="H2240" s="38" t="s">
        <v>1090</v>
      </c>
      <c r="I2240" s="239" t="str">
        <f>IF(ISBLANK(global!I717),"",global!I717)</f>
        <v/>
      </c>
      <c r="K2240" s="262" t="s">
        <v>4241</v>
      </c>
      <c r="O2240" s="262" t="s">
        <v>4241</v>
      </c>
    </row>
    <row r="2241" spans="1:15" ht="12.75" customHeight="1" x14ac:dyDescent="0.3">
      <c r="A2241" s="38"/>
      <c r="B2241" s="17"/>
      <c r="C2241" s="38" t="s">
        <v>2642</v>
      </c>
      <c r="D2241" s="17"/>
      <c r="E2241" s="17"/>
      <c r="F2241" s="17"/>
      <c r="G2241" s="146" t="s">
        <v>3341</v>
      </c>
      <c r="H2241" s="38" t="s">
        <v>291</v>
      </c>
      <c r="I2241" s="239" t="str">
        <f>IF(ISBLANK(global!I718),"",global!I718)</f>
        <v/>
      </c>
      <c r="K2241" s="262" t="s">
        <v>4241</v>
      </c>
      <c r="O2241" s="262" t="s">
        <v>4241</v>
      </c>
    </row>
    <row r="2242" spans="1:15" ht="12.75" customHeight="1" x14ac:dyDescent="0.3">
      <c r="A2242" s="17"/>
      <c r="B2242" s="17"/>
      <c r="C2242" s="17"/>
      <c r="D2242" s="17"/>
      <c r="E2242" s="17"/>
      <c r="F2242" s="17"/>
      <c r="G2242" s="17"/>
      <c r="H2242" s="38"/>
      <c r="I2242" s="239" t="str">
        <f>IF(ISBLANK(global!I719),"",global!I719)</f>
        <v/>
      </c>
      <c r="K2242" s="262" t="s">
        <v>4241</v>
      </c>
      <c r="O2242" s="262" t="s">
        <v>4241</v>
      </c>
    </row>
    <row r="2243" spans="1:15" ht="12.75" customHeight="1" x14ac:dyDescent="0.3">
      <c r="A2243" s="148" t="s">
        <v>1155</v>
      </c>
      <c r="B2243" s="147"/>
      <c r="C2243" s="147"/>
      <c r="D2243" s="147"/>
      <c r="E2243" s="147"/>
      <c r="F2243" s="147"/>
      <c r="G2243" s="148" t="s">
        <v>258</v>
      </c>
      <c r="H2243" s="148" t="s">
        <v>274</v>
      </c>
      <c r="I2243" s="239" t="str">
        <f>IF(ISBLANK(global!I720),"",global!I720)</f>
        <v>User input</v>
      </c>
      <c r="K2243" s="262" t="s">
        <v>259</v>
      </c>
      <c r="O2243" s="262" t="s">
        <v>259</v>
      </c>
    </row>
    <row r="2244" spans="1:15" ht="12.75" customHeight="1" x14ac:dyDescent="0.3">
      <c r="A2244" s="17"/>
      <c r="B2244" s="17"/>
      <c r="C2244" s="17"/>
      <c r="D2244" s="17"/>
      <c r="E2244" s="17"/>
      <c r="F2244" s="17"/>
      <c r="G2244" s="17"/>
      <c r="H2244" s="38"/>
      <c r="I2244" s="239" t="str">
        <f>IF(ISBLANK(global!I721),"",global!I721)</f>
        <v/>
      </c>
      <c r="K2244" s="262" t="s">
        <v>4241</v>
      </c>
      <c r="O2244" s="262" t="s">
        <v>4241</v>
      </c>
    </row>
    <row r="2245" spans="1:15" ht="12.75" customHeight="1" x14ac:dyDescent="0.3">
      <c r="A2245" s="38" t="s">
        <v>2644</v>
      </c>
      <c r="B2245" s="17"/>
      <c r="C2245" s="17"/>
      <c r="D2245" s="17"/>
      <c r="E2245" s="17"/>
      <c r="F2245" s="17"/>
      <c r="G2245" s="38" t="s">
        <v>3342</v>
      </c>
      <c r="H2245" s="38" t="s">
        <v>617</v>
      </c>
      <c r="I2245" s="239" t="str">
        <f>IF(ISBLANK(global!I722),"",global!I722)</f>
        <v/>
      </c>
      <c r="K2245" s="262" t="s">
        <v>4241</v>
      </c>
      <c r="O2245" s="262" t="s">
        <v>4241</v>
      </c>
    </row>
    <row r="2246" spans="1:15" ht="12.75" customHeight="1" x14ac:dyDescent="0.3">
      <c r="A2246" s="38" t="s">
        <v>2646</v>
      </c>
      <c r="B2246" s="17"/>
      <c r="C2246" s="17"/>
      <c r="D2246" s="17"/>
      <c r="E2246" s="17"/>
      <c r="F2246" s="17"/>
      <c r="G2246" s="38" t="s">
        <v>3343</v>
      </c>
      <c r="H2246" s="38" t="s">
        <v>617</v>
      </c>
      <c r="I2246" s="239" t="str">
        <f>IF(ISBLANK(global!I723),"",global!I723)</f>
        <v/>
      </c>
      <c r="K2246" s="262" t="s">
        <v>4241</v>
      </c>
      <c r="O2246" s="262" t="s">
        <v>4241</v>
      </c>
    </row>
    <row r="2247" spans="1:15" ht="12.75" customHeight="1" x14ac:dyDescent="0.3">
      <c r="A2247" s="38" t="s">
        <v>2648</v>
      </c>
      <c r="B2247" s="17"/>
      <c r="C2247" s="17"/>
      <c r="D2247" s="17"/>
      <c r="E2247" s="17"/>
      <c r="F2247" s="17"/>
      <c r="G2247" s="38" t="s">
        <v>3344</v>
      </c>
      <c r="H2247" s="38" t="s">
        <v>617</v>
      </c>
      <c r="I2247" s="239" t="str">
        <f>IF(ISBLANK(global!I724),"",global!I724)</f>
        <v/>
      </c>
      <c r="K2247" s="262" t="s">
        <v>4241</v>
      </c>
      <c r="O2247" s="262" t="s">
        <v>4241</v>
      </c>
    </row>
    <row r="2248" spans="1:15" ht="12.75" customHeight="1" x14ac:dyDescent="0.3">
      <c r="A2248" s="38" t="s">
        <v>2650</v>
      </c>
      <c r="B2248" s="17"/>
      <c r="C2248" s="17"/>
      <c r="D2248" s="17"/>
      <c r="E2248" s="17"/>
      <c r="F2248" s="17"/>
      <c r="G2248" s="38" t="s">
        <v>3345</v>
      </c>
      <c r="H2248" s="38" t="s">
        <v>617</v>
      </c>
      <c r="I2248" s="239" t="str">
        <f>IF(ISBLANK(global!I725),"",global!I725)</f>
        <v/>
      </c>
      <c r="K2248" s="262" t="s">
        <v>4241</v>
      </c>
      <c r="O2248" s="262" t="s">
        <v>4241</v>
      </c>
    </row>
    <row r="2249" spans="1:15" ht="12.75" customHeight="1" x14ac:dyDescent="0.3">
      <c r="A2249" s="17"/>
      <c r="B2249" s="38" t="s">
        <v>2091</v>
      </c>
      <c r="C2249" s="17"/>
      <c r="D2249" s="17"/>
      <c r="E2249" s="17"/>
      <c r="F2249" s="17"/>
      <c r="G2249" s="540" t="s">
        <v>3346</v>
      </c>
      <c r="H2249" s="38" t="s">
        <v>617</v>
      </c>
      <c r="I2249" s="239" t="str">
        <f>IF(ISBLANK(global!I726),"",global!I726)</f>
        <v/>
      </c>
      <c r="K2249" s="262" t="s">
        <v>4241</v>
      </c>
      <c r="O2249" s="262" t="s">
        <v>4241</v>
      </c>
    </row>
    <row r="2250" spans="1:15" ht="12.75" customHeight="1" x14ac:dyDescent="0.3">
      <c r="A2250" s="17"/>
      <c r="B2250" s="38"/>
      <c r="C2250" s="17" t="s">
        <v>2093</v>
      </c>
      <c r="D2250" s="17"/>
      <c r="E2250" s="17"/>
      <c r="F2250" s="17"/>
      <c r="G2250" s="540" t="s">
        <v>3347</v>
      </c>
      <c r="H2250" s="38" t="s">
        <v>617</v>
      </c>
      <c r="I2250" s="239" t="str">
        <f>IF(ISBLANK(global!I727),"",global!I727)</f>
        <v/>
      </c>
      <c r="K2250" s="262" t="s">
        <v>4241</v>
      </c>
      <c r="O2250" s="262" t="s">
        <v>4241</v>
      </c>
    </row>
    <row r="2251" spans="1:15" ht="12.75" customHeight="1" x14ac:dyDescent="0.3">
      <c r="A2251" s="17"/>
      <c r="B2251" s="38"/>
      <c r="C2251" s="38"/>
      <c r="D2251" s="38" t="s">
        <v>2656</v>
      </c>
      <c r="E2251" s="17"/>
      <c r="F2251" s="17"/>
      <c r="G2251" s="38" t="s">
        <v>3348</v>
      </c>
      <c r="H2251" s="38" t="s">
        <v>617</v>
      </c>
      <c r="I2251" s="239" t="str">
        <f>IF(ISBLANK(global!I728),"",global!I728)</f>
        <v/>
      </c>
      <c r="K2251" s="262" t="s">
        <v>4241</v>
      </c>
      <c r="O2251" s="262" t="s">
        <v>4241</v>
      </c>
    </row>
    <row r="2252" spans="1:15" ht="12.75" customHeight="1" x14ac:dyDescent="0.3">
      <c r="A2252" s="17"/>
      <c r="B2252" s="38"/>
      <c r="C2252" s="38"/>
      <c r="D2252" s="38" t="s">
        <v>2658</v>
      </c>
      <c r="E2252" s="17"/>
      <c r="F2252" s="17"/>
      <c r="G2252" s="38" t="s">
        <v>3349</v>
      </c>
      <c r="H2252" s="38" t="s">
        <v>617</v>
      </c>
      <c r="I2252" s="239" t="str">
        <f>IF(ISBLANK(global!I729),"",global!I729)</f>
        <v/>
      </c>
      <c r="K2252" s="262" t="s">
        <v>4241</v>
      </c>
      <c r="O2252" s="262" t="s">
        <v>4241</v>
      </c>
    </row>
    <row r="2253" spans="1:15" ht="12.75" customHeight="1" x14ac:dyDescent="0.3">
      <c r="A2253" s="17"/>
      <c r="B2253" s="38"/>
      <c r="C2253" s="17" t="s">
        <v>1188</v>
      </c>
      <c r="D2253" s="17"/>
      <c r="E2253" s="17"/>
      <c r="F2253" s="17"/>
      <c r="G2253" s="17" t="s">
        <v>3350</v>
      </c>
      <c r="H2253" s="17" t="s">
        <v>1190</v>
      </c>
      <c r="I2253" s="239" t="str">
        <f>IF(ISBLANK(global!I730),"",global!I730)</f>
        <v/>
      </c>
      <c r="K2253" s="262" t="s">
        <v>4241</v>
      </c>
      <c r="O2253" s="262" t="s">
        <v>4241</v>
      </c>
    </row>
    <row r="2254" spans="1:15" ht="12.75" customHeight="1" x14ac:dyDescent="0.3">
      <c r="A2254" s="17"/>
      <c r="B2254" s="38"/>
      <c r="C2254" s="17" t="s">
        <v>1191</v>
      </c>
      <c r="D2254" s="17"/>
      <c r="E2254" s="17"/>
      <c r="F2254" s="17"/>
      <c r="G2254" s="17" t="s">
        <v>3351</v>
      </c>
      <c r="H2254" s="17" t="s">
        <v>1190</v>
      </c>
      <c r="I2254" s="239" t="str">
        <f>IF(ISBLANK(global!I731),"",global!I731)</f>
        <v/>
      </c>
      <c r="K2254" s="262" t="s">
        <v>4241</v>
      </c>
      <c r="O2254" s="262" t="s">
        <v>4241</v>
      </c>
    </row>
    <row r="2255" spans="1:15" ht="12.75" customHeight="1" x14ac:dyDescent="0.3">
      <c r="A2255" s="17"/>
      <c r="B2255" s="38"/>
      <c r="C2255" s="38" t="s">
        <v>1193</v>
      </c>
      <c r="D2255" s="17"/>
      <c r="E2255" s="17"/>
      <c r="F2255" s="17"/>
      <c r="G2255" s="146" t="s">
        <v>3352</v>
      </c>
      <c r="H2255" s="31" t="s">
        <v>1195</v>
      </c>
      <c r="I2255" s="239" t="str">
        <f>IF(ISBLANK(global!I732),"",global!I732)</f>
        <v/>
      </c>
      <c r="K2255" s="262" t="s">
        <v>4241</v>
      </c>
      <c r="O2255" s="262" t="s">
        <v>4241</v>
      </c>
    </row>
    <row r="2256" spans="1:15" ht="12.75" customHeight="1" x14ac:dyDescent="0.3">
      <c r="A2256" s="17"/>
      <c r="B2256" s="38"/>
      <c r="C2256" s="38" t="s">
        <v>1196</v>
      </c>
      <c r="D2256" s="17"/>
      <c r="E2256" s="17"/>
      <c r="F2256" s="17"/>
      <c r="G2256" s="38" t="s">
        <v>3353</v>
      </c>
      <c r="H2256" s="146" t="s">
        <v>1195</v>
      </c>
      <c r="I2256" s="239" t="str">
        <f>IF(ISBLANK(global!I733),"",global!I733)</f>
        <v/>
      </c>
      <c r="K2256" s="262" t="s">
        <v>4241</v>
      </c>
      <c r="O2256" s="262" t="s">
        <v>4241</v>
      </c>
    </row>
    <row r="2257" spans="1:15" ht="12.75" customHeight="1" x14ac:dyDescent="0.3">
      <c r="A2257" s="17"/>
      <c r="B2257" s="38"/>
      <c r="C2257" s="38" t="s">
        <v>2103</v>
      </c>
      <c r="D2257" s="17"/>
      <c r="E2257" s="17"/>
      <c r="F2257" s="17"/>
      <c r="G2257" s="38" t="s">
        <v>3354</v>
      </c>
      <c r="H2257" s="146" t="s">
        <v>1195</v>
      </c>
      <c r="I2257" s="239" t="str">
        <f>IF(ISBLANK(global!I734),"",global!I734)</f>
        <v/>
      </c>
      <c r="K2257" s="262" t="s">
        <v>4241</v>
      </c>
      <c r="O2257" s="262" t="s">
        <v>4241</v>
      </c>
    </row>
    <row r="2258" spans="1:15" ht="12.75" customHeight="1" x14ac:dyDescent="0.3">
      <c r="A2258" s="17"/>
      <c r="B2258" s="38"/>
      <c r="C2258" s="17"/>
      <c r="D2258" s="146" t="s">
        <v>1200</v>
      </c>
      <c r="E2258" s="146"/>
      <c r="F2258" s="146"/>
      <c r="G2258" s="146" t="s">
        <v>3355</v>
      </c>
      <c r="H2258" s="31" t="s">
        <v>1195</v>
      </c>
      <c r="I2258" s="239" t="str">
        <f>IF(ISBLANK(global!I735),"",global!I735)</f>
        <v/>
      </c>
      <c r="K2258" s="262" t="s">
        <v>4241</v>
      </c>
      <c r="O2258" s="262" t="s">
        <v>4241</v>
      </c>
    </row>
    <row r="2259" spans="1:15" ht="12.75" customHeight="1" x14ac:dyDescent="0.3">
      <c r="A2259" s="17"/>
      <c r="B2259" s="38"/>
      <c r="C2259" s="17"/>
      <c r="D2259" s="38" t="s">
        <v>2666</v>
      </c>
      <c r="E2259" s="146"/>
      <c r="F2259" s="146"/>
      <c r="G2259" s="146" t="s">
        <v>3356</v>
      </c>
      <c r="H2259" s="146" t="s">
        <v>2668</v>
      </c>
      <c r="I2259" s="239" t="str">
        <f>IF(ISBLANK(global!I736),"",global!I736)</f>
        <v/>
      </c>
      <c r="K2259" s="262" t="s">
        <v>4241</v>
      </c>
      <c r="O2259" s="262" t="s">
        <v>4241</v>
      </c>
    </row>
    <row r="2260" spans="1:15" ht="12.75" customHeight="1" x14ac:dyDescent="0.3">
      <c r="A2260" s="17"/>
      <c r="B2260" s="38"/>
      <c r="C2260" s="17"/>
      <c r="D2260" s="38" t="s">
        <v>1202</v>
      </c>
      <c r="E2260" s="17"/>
      <c r="F2260" s="17"/>
      <c r="G2260" s="146" t="s">
        <v>3357</v>
      </c>
      <c r="H2260" s="38" t="s">
        <v>291</v>
      </c>
      <c r="I2260" s="239" t="str">
        <f>IF(ISBLANK(global!I737),"",global!I737)</f>
        <v/>
      </c>
      <c r="K2260" s="262" t="s">
        <v>4241</v>
      </c>
      <c r="O2260" s="262" t="s">
        <v>4241</v>
      </c>
    </row>
    <row r="2261" spans="1:15" ht="12.75" customHeight="1" x14ac:dyDescent="0.3">
      <c r="A2261" s="17"/>
      <c r="B2261" s="38" t="s">
        <v>1204</v>
      </c>
      <c r="C2261" s="17"/>
      <c r="D2261" s="17"/>
      <c r="E2261" s="146"/>
      <c r="F2261" s="146"/>
      <c r="G2261" s="540" t="s">
        <v>3358</v>
      </c>
      <c r="H2261" s="38" t="s">
        <v>1195</v>
      </c>
      <c r="I2261" s="239" t="str">
        <f>IF(ISBLANK(global!I738),"",global!I738)</f>
        <v/>
      </c>
      <c r="K2261" s="262" t="s">
        <v>4241</v>
      </c>
      <c r="O2261" s="262" t="s">
        <v>4241</v>
      </c>
    </row>
    <row r="2262" spans="1:15" ht="12.75" customHeight="1" x14ac:dyDescent="0.3">
      <c r="A2262" s="17"/>
      <c r="B2262" s="38" t="s">
        <v>1206</v>
      </c>
      <c r="C2262" s="17"/>
      <c r="D2262" s="17"/>
      <c r="E2262" s="146"/>
      <c r="F2262" s="146"/>
      <c r="G2262" s="540" t="s">
        <v>3359</v>
      </c>
      <c r="H2262" s="38" t="s">
        <v>1195</v>
      </c>
      <c r="I2262" s="239" t="str">
        <f>IF(ISBLANK(global!I739),"",global!I739)</f>
        <v/>
      </c>
      <c r="K2262" s="262" t="s">
        <v>4241</v>
      </c>
      <c r="O2262" s="262" t="s">
        <v>4241</v>
      </c>
    </row>
    <row r="2263" spans="1:15" ht="12.75" customHeight="1" x14ac:dyDescent="0.3">
      <c r="A2263" s="17"/>
      <c r="B2263" s="38" t="s">
        <v>2672</v>
      </c>
      <c r="C2263" s="17"/>
      <c r="D2263" s="17"/>
      <c r="E2263" s="17"/>
      <c r="F2263" s="17"/>
      <c r="G2263" s="540" t="s">
        <v>3360</v>
      </c>
      <c r="H2263" s="38" t="s">
        <v>1195</v>
      </c>
      <c r="I2263" s="239" t="str">
        <f>IF(ISBLANK(global!I740),"",global!I740)</f>
        <v/>
      </c>
      <c r="K2263" s="262" t="s">
        <v>4241</v>
      </c>
      <c r="O2263" s="262" t="s">
        <v>4241</v>
      </c>
    </row>
    <row r="2264" spans="1:15" ht="12.75" customHeight="1" x14ac:dyDescent="0.3">
      <c r="A2264" s="17"/>
      <c r="B2264" s="38" t="s">
        <v>2674</v>
      </c>
      <c r="C2264" s="17"/>
      <c r="D2264" s="17"/>
      <c r="E2264" s="146"/>
      <c r="F2264" s="146"/>
      <c r="G2264" s="540" t="s">
        <v>3361</v>
      </c>
      <c r="H2264" s="38" t="s">
        <v>1195</v>
      </c>
      <c r="I2264" s="239" t="str">
        <f>IF(ISBLANK(global!I741),"",global!I741)</f>
        <v/>
      </c>
      <c r="K2264" s="262" t="s">
        <v>4241</v>
      </c>
      <c r="O2264" s="262" t="s">
        <v>4241</v>
      </c>
    </row>
    <row r="2265" spans="1:15" ht="12.75" customHeight="1" x14ac:dyDescent="0.3">
      <c r="A2265" s="17"/>
      <c r="B2265" s="38"/>
      <c r="C2265" s="17" t="s">
        <v>1215</v>
      </c>
      <c r="D2265" s="17"/>
      <c r="E2265" s="17"/>
      <c r="F2265" s="17"/>
      <c r="G2265" s="17" t="s">
        <v>3362</v>
      </c>
      <c r="H2265" s="31" t="s">
        <v>1195</v>
      </c>
      <c r="I2265" s="239" t="str">
        <f>IF(ISBLANK(global!I742),"",global!I742)</f>
        <v/>
      </c>
      <c r="K2265" s="262" t="s">
        <v>4241</v>
      </c>
      <c r="O2265" s="262" t="s">
        <v>4241</v>
      </c>
    </row>
    <row r="2266" spans="1:15" ht="12.75" customHeight="1" x14ac:dyDescent="0.3">
      <c r="A2266" s="17"/>
      <c r="B2266" s="38"/>
      <c r="C2266" s="17" t="s">
        <v>1217</v>
      </c>
      <c r="D2266" s="17"/>
      <c r="E2266" s="17"/>
      <c r="F2266" s="17"/>
      <c r="G2266" s="17" t="s">
        <v>3363</v>
      </c>
      <c r="H2266" s="31" t="s">
        <v>1195</v>
      </c>
      <c r="I2266" s="239" t="str">
        <f>IF(ISBLANK(global!I743),"",global!I743)</f>
        <v/>
      </c>
      <c r="K2266" s="262" t="s">
        <v>4241</v>
      </c>
      <c r="O2266" s="262" t="s">
        <v>4241</v>
      </c>
    </row>
    <row r="2267" spans="1:15" ht="12.75" customHeight="1" x14ac:dyDescent="0.3">
      <c r="A2267" s="38"/>
      <c r="B2267" s="17"/>
      <c r="C2267" s="17"/>
      <c r="D2267" s="146" t="s">
        <v>2678</v>
      </c>
      <c r="E2267" s="17"/>
      <c r="F2267" s="17"/>
      <c r="G2267" s="38" t="s">
        <v>3364</v>
      </c>
      <c r="H2267" s="31" t="s">
        <v>1195</v>
      </c>
      <c r="I2267" s="239" t="str">
        <f>IF(ISBLANK(global!I744),"",global!I744)</f>
        <v/>
      </c>
      <c r="K2267" s="262" t="s">
        <v>4241</v>
      </c>
      <c r="O2267" s="262" t="s">
        <v>4241</v>
      </c>
    </row>
    <row r="2268" spans="1:15" ht="12.75" customHeight="1" x14ac:dyDescent="0.3">
      <c r="A2268" s="17"/>
      <c r="B2268" s="38"/>
      <c r="C2268" s="17" t="s">
        <v>1225</v>
      </c>
      <c r="D2268" s="17"/>
      <c r="E2268" s="146"/>
      <c r="F2268" s="146"/>
      <c r="G2268" s="17" t="s">
        <v>3365</v>
      </c>
      <c r="H2268" s="31" t="s">
        <v>1195</v>
      </c>
      <c r="I2268" s="239" t="str">
        <f>IF(ISBLANK(global!I745),"",global!I745)</f>
        <v/>
      </c>
      <c r="K2268" s="262" t="s">
        <v>4241</v>
      </c>
      <c r="O2268" s="262" t="s">
        <v>4241</v>
      </c>
    </row>
    <row r="2269" spans="1:15" ht="12.75" customHeight="1" x14ac:dyDescent="0.3">
      <c r="A2269" s="17"/>
      <c r="B2269" s="38"/>
      <c r="C2269" s="17" t="s">
        <v>1227</v>
      </c>
      <c r="D2269" s="17"/>
      <c r="E2269" s="17"/>
      <c r="F2269" s="17"/>
      <c r="G2269" s="17" t="s">
        <v>3366</v>
      </c>
      <c r="H2269" s="146" t="s">
        <v>1195</v>
      </c>
      <c r="I2269" s="239" t="str">
        <f>IF(ISBLANK(global!I746),"",global!I746)</f>
        <v/>
      </c>
      <c r="K2269" s="262" t="s">
        <v>4241</v>
      </c>
      <c r="O2269" s="262" t="s">
        <v>4241</v>
      </c>
    </row>
    <row r="2270" spans="1:15" ht="12.75" customHeight="1" x14ac:dyDescent="0.3">
      <c r="A2270" s="17"/>
      <c r="B2270" s="38"/>
      <c r="C2270" s="17" t="s">
        <v>1229</v>
      </c>
      <c r="D2270" s="17"/>
      <c r="E2270" s="146"/>
      <c r="F2270" s="17"/>
      <c r="G2270" s="38" t="s">
        <v>3367</v>
      </c>
      <c r="H2270" s="17" t="s">
        <v>291</v>
      </c>
      <c r="I2270" s="239" t="str">
        <f>IF(ISBLANK(global!I747),"",global!I747)</f>
        <v/>
      </c>
      <c r="K2270" s="262" t="s">
        <v>4241</v>
      </c>
      <c r="O2270" s="262" t="s">
        <v>4241</v>
      </c>
    </row>
    <row r="2271" spans="1:15" ht="12.75" customHeight="1" x14ac:dyDescent="0.3">
      <c r="A2271" s="17"/>
      <c r="B2271" s="17"/>
      <c r="C2271" s="17"/>
      <c r="D2271" s="17"/>
      <c r="E2271" s="17"/>
      <c r="F2271" s="17"/>
      <c r="G2271" s="17"/>
      <c r="H2271" s="17"/>
      <c r="I2271" s="239" t="str">
        <f>IF(ISBLANK(global!I748),"",global!I748)</f>
        <v/>
      </c>
      <c r="K2271" s="262" t="s">
        <v>4241</v>
      </c>
      <c r="O2271" s="262" t="s">
        <v>4241</v>
      </c>
    </row>
    <row r="2272" spans="1:15" ht="12.75" customHeight="1" x14ac:dyDescent="0.3">
      <c r="A2272" s="38" t="s">
        <v>2683</v>
      </c>
      <c r="B2272" s="17"/>
      <c r="C2272" s="17"/>
      <c r="D2272" s="17"/>
      <c r="E2272" s="17"/>
      <c r="F2272" s="17"/>
      <c r="G2272" s="38" t="s">
        <v>3368</v>
      </c>
      <c r="H2272" s="38" t="s">
        <v>617</v>
      </c>
      <c r="I2272" s="239" t="str">
        <f>IF(ISBLANK(global!I749),"",global!I749)</f>
        <v/>
      </c>
      <c r="K2272" s="262" t="s">
        <v>4241</v>
      </c>
      <c r="O2272" s="262" t="s">
        <v>4241</v>
      </c>
    </row>
    <row r="2273" spans="1:15" ht="12.75" customHeight="1" x14ac:dyDescent="0.3">
      <c r="A2273" s="38" t="s">
        <v>2685</v>
      </c>
      <c r="B2273" s="17"/>
      <c r="C2273" s="17"/>
      <c r="D2273" s="17"/>
      <c r="E2273" s="17"/>
      <c r="F2273" s="17"/>
      <c r="G2273" s="38" t="s">
        <v>3369</v>
      </c>
      <c r="H2273" s="38" t="s">
        <v>617</v>
      </c>
      <c r="I2273" s="239" t="str">
        <f>IF(ISBLANK(global!I750),"",global!I750)</f>
        <v/>
      </c>
      <c r="K2273" s="262" t="s">
        <v>4241</v>
      </c>
      <c r="O2273" s="262" t="s">
        <v>4241</v>
      </c>
    </row>
    <row r="2274" spans="1:15" ht="12.75" customHeight="1" x14ac:dyDescent="0.3">
      <c r="A2274" s="38"/>
      <c r="B2274" s="38" t="s">
        <v>2687</v>
      </c>
      <c r="C2274" s="17"/>
      <c r="D2274" s="17"/>
      <c r="E2274" s="17"/>
      <c r="F2274" s="17"/>
      <c r="G2274" s="540" t="s">
        <v>3370</v>
      </c>
      <c r="H2274" s="38" t="s">
        <v>1195</v>
      </c>
      <c r="I2274" s="239" t="str">
        <f>IF(ISBLANK(global!I751),"",global!I751)</f>
        <v/>
      </c>
      <c r="K2274" s="262" t="s">
        <v>4241</v>
      </c>
      <c r="O2274" s="262" t="s">
        <v>4241</v>
      </c>
    </row>
    <row r="2275" spans="1:15" ht="12.75" customHeight="1" x14ac:dyDescent="0.3">
      <c r="A2275" s="38"/>
      <c r="B2275" s="38" t="s">
        <v>2689</v>
      </c>
      <c r="C2275" s="17"/>
      <c r="D2275" s="17"/>
      <c r="E2275" s="17"/>
      <c r="F2275" s="17"/>
      <c r="G2275" s="540" t="s">
        <v>3371</v>
      </c>
      <c r="H2275" s="38" t="s">
        <v>1195</v>
      </c>
      <c r="I2275" s="239" t="str">
        <f>IF(ISBLANK(global!I752),"",global!I752)</f>
        <v/>
      </c>
      <c r="K2275" s="262" t="s">
        <v>4241</v>
      </c>
      <c r="O2275" s="262" t="s">
        <v>4241</v>
      </c>
    </row>
    <row r="2276" spans="1:15" ht="12.75" customHeight="1" x14ac:dyDescent="0.3">
      <c r="A2276" s="17"/>
      <c r="B2276" s="38"/>
      <c r="C2276" s="38" t="s">
        <v>1261</v>
      </c>
      <c r="D2276" s="17"/>
      <c r="E2276" s="17"/>
      <c r="F2276" s="17"/>
      <c r="G2276" s="146" t="s">
        <v>3372</v>
      </c>
      <c r="H2276" s="31" t="s">
        <v>1195</v>
      </c>
      <c r="I2276" s="239" t="str">
        <f>IF(ISBLANK(global!I753),"",global!I753)</f>
        <v/>
      </c>
      <c r="K2276" s="262" t="s">
        <v>4241</v>
      </c>
      <c r="O2276" s="262" t="s">
        <v>4241</v>
      </c>
    </row>
    <row r="2277" spans="1:15" ht="12.75" customHeight="1" x14ac:dyDescent="0.3">
      <c r="A2277" s="38"/>
      <c r="B2277" s="17"/>
      <c r="C2277" s="38"/>
      <c r="D2277" s="38" t="s">
        <v>1265</v>
      </c>
      <c r="E2277" s="146"/>
      <c r="F2277" s="146"/>
      <c r="G2277" s="146" t="s">
        <v>3373</v>
      </c>
      <c r="H2277" s="31" t="s">
        <v>1195</v>
      </c>
      <c r="I2277" s="239" t="str">
        <f>IF(ISBLANK(global!I754),"",global!I754)</f>
        <v/>
      </c>
      <c r="K2277" s="262" t="s">
        <v>4241</v>
      </c>
      <c r="O2277" s="262" t="s">
        <v>4241</v>
      </c>
    </row>
    <row r="2278" spans="1:15" ht="12.75" customHeight="1" x14ac:dyDescent="0.3">
      <c r="A2278" s="38"/>
      <c r="B2278" s="17"/>
      <c r="C2278" s="38"/>
      <c r="D2278" s="38" t="s">
        <v>2693</v>
      </c>
      <c r="E2278" s="146"/>
      <c r="F2278" s="146"/>
      <c r="G2278" s="146" t="s">
        <v>3374</v>
      </c>
      <c r="H2278" s="31" t="s">
        <v>1195</v>
      </c>
      <c r="I2278" s="239" t="str">
        <f>IF(ISBLANK(global!I755),"",global!I755)</f>
        <v/>
      </c>
      <c r="K2278" s="262" t="s">
        <v>4241</v>
      </c>
      <c r="O2278" s="262" t="s">
        <v>4241</v>
      </c>
    </row>
    <row r="2279" spans="1:15" ht="12.75" customHeight="1" x14ac:dyDescent="0.3">
      <c r="A2279" s="17"/>
      <c r="B2279" s="38"/>
      <c r="C2279" s="38"/>
      <c r="D2279" s="38"/>
      <c r="E2279" s="38" t="s">
        <v>2695</v>
      </c>
      <c r="F2279" s="38"/>
      <c r="G2279" s="146" t="s">
        <v>3375</v>
      </c>
      <c r="H2279" s="38" t="s">
        <v>1277</v>
      </c>
      <c r="I2279" s="239" t="str">
        <f>IF(ISBLANK(global!I756),"",global!I756)</f>
        <v/>
      </c>
      <c r="K2279" s="262" t="s">
        <v>4241</v>
      </c>
      <c r="O2279" s="262" t="s">
        <v>4241</v>
      </c>
    </row>
    <row r="2280" spans="1:15" ht="12.75" customHeight="1" x14ac:dyDescent="0.3">
      <c r="A2280" s="17"/>
      <c r="B2280" s="17" t="s">
        <v>2698</v>
      </c>
      <c r="C2280" s="146"/>
      <c r="D2280" s="146"/>
      <c r="E2280" s="17"/>
      <c r="F2280" s="17"/>
      <c r="G2280" s="540" t="s">
        <v>3376</v>
      </c>
      <c r="H2280" s="38" t="s">
        <v>1210</v>
      </c>
      <c r="I2280" s="239" t="str">
        <f>IF(ISBLANK(global!I757),"",global!I757)</f>
        <v/>
      </c>
      <c r="K2280" s="262" t="s">
        <v>4241</v>
      </c>
      <c r="O2280" s="262" t="s">
        <v>4241</v>
      </c>
    </row>
    <row r="2281" spans="1:15" ht="12.75" customHeight="1" x14ac:dyDescent="0.3">
      <c r="A2281" s="17"/>
      <c r="B2281" s="17" t="s">
        <v>2700</v>
      </c>
      <c r="C2281" s="146"/>
      <c r="D2281" s="146"/>
      <c r="E2281" s="17"/>
      <c r="F2281" s="17"/>
      <c r="G2281" s="540" t="s">
        <v>3377</v>
      </c>
      <c r="H2281" s="38" t="s">
        <v>1210</v>
      </c>
      <c r="I2281" s="239" t="str">
        <f>IF(ISBLANK(global!I758),"",global!I758)</f>
        <v/>
      </c>
      <c r="K2281" s="262" t="s">
        <v>4241</v>
      </c>
      <c r="O2281" s="262" t="s">
        <v>4241</v>
      </c>
    </row>
    <row r="2282" spans="1:15" ht="12.75" customHeight="1" x14ac:dyDescent="0.3">
      <c r="A2282" s="17"/>
      <c r="B2282" s="38"/>
      <c r="C2282" s="17" t="s">
        <v>1289</v>
      </c>
      <c r="D2282" s="17"/>
      <c r="E2282" s="17"/>
      <c r="F2282" s="17"/>
      <c r="G2282" s="17" t="s">
        <v>3378</v>
      </c>
      <c r="H2282" s="31" t="s">
        <v>1195</v>
      </c>
      <c r="I2282" s="239" t="str">
        <f>IF(ISBLANK(global!I759),"",global!I759)</f>
        <v/>
      </c>
      <c r="K2282" s="262" t="s">
        <v>4241</v>
      </c>
      <c r="O2282" s="262" t="s">
        <v>4241</v>
      </c>
    </row>
    <row r="2283" spans="1:15" ht="12.75" customHeight="1" x14ac:dyDescent="0.3">
      <c r="A2283" s="17"/>
      <c r="B2283" s="38"/>
      <c r="C2283" s="17" t="s">
        <v>1291</v>
      </c>
      <c r="D2283" s="17"/>
      <c r="E2283" s="17"/>
      <c r="F2283" s="17"/>
      <c r="G2283" s="17" t="s">
        <v>3379</v>
      </c>
      <c r="H2283" s="31" t="s">
        <v>1195</v>
      </c>
      <c r="I2283" s="239" t="str">
        <f>IF(ISBLANK(global!I760),"",global!I760)</f>
        <v/>
      </c>
      <c r="K2283" s="262" t="s">
        <v>4241</v>
      </c>
      <c r="O2283" s="262" t="s">
        <v>4241</v>
      </c>
    </row>
    <row r="2284" spans="1:15" ht="12.75" customHeight="1" x14ac:dyDescent="0.3">
      <c r="A2284" s="17"/>
      <c r="B2284" s="17"/>
      <c r="C2284" s="17"/>
      <c r="D2284" s="17"/>
      <c r="E2284" s="17"/>
      <c r="F2284" s="17"/>
      <c r="G2284" s="17"/>
      <c r="H2284" s="17"/>
      <c r="I2284" s="239" t="str">
        <f>IF(ISBLANK(global!I761),"",global!I761)</f>
        <v/>
      </c>
      <c r="K2284" s="262" t="s">
        <v>4241</v>
      </c>
      <c r="O2284" s="262" t="s">
        <v>4241</v>
      </c>
    </row>
    <row r="2285" spans="1:15" ht="12.75" customHeight="1" x14ac:dyDescent="0.3">
      <c r="A2285" s="38" t="s">
        <v>2704</v>
      </c>
      <c r="B2285" s="17"/>
      <c r="C2285" s="17"/>
      <c r="D2285" s="17"/>
      <c r="E2285" s="17"/>
      <c r="F2285" s="17"/>
      <c r="G2285" s="38" t="s">
        <v>3380</v>
      </c>
      <c r="H2285" s="38" t="s">
        <v>617</v>
      </c>
      <c r="I2285" s="239" t="str">
        <f>IF(ISBLANK(global!I762),"",global!I762)</f>
        <v/>
      </c>
      <c r="K2285" s="262" t="s">
        <v>4241</v>
      </c>
      <c r="O2285" s="262" t="s">
        <v>4241</v>
      </c>
    </row>
    <row r="2286" spans="1:15" ht="12.75" customHeight="1" x14ac:dyDescent="0.3">
      <c r="A2286" s="17"/>
      <c r="B2286" s="17"/>
      <c r="C2286" s="146" t="s">
        <v>2706</v>
      </c>
      <c r="D2286" s="17"/>
      <c r="E2286" s="17"/>
      <c r="F2286" s="17"/>
      <c r="G2286" s="146" t="s">
        <v>3381</v>
      </c>
      <c r="H2286" s="31" t="s">
        <v>1195</v>
      </c>
      <c r="I2286" s="239" t="str">
        <f>IF(ISBLANK(global!I763),"",global!I763)</f>
        <v/>
      </c>
      <c r="K2286" s="262" t="s">
        <v>4241</v>
      </c>
      <c r="O2286" s="262" t="s">
        <v>4241</v>
      </c>
    </row>
    <row r="2287" spans="1:15" ht="12.75" customHeight="1" x14ac:dyDescent="0.3">
      <c r="A2287" s="17"/>
      <c r="B2287" s="17"/>
      <c r="C2287" s="38" t="s">
        <v>2708</v>
      </c>
      <c r="D2287" s="17"/>
      <c r="E2287" s="17"/>
      <c r="F2287" s="17"/>
      <c r="G2287" s="146" t="s">
        <v>3382</v>
      </c>
      <c r="H2287" s="38" t="s">
        <v>291</v>
      </c>
      <c r="I2287" s="239" t="str">
        <f>IF(ISBLANK(global!I764),"",global!I764)</f>
        <v/>
      </c>
      <c r="K2287" s="262" t="s">
        <v>4241</v>
      </c>
      <c r="O2287" s="262" t="s">
        <v>4241</v>
      </c>
    </row>
    <row r="2288" spans="1:15" ht="12.75" customHeight="1" x14ac:dyDescent="0.3">
      <c r="A2288" s="38"/>
      <c r="B2288" s="38"/>
      <c r="C2288" s="17" t="s">
        <v>1229</v>
      </c>
      <c r="D2288" s="17"/>
      <c r="E2288" s="146"/>
      <c r="F2288" s="146"/>
      <c r="G2288" s="38" t="s">
        <v>3383</v>
      </c>
      <c r="H2288" s="17" t="s">
        <v>291</v>
      </c>
      <c r="I2288" s="239" t="str">
        <f>IF(ISBLANK(global!I765),"",global!I765)</f>
        <v/>
      </c>
      <c r="K2288" s="262" t="s">
        <v>4241</v>
      </c>
      <c r="O2288" s="262" t="s">
        <v>4241</v>
      </c>
    </row>
    <row r="2289" spans="1:15" ht="12.75" customHeight="1" x14ac:dyDescent="0.3">
      <c r="A2289" s="17"/>
      <c r="B2289" s="17"/>
      <c r="C2289" s="17"/>
      <c r="D2289" s="17"/>
      <c r="E2289" s="17"/>
      <c r="F2289" s="17"/>
      <c r="G2289" s="17"/>
      <c r="H2289" s="38"/>
      <c r="I2289" s="239" t="str">
        <f>IF(ISBLANK(global!I766),"",global!I766)</f>
        <v/>
      </c>
      <c r="K2289" s="262" t="s">
        <v>4241</v>
      </c>
      <c r="O2289" s="262" t="s">
        <v>4241</v>
      </c>
    </row>
    <row r="2290" spans="1:15" ht="12.75" customHeight="1" x14ac:dyDescent="0.3">
      <c r="A2290" s="148" t="s">
        <v>1314</v>
      </c>
      <c r="B2290" s="147"/>
      <c r="C2290" s="147"/>
      <c r="D2290" s="147"/>
      <c r="E2290" s="147"/>
      <c r="F2290" s="147"/>
      <c r="G2290" s="148" t="s">
        <v>258</v>
      </c>
      <c r="H2290" s="148" t="s">
        <v>274</v>
      </c>
      <c r="I2290" s="239" t="str">
        <f>IF(ISBLANK(global!I767),"",global!I767)</f>
        <v>User input</v>
      </c>
      <c r="K2290" s="262" t="s">
        <v>259</v>
      </c>
      <c r="O2290" s="262" t="s">
        <v>259</v>
      </c>
    </row>
    <row r="2291" spans="1:15" ht="12.75" customHeight="1" x14ac:dyDescent="0.3">
      <c r="A2291" s="38"/>
      <c r="B2291" s="17"/>
      <c r="C2291" s="17"/>
      <c r="D2291" s="17"/>
      <c r="E2291" s="17"/>
      <c r="F2291" s="17"/>
      <c r="G2291" s="17"/>
      <c r="H2291" s="38"/>
      <c r="I2291" s="239" t="str">
        <f>IF(ISBLANK(global!I768),"",global!I768)</f>
        <v/>
      </c>
      <c r="K2291" s="262" t="s">
        <v>4241</v>
      </c>
      <c r="O2291" s="262" t="s">
        <v>4241</v>
      </c>
    </row>
    <row r="2292" spans="1:15" ht="12.75" customHeight="1" x14ac:dyDescent="0.3">
      <c r="A2292" s="38" t="s">
        <v>1315</v>
      </c>
      <c r="B2292" s="17"/>
      <c r="C2292" s="17"/>
      <c r="D2292" s="17"/>
      <c r="E2292" s="17"/>
      <c r="F2292" s="17"/>
      <c r="G2292" s="38" t="s">
        <v>3384</v>
      </c>
      <c r="H2292" s="38" t="s">
        <v>617</v>
      </c>
      <c r="I2292" s="239" t="str">
        <f>IF(ISBLANK(global!I769),"",global!I769)</f>
        <v/>
      </c>
      <c r="K2292" s="262" t="s">
        <v>4241</v>
      </c>
      <c r="O2292" s="262" t="s">
        <v>4241</v>
      </c>
    </row>
    <row r="2293" spans="1:15" ht="12.75" customHeight="1" x14ac:dyDescent="0.3">
      <c r="A2293" s="38" t="s">
        <v>2712</v>
      </c>
      <c r="B2293" s="17"/>
      <c r="C2293" s="17"/>
      <c r="D2293" s="17"/>
      <c r="E2293" s="17"/>
      <c r="F2293" s="17"/>
      <c r="G2293" s="38" t="s">
        <v>3385</v>
      </c>
      <c r="H2293" s="38" t="s">
        <v>617</v>
      </c>
      <c r="I2293" s="239" t="str">
        <f>IF(ISBLANK(global!I770),"",global!I770)</f>
        <v/>
      </c>
      <c r="K2293" s="262" t="s">
        <v>4241</v>
      </c>
      <c r="O2293" s="262" t="s">
        <v>4241</v>
      </c>
    </row>
    <row r="2294" spans="1:15" ht="12.75" customHeight="1" x14ac:dyDescent="0.3">
      <c r="A2294" s="38" t="s">
        <v>2714</v>
      </c>
      <c r="B2294" s="17"/>
      <c r="C2294" s="17"/>
      <c r="D2294" s="17"/>
      <c r="E2294" s="17"/>
      <c r="F2294" s="17"/>
      <c r="G2294" s="38" t="s">
        <v>3386</v>
      </c>
      <c r="H2294" s="38" t="s">
        <v>617</v>
      </c>
      <c r="I2294" s="239" t="str">
        <f>IF(ISBLANK(global!I771),"",global!I771)</f>
        <v/>
      </c>
      <c r="K2294" s="262" t="s">
        <v>4241</v>
      </c>
      <c r="O2294" s="262" t="s">
        <v>4241</v>
      </c>
    </row>
    <row r="2295" spans="1:15" ht="12.75" customHeight="1" x14ac:dyDescent="0.3">
      <c r="A2295" s="38" t="s">
        <v>2716</v>
      </c>
      <c r="B2295" s="17"/>
      <c r="C2295" s="17"/>
      <c r="D2295" s="17"/>
      <c r="E2295" s="17"/>
      <c r="F2295" s="17"/>
      <c r="G2295" s="38" t="s">
        <v>3387</v>
      </c>
      <c r="H2295" s="38" t="s">
        <v>617</v>
      </c>
      <c r="I2295" s="239" t="str">
        <f>IF(ISBLANK(global!I772),"",global!I772)</f>
        <v/>
      </c>
      <c r="K2295" s="262" t="s">
        <v>4241</v>
      </c>
      <c r="O2295" s="262" t="s">
        <v>4241</v>
      </c>
    </row>
    <row r="2296" spans="1:15" ht="12.75" customHeight="1" x14ac:dyDescent="0.3">
      <c r="A2296" s="38" t="s">
        <v>2718</v>
      </c>
      <c r="B2296" s="17"/>
      <c r="C2296" s="17"/>
      <c r="D2296" s="17"/>
      <c r="E2296" s="17"/>
      <c r="F2296" s="17"/>
      <c r="G2296" s="38" t="s">
        <v>3388</v>
      </c>
      <c r="H2296" s="38" t="s">
        <v>617</v>
      </c>
      <c r="I2296" s="239" t="str">
        <f>IF(ISBLANK(global!I773),"",global!I773)</f>
        <v/>
      </c>
      <c r="K2296" s="262" t="s">
        <v>4241</v>
      </c>
      <c r="O2296" s="262" t="s">
        <v>4241</v>
      </c>
    </row>
    <row r="2297" spans="1:15" ht="12.75" customHeight="1" x14ac:dyDescent="0.3">
      <c r="A2297" s="38"/>
      <c r="B2297" s="38" t="s">
        <v>1335</v>
      </c>
      <c r="C2297" s="146"/>
      <c r="D2297" s="17"/>
      <c r="E2297" s="17"/>
      <c r="F2297" s="17"/>
      <c r="G2297" s="146" t="s">
        <v>3389</v>
      </c>
      <c r="H2297" s="38" t="s">
        <v>617</v>
      </c>
      <c r="I2297" s="239" t="str">
        <f>IF(ISBLANK(global!I774),"",global!I774)</f>
        <v/>
      </c>
      <c r="K2297" s="262" t="s">
        <v>4241</v>
      </c>
      <c r="O2297" s="262" t="s">
        <v>4241</v>
      </c>
    </row>
    <row r="2298" spans="1:15" ht="12.75" customHeight="1" x14ac:dyDescent="0.3">
      <c r="A2298" s="38"/>
      <c r="B2298" s="38" t="s">
        <v>1337</v>
      </c>
      <c r="C2298" s="17"/>
      <c r="D2298" s="17"/>
      <c r="E2298" s="17"/>
      <c r="F2298" s="17"/>
      <c r="G2298" s="38" t="s">
        <v>3390</v>
      </c>
      <c r="H2298" s="38" t="s">
        <v>617</v>
      </c>
      <c r="I2298" s="239" t="str">
        <f>IF(ISBLANK(global!I775),"",global!I775)</f>
        <v/>
      </c>
      <c r="K2298" s="262" t="s">
        <v>4241</v>
      </c>
      <c r="O2298" s="262" t="s">
        <v>4241</v>
      </c>
    </row>
    <row r="2299" spans="1:15" ht="12.75" customHeight="1" x14ac:dyDescent="0.3">
      <c r="A2299" s="146"/>
      <c r="B2299" s="146"/>
      <c r="C2299" s="38" t="s">
        <v>3391</v>
      </c>
      <c r="D2299" s="17"/>
      <c r="E2299" s="17"/>
      <c r="F2299" s="17"/>
      <c r="G2299" s="38" t="s">
        <v>3392</v>
      </c>
      <c r="H2299" s="38" t="s">
        <v>620</v>
      </c>
      <c r="I2299" s="239" t="str">
        <f>IF(ISBLANK(global!I776),"",global!I776)</f>
        <v/>
      </c>
      <c r="K2299" s="262" t="s">
        <v>4241</v>
      </c>
      <c r="O2299" s="262" t="s">
        <v>4241</v>
      </c>
    </row>
    <row r="2300" spans="1:15" ht="12.75" customHeight="1" x14ac:dyDescent="0.3">
      <c r="A2300" s="146"/>
      <c r="B2300" s="146"/>
      <c r="C2300" s="38" t="s">
        <v>2183</v>
      </c>
      <c r="D2300" s="17"/>
      <c r="E2300" s="17"/>
      <c r="F2300" s="17"/>
      <c r="G2300" s="38" t="s">
        <v>3393</v>
      </c>
      <c r="H2300" s="38" t="s">
        <v>291</v>
      </c>
      <c r="I2300" s="239" t="str">
        <f>IF(ISBLANK(global!I777),"",global!I777)</f>
        <v/>
      </c>
      <c r="K2300" s="262" t="s">
        <v>4241</v>
      </c>
      <c r="O2300" s="262" t="s">
        <v>4241</v>
      </c>
    </row>
    <row r="2301" spans="1:15" ht="12.75" customHeight="1" x14ac:dyDescent="0.3">
      <c r="A2301" s="38"/>
      <c r="B2301" s="38" t="s">
        <v>2725</v>
      </c>
      <c r="C2301" s="17"/>
      <c r="D2301" s="17"/>
      <c r="E2301" s="17"/>
      <c r="F2301" s="17"/>
      <c r="G2301" s="38" t="s">
        <v>3394</v>
      </c>
      <c r="H2301" s="38" t="s">
        <v>617</v>
      </c>
      <c r="I2301" s="239" t="str">
        <f>IF(ISBLANK(global!I778),"",global!I778)</f>
        <v/>
      </c>
      <c r="K2301" s="262" t="s">
        <v>4241</v>
      </c>
      <c r="O2301" s="262" t="s">
        <v>4241</v>
      </c>
    </row>
    <row r="2302" spans="1:15" ht="12.75" customHeight="1" x14ac:dyDescent="0.3">
      <c r="A2302" s="38"/>
      <c r="B2302" s="38" t="s">
        <v>2727</v>
      </c>
      <c r="C2302" s="17"/>
      <c r="D2302" s="17"/>
      <c r="E2302" s="17"/>
      <c r="F2302" s="17"/>
      <c r="G2302" s="38" t="s">
        <v>3395</v>
      </c>
      <c r="H2302" s="38" t="s">
        <v>617</v>
      </c>
      <c r="I2302" s="239" t="str">
        <f>IF(ISBLANK(global!I779),"",global!I779)</f>
        <v/>
      </c>
      <c r="K2302" s="262" t="s">
        <v>4241</v>
      </c>
      <c r="O2302" s="262" t="s">
        <v>4241</v>
      </c>
    </row>
    <row r="2303" spans="1:15" ht="12.75" customHeight="1" x14ac:dyDescent="0.3">
      <c r="A2303" s="38"/>
      <c r="B2303" s="38"/>
      <c r="C2303" s="38" t="s">
        <v>2729</v>
      </c>
      <c r="D2303" s="17"/>
      <c r="E2303" s="17"/>
      <c r="F2303" s="17"/>
      <c r="G2303" s="146" t="s">
        <v>3396</v>
      </c>
      <c r="H2303" s="38" t="s">
        <v>1352</v>
      </c>
      <c r="I2303" s="239" t="str">
        <f>IF(ISBLANK(global!I780),"",global!I780)</f>
        <v/>
      </c>
      <c r="K2303" s="262" t="s">
        <v>4241</v>
      </c>
      <c r="O2303" s="262" t="s">
        <v>4241</v>
      </c>
    </row>
    <row r="2304" spans="1:15" ht="12.75" customHeight="1" x14ac:dyDescent="0.3">
      <c r="A2304" s="38"/>
      <c r="B2304" s="38"/>
      <c r="C2304" s="38" t="s">
        <v>3086</v>
      </c>
      <c r="D2304" s="17"/>
      <c r="E2304" s="17"/>
      <c r="F2304" s="17"/>
      <c r="G2304" s="146" t="s">
        <v>3397</v>
      </c>
      <c r="H2304" s="38" t="s">
        <v>1352</v>
      </c>
      <c r="I2304" s="239" t="str">
        <f>IF(ISBLANK(global!I781),"",global!I781)</f>
        <v/>
      </c>
      <c r="K2304" s="262" t="s">
        <v>4241</v>
      </c>
      <c r="O2304" s="262" t="s">
        <v>4241</v>
      </c>
    </row>
    <row r="2305" spans="1:15" ht="12.75" customHeight="1" x14ac:dyDescent="0.3">
      <c r="A2305" s="146"/>
      <c r="B2305" s="146"/>
      <c r="C2305" s="38" t="s">
        <v>1358</v>
      </c>
      <c r="D2305" s="17"/>
      <c r="E2305" s="17"/>
      <c r="F2305" s="17"/>
      <c r="G2305" s="38" t="s">
        <v>3398</v>
      </c>
      <c r="H2305" s="38" t="s">
        <v>291</v>
      </c>
      <c r="I2305" s="239" t="str">
        <f>IF(ISBLANK(global!I782),"",global!I782)</f>
        <v/>
      </c>
      <c r="K2305" s="262" t="s">
        <v>4241</v>
      </c>
      <c r="O2305" s="262" t="s">
        <v>4241</v>
      </c>
    </row>
    <row r="2306" spans="1:15" ht="12.75" customHeight="1" x14ac:dyDescent="0.3">
      <c r="A2306" s="38"/>
      <c r="B2306" s="38" t="s">
        <v>2734</v>
      </c>
      <c r="C2306" s="17"/>
      <c r="D2306" s="17"/>
      <c r="E2306" s="17"/>
      <c r="F2306" s="17"/>
      <c r="G2306" s="38" t="s">
        <v>3399</v>
      </c>
      <c r="H2306" s="38" t="s">
        <v>617</v>
      </c>
      <c r="I2306" s="239" t="str">
        <f>IF(ISBLANK(global!I783),"",global!I783)</f>
        <v/>
      </c>
      <c r="K2306" s="262" t="s">
        <v>4241</v>
      </c>
      <c r="O2306" s="262" t="s">
        <v>4241</v>
      </c>
    </row>
    <row r="2307" spans="1:15" ht="12.75" customHeight="1" x14ac:dyDescent="0.3">
      <c r="A2307" s="38"/>
      <c r="B2307" s="38" t="s">
        <v>2736</v>
      </c>
      <c r="C2307" s="17"/>
      <c r="D2307" s="17"/>
      <c r="E2307" s="17"/>
      <c r="F2307" s="17"/>
      <c r="G2307" s="38" t="s">
        <v>3400</v>
      </c>
      <c r="H2307" s="38" t="s">
        <v>617</v>
      </c>
      <c r="I2307" s="239" t="str">
        <f>IF(ISBLANK(global!I784),"",global!I784)</f>
        <v/>
      </c>
      <c r="K2307" s="262" t="s">
        <v>4241</v>
      </c>
      <c r="O2307" s="262" t="s">
        <v>4241</v>
      </c>
    </row>
    <row r="2308" spans="1:15" ht="12.75" customHeight="1" x14ac:dyDescent="0.3">
      <c r="A2308" s="17"/>
      <c r="B2308" s="17"/>
      <c r="C2308" s="38" t="s">
        <v>2738</v>
      </c>
      <c r="D2308" s="17"/>
      <c r="E2308" s="17"/>
      <c r="F2308" s="17"/>
      <c r="G2308" s="146" t="s">
        <v>3401</v>
      </c>
      <c r="H2308" s="38" t="s">
        <v>291</v>
      </c>
      <c r="I2308" s="239" t="str">
        <f>IF(ISBLANK(global!I785),"",global!I785)</f>
        <v/>
      </c>
      <c r="K2308" s="262" t="s">
        <v>4241</v>
      </c>
      <c r="O2308" s="262" t="s">
        <v>4241</v>
      </c>
    </row>
    <row r="2309" spans="1:15" ht="12.75" customHeight="1" x14ac:dyDescent="0.3">
      <c r="A2309" s="38"/>
      <c r="B2309" s="38"/>
      <c r="C2309" s="17" t="s">
        <v>1229</v>
      </c>
      <c r="D2309" s="17"/>
      <c r="E2309" s="146"/>
      <c r="F2309" s="146"/>
      <c r="G2309" s="38" t="s">
        <v>3402</v>
      </c>
      <c r="H2309" s="17" t="s">
        <v>291</v>
      </c>
      <c r="I2309" s="239" t="str">
        <f>IF(ISBLANK(global!I786),"",global!I786)</f>
        <v/>
      </c>
      <c r="K2309" s="262" t="s">
        <v>4241</v>
      </c>
      <c r="O2309" s="262" t="s">
        <v>4241</v>
      </c>
    </row>
    <row r="2310" spans="1:15" ht="12.75" customHeight="1" x14ac:dyDescent="0.3">
      <c r="A2310" s="168"/>
      <c r="B2310" s="168"/>
      <c r="C2310" s="168"/>
      <c r="D2310" s="168"/>
      <c r="E2310" s="168"/>
      <c r="F2310" s="168"/>
      <c r="G2310" s="168"/>
      <c r="H2310" s="357"/>
      <c r="I2310" s="239" t="str">
        <f>IF(ISBLANK(global!I787),"",global!I787)</f>
        <v/>
      </c>
      <c r="K2310" s="262" t="s">
        <v>4241</v>
      </c>
      <c r="O2310" s="262" t="s">
        <v>4241</v>
      </c>
    </row>
    <row r="2311" spans="1:15" ht="12.75" customHeight="1" x14ac:dyDescent="0.3">
      <c r="A2311" s="630" t="s">
        <v>1382</v>
      </c>
      <c r="B2311" s="413"/>
      <c r="C2311" s="413"/>
      <c r="D2311" s="413"/>
      <c r="E2311" s="413"/>
      <c r="F2311" s="413"/>
      <c r="G2311" s="630" t="s">
        <v>258</v>
      </c>
      <c r="H2311" s="630" t="s">
        <v>274</v>
      </c>
      <c r="I2311" s="239" t="str">
        <f>IF(ISBLANK(global!I788),"",global!I788)</f>
        <v>User input</v>
      </c>
      <c r="K2311" s="262" t="s">
        <v>259</v>
      </c>
      <c r="O2311" s="262" t="s">
        <v>259</v>
      </c>
    </row>
    <row r="2312" spans="1:15" ht="12.75" customHeight="1" x14ac:dyDescent="0.3">
      <c r="A2312" s="410" t="s">
        <v>3403</v>
      </c>
      <c r="B2312" s="410"/>
      <c r="C2312" s="410"/>
      <c r="D2312" s="410"/>
      <c r="E2312" s="410"/>
      <c r="F2312" s="410"/>
      <c r="G2312" s="654"/>
      <c r="H2312" s="654"/>
      <c r="I2312" s="239" t="str">
        <f>IF(ISBLANK(global!I789),"",global!I789)</f>
        <v/>
      </c>
      <c r="K2312" s="262" t="s">
        <v>4241</v>
      </c>
      <c r="O2312" s="262" t="s">
        <v>4241</v>
      </c>
    </row>
    <row r="2313" spans="1:15" ht="12.75" customHeight="1" x14ac:dyDescent="0.3">
      <c r="A2313" s="566" t="s">
        <v>1386</v>
      </c>
      <c r="B2313" s="566"/>
      <c r="C2313" s="566"/>
      <c r="D2313" s="566"/>
      <c r="E2313" s="566"/>
      <c r="F2313" s="566"/>
      <c r="G2313" s="566" t="s">
        <v>3404</v>
      </c>
      <c r="H2313" s="567" t="s">
        <v>335</v>
      </c>
      <c r="I2313" s="239" t="str">
        <f>IF(ISBLANK(global!I790),"",global!I790)</f>
        <v/>
      </c>
      <c r="K2313" s="262" t="s">
        <v>4241</v>
      </c>
      <c r="O2313" s="262" t="s">
        <v>4241</v>
      </c>
    </row>
    <row r="2314" spans="1:15" ht="12.75" customHeight="1" x14ac:dyDescent="0.3">
      <c r="A2314" s="566"/>
      <c r="B2314" s="566" t="s">
        <v>1389</v>
      </c>
      <c r="C2314" s="566"/>
      <c r="D2314" s="566"/>
      <c r="E2314" s="566"/>
      <c r="F2314" s="566"/>
      <c r="G2314" s="566" t="s">
        <v>3405</v>
      </c>
      <c r="H2314" s="566" t="s">
        <v>335</v>
      </c>
      <c r="I2314" s="239" t="str">
        <f>IF(ISBLANK(global!I791),"",global!I791)</f>
        <v/>
      </c>
      <c r="K2314" s="262" t="s">
        <v>4241</v>
      </c>
      <c r="O2314" s="262" t="s">
        <v>4241</v>
      </c>
    </row>
    <row r="2315" spans="1:15" ht="12.75" customHeight="1" x14ac:dyDescent="0.3">
      <c r="A2315" s="566"/>
      <c r="B2315" s="566"/>
      <c r="C2315" s="566" t="s">
        <v>706</v>
      </c>
      <c r="D2315" s="566"/>
      <c r="E2315" s="566"/>
      <c r="F2315" s="566"/>
      <c r="G2315" s="566" t="s">
        <v>3406</v>
      </c>
      <c r="H2315" s="567" t="s">
        <v>708</v>
      </c>
      <c r="I2315" s="239" t="str">
        <f>IF(ISBLANK(global!I792),"",global!I792)</f>
        <v/>
      </c>
      <c r="K2315" s="262" t="s">
        <v>4241</v>
      </c>
      <c r="O2315" s="262" t="s">
        <v>4241</v>
      </c>
    </row>
    <row r="2316" spans="1:15" ht="12.75" customHeight="1" x14ac:dyDescent="0.3">
      <c r="A2316" s="566"/>
      <c r="B2316" s="566"/>
      <c r="C2316" s="566" t="s">
        <v>1396</v>
      </c>
      <c r="D2316" s="566"/>
      <c r="E2316" s="566"/>
      <c r="F2316" s="566"/>
      <c r="G2316" s="567" t="s">
        <v>3407</v>
      </c>
      <c r="H2316" s="567" t="s">
        <v>866</v>
      </c>
      <c r="I2316" s="239" t="str">
        <f>IF(ISBLANK(global!I793),"",global!I793)</f>
        <v/>
      </c>
      <c r="K2316" s="262" t="s">
        <v>4241</v>
      </c>
      <c r="O2316" s="262" t="s">
        <v>4241</v>
      </c>
    </row>
    <row r="2317" spans="1:15" ht="12.75" customHeight="1" x14ac:dyDescent="0.3">
      <c r="A2317" s="566"/>
      <c r="B2317" s="566"/>
      <c r="C2317" s="566" t="s">
        <v>1394</v>
      </c>
      <c r="D2317" s="566"/>
      <c r="E2317" s="566"/>
      <c r="F2317" s="566"/>
      <c r="G2317" s="566" t="s">
        <v>3408</v>
      </c>
      <c r="H2317" s="566" t="s">
        <v>900</v>
      </c>
      <c r="I2317" s="239" t="str">
        <f>IF(ISBLANK(global!I794),"",global!I794)</f>
        <v/>
      </c>
      <c r="K2317" s="262" t="s">
        <v>4241</v>
      </c>
      <c r="O2317" s="262" t="s">
        <v>4241</v>
      </c>
    </row>
    <row r="2318" spans="1:15" ht="12.75" customHeight="1" x14ac:dyDescent="0.3">
      <c r="A2318" s="566"/>
      <c r="B2318" s="566"/>
      <c r="C2318" s="566" t="s">
        <v>1391</v>
      </c>
      <c r="D2318" s="566"/>
      <c r="E2318" s="566"/>
      <c r="F2318" s="566"/>
      <c r="G2318" s="567" t="s">
        <v>3409</v>
      </c>
      <c r="H2318" s="567" t="s">
        <v>291</v>
      </c>
      <c r="I2318" s="239" t="str">
        <f>IF(ISBLANK(global!I795),"",global!I795)</f>
        <v/>
      </c>
      <c r="K2318" s="262" t="s">
        <v>4241</v>
      </c>
      <c r="O2318" s="262" t="s">
        <v>4241</v>
      </c>
    </row>
    <row r="2319" spans="1:15" ht="12.75" customHeight="1" x14ac:dyDescent="0.3">
      <c r="A2319" s="566" t="s">
        <v>1398</v>
      </c>
      <c r="B2319" s="566"/>
      <c r="C2319" s="566"/>
      <c r="D2319" s="566"/>
      <c r="E2319" s="566"/>
      <c r="F2319" s="566"/>
      <c r="G2319" s="566" t="s">
        <v>3410</v>
      </c>
      <c r="H2319" s="566" t="s">
        <v>335</v>
      </c>
      <c r="I2319" s="239" t="str">
        <f>IF(ISBLANK(global!I796),"",global!I796)</f>
        <v/>
      </c>
      <c r="K2319" s="262" t="s">
        <v>4241</v>
      </c>
      <c r="O2319" s="262" t="s">
        <v>4241</v>
      </c>
    </row>
    <row r="2320" spans="1:15" ht="12.75" customHeight="1" x14ac:dyDescent="0.3">
      <c r="A2320" s="566"/>
      <c r="B2320" s="566"/>
      <c r="C2320" s="566" t="s">
        <v>710</v>
      </c>
      <c r="D2320" s="566"/>
      <c r="E2320" s="566"/>
      <c r="F2320" s="566"/>
      <c r="G2320" s="566" t="s">
        <v>3411</v>
      </c>
      <c r="H2320" s="567" t="s">
        <v>708</v>
      </c>
      <c r="I2320" s="239" t="str">
        <f>IF(ISBLANK(global!I797),"",global!I797)</f>
        <v/>
      </c>
      <c r="K2320" s="262" t="s">
        <v>4241</v>
      </c>
      <c r="O2320" s="262" t="s">
        <v>4241</v>
      </c>
    </row>
    <row r="2321" spans="1:15" ht="12.75" customHeight="1" x14ac:dyDescent="0.3">
      <c r="A2321" s="566"/>
      <c r="B2321" s="566"/>
      <c r="C2321" s="566" t="s">
        <v>1400</v>
      </c>
      <c r="D2321" s="566"/>
      <c r="E2321" s="566"/>
      <c r="F2321" s="566"/>
      <c r="G2321" s="567" t="s">
        <v>3412</v>
      </c>
      <c r="H2321" s="567" t="s">
        <v>866</v>
      </c>
      <c r="I2321" s="239" t="str">
        <f>IF(ISBLANK(global!I798),"",global!I798)</f>
        <v/>
      </c>
      <c r="K2321" s="262" t="s">
        <v>4241</v>
      </c>
      <c r="O2321" s="262" t="s">
        <v>4241</v>
      </c>
    </row>
    <row r="2322" spans="1:15" ht="12.75" customHeight="1" x14ac:dyDescent="0.3">
      <c r="A2322" s="566"/>
      <c r="B2322" s="566"/>
      <c r="C2322" s="566" t="s">
        <v>1402</v>
      </c>
      <c r="D2322" s="566"/>
      <c r="E2322" s="566"/>
      <c r="F2322" s="566"/>
      <c r="G2322" s="566" t="s">
        <v>3413</v>
      </c>
      <c r="H2322" s="566" t="s">
        <v>900</v>
      </c>
      <c r="I2322" s="239" t="str">
        <f>IF(ISBLANK(global!I799),"",global!I799)</f>
        <v/>
      </c>
      <c r="K2322" s="262" t="s">
        <v>4241</v>
      </c>
      <c r="O2322" s="262" t="s">
        <v>4241</v>
      </c>
    </row>
    <row r="2323" spans="1:15" ht="12.75" customHeight="1" x14ac:dyDescent="0.3">
      <c r="A2323" s="566"/>
      <c r="B2323" s="566"/>
      <c r="C2323" s="566" t="s">
        <v>1404</v>
      </c>
      <c r="D2323" s="566"/>
      <c r="E2323" s="566"/>
      <c r="F2323" s="566"/>
      <c r="G2323" s="567" t="s">
        <v>3414</v>
      </c>
      <c r="H2323" s="567" t="s">
        <v>291</v>
      </c>
      <c r="I2323" s="239" t="str">
        <f>IF(ISBLANK(global!I800),"",global!I800)</f>
        <v/>
      </c>
      <c r="K2323" s="262" t="s">
        <v>4241</v>
      </c>
      <c r="O2323" s="262" t="s">
        <v>4241</v>
      </c>
    </row>
    <row r="2324" spans="1:15" ht="12.75" customHeight="1" x14ac:dyDescent="0.3">
      <c r="A2324" s="566" t="s">
        <v>1406</v>
      </c>
      <c r="B2324" s="566"/>
      <c r="C2324" s="566"/>
      <c r="D2324" s="566"/>
      <c r="E2324" s="566"/>
      <c r="F2324" s="566"/>
      <c r="G2324" s="567" t="s">
        <v>3415</v>
      </c>
      <c r="H2324" s="567" t="s">
        <v>335</v>
      </c>
      <c r="I2324" s="239" t="str">
        <f>IF(ISBLANK(global!I801),"",global!I801)</f>
        <v/>
      </c>
      <c r="K2324" s="262" t="s">
        <v>4241</v>
      </c>
      <c r="O2324" s="262" t="s">
        <v>4241</v>
      </c>
    </row>
    <row r="2325" spans="1:15" ht="12.75" customHeight="1" x14ac:dyDescent="0.3">
      <c r="A2325" s="566"/>
      <c r="B2325" s="566" t="s">
        <v>712</v>
      </c>
      <c r="C2325" s="566"/>
      <c r="D2325" s="566"/>
      <c r="E2325" s="566"/>
      <c r="F2325" s="566"/>
      <c r="G2325" s="566" t="s">
        <v>3416</v>
      </c>
      <c r="H2325" s="567" t="s">
        <v>708</v>
      </c>
      <c r="I2325" s="239" t="str">
        <f>IF(ISBLANK(global!I802),"",global!I802)</f>
        <v/>
      </c>
      <c r="K2325" s="262" t="s">
        <v>4241</v>
      </c>
      <c r="O2325" s="262" t="s">
        <v>4241</v>
      </c>
    </row>
    <row r="2326" spans="1:15" ht="12.75" customHeight="1" x14ac:dyDescent="0.3">
      <c r="A2326" s="566"/>
      <c r="B2326" s="566" t="s">
        <v>1408</v>
      </c>
      <c r="C2326" s="566"/>
      <c r="D2326" s="566"/>
      <c r="E2326" s="566"/>
      <c r="F2326" s="566"/>
      <c r="G2326" s="567" t="s">
        <v>3417</v>
      </c>
      <c r="H2326" s="567" t="s">
        <v>866</v>
      </c>
      <c r="I2326" s="239" t="str">
        <f>IF(ISBLANK(global!I803),"",global!I803)</f>
        <v/>
      </c>
      <c r="K2326" s="262" t="s">
        <v>4241</v>
      </c>
      <c r="O2326" s="262" t="s">
        <v>4241</v>
      </c>
    </row>
    <row r="2327" spans="1:15" ht="12.75" customHeight="1" x14ac:dyDescent="0.3">
      <c r="A2327" s="566"/>
      <c r="B2327" s="566" t="s">
        <v>1410</v>
      </c>
      <c r="C2327" s="566"/>
      <c r="D2327" s="566"/>
      <c r="E2327" s="566"/>
      <c r="F2327" s="566"/>
      <c r="G2327" s="566" t="s">
        <v>3418</v>
      </c>
      <c r="H2327" s="566" t="s">
        <v>900</v>
      </c>
      <c r="I2327" s="239" t="str">
        <f>IF(ISBLANK(global!I804),"",global!I804)</f>
        <v/>
      </c>
      <c r="K2327" s="262" t="s">
        <v>4241</v>
      </c>
      <c r="O2327" s="262" t="s">
        <v>4241</v>
      </c>
    </row>
    <row r="2328" spans="1:15" ht="12.75" customHeight="1" x14ac:dyDescent="0.3">
      <c r="A2328" s="566"/>
      <c r="B2328" s="566" t="s">
        <v>1412</v>
      </c>
      <c r="C2328" s="566"/>
      <c r="D2328" s="566"/>
      <c r="E2328" s="566"/>
      <c r="F2328" s="566"/>
      <c r="G2328" s="567" t="s">
        <v>3419</v>
      </c>
      <c r="H2328" s="567" t="s">
        <v>291</v>
      </c>
      <c r="I2328" s="239" t="str">
        <f>IF(ISBLANK(global!I805),"",global!I805)</f>
        <v/>
      </c>
      <c r="K2328" s="262" t="s">
        <v>4241</v>
      </c>
      <c r="O2328" s="262" t="s">
        <v>4241</v>
      </c>
    </row>
    <row r="2329" spans="1:15" ht="12.75" customHeight="1" x14ac:dyDescent="0.3">
      <c r="A2329" s="410" t="s">
        <v>3420</v>
      </c>
      <c r="B2329" s="410"/>
      <c r="C2329" s="410"/>
      <c r="D2329" s="410"/>
      <c r="E2329" s="410"/>
      <c r="F2329" s="410"/>
      <c r="G2329" s="654"/>
      <c r="H2329" s="654"/>
      <c r="I2329" s="239" t="str">
        <f>IF(ISBLANK(global!I806),"",global!I806)</f>
        <v/>
      </c>
      <c r="K2329" s="262" t="s">
        <v>4241</v>
      </c>
      <c r="O2329" s="262" t="s">
        <v>4241</v>
      </c>
    </row>
    <row r="2330" spans="1:15" ht="12.75" customHeight="1" x14ac:dyDescent="0.3">
      <c r="A2330" s="566" t="s">
        <v>1437</v>
      </c>
      <c r="B2330" s="566"/>
      <c r="C2330" s="566"/>
      <c r="D2330" s="566"/>
      <c r="E2330" s="566"/>
      <c r="F2330" s="566"/>
      <c r="G2330" s="567" t="s">
        <v>3421</v>
      </c>
      <c r="H2330" s="567" t="s">
        <v>335</v>
      </c>
      <c r="I2330" s="239" t="str">
        <f>IF(ISBLANK(global!I807),"",global!I807)</f>
        <v/>
      </c>
      <c r="K2330" s="262" t="s">
        <v>4241</v>
      </c>
      <c r="O2330" s="262" t="s">
        <v>4241</v>
      </c>
    </row>
    <row r="2331" spans="1:15" ht="12.75" customHeight="1" x14ac:dyDescent="0.3">
      <c r="A2331" s="566"/>
      <c r="B2331" s="566" t="s">
        <v>1439</v>
      </c>
      <c r="C2331" s="566"/>
      <c r="D2331" s="566"/>
      <c r="E2331" s="566"/>
      <c r="F2331" s="566"/>
      <c r="G2331" s="567" t="s">
        <v>3422</v>
      </c>
      <c r="H2331" s="567" t="s">
        <v>708</v>
      </c>
      <c r="I2331" s="239" t="str">
        <f>IF(ISBLANK(global!I808),"",global!I808)</f>
        <v/>
      </c>
      <c r="K2331" s="262" t="s">
        <v>4241</v>
      </c>
      <c r="O2331" s="262" t="s">
        <v>4241</v>
      </c>
    </row>
    <row r="2332" spans="1:15" ht="12.75" customHeight="1" x14ac:dyDescent="0.3">
      <c r="A2332" s="566"/>
      <c r="B2332" s="566" t="s">
        <v>1442</v>
      </c>
      <c r="C2332" s="566"/>
      <c r="D2332" s="566"/>
      <c r="E2332" s="566"/>
      <c r="F2332" s="566"/>
      <c r="G2332" s="567" t="s">
        <v>3423</v>
      </c>
      <c r="H2332" s="567" t="s">
        <v>335</v>
      </c>
      <c r="I2332" s="239" t="str">
        <f>IF(ISBLANK(global!I809),"",global!I809)</f>
        <v/>
      </c>
      <c r="K2332" s="262" t="s">
        <v>4241</v>
      </c>
      <c r="O2332" s="262" t="s">
        <v>4241</v>
      </c>
    </row>
    <row r="2333" spans="1:15" ht="12.75" customHeight="1" x14ac:dyDescent="0.3">
      <c r="A2333" s="566"/>
      <c r="B2333" s="566"/>
      <c r="C2333" s="566" t="s">
        <v>1421</v>
      </c>
      <c r="D2333" s="566"/>
      <c r="E2333" s="566"/>
      <c r="F2333" s="566"/>
      <c r="G2333" s="567" t="s">
        <v>3424</v>
      </c>
      <c r="H2333" s="567" t="s">
        <v>335</v>
      </c>
      <c r="I2333" s="239" t="str">
        <f>IF(ISBLANK(global!I810),"",global!I810)</f>
        <v/>
      </c>
      <c r="K2333" s="262" t="s">
        <v>4241</v>
      </c>
      <c r="O2333" s="262" t="s">
        <v>4241</v>
      </c>
    </row>
    <row r="2334" spans="1:15" ht="12.75" customHeight="1" x14ac:dyDescent="0.3">
      <c r="A2334" s="566"/>
      <c r="B2334" s="566"/>
      <c r="C2334" s="566"/>
      <c r="D2334" s="566" t="s">
        <v>1445</v>
      </c>
      <c r="E2334" s="566"/>
      <c r="F2334" s="566"/>
      <c r="G2334" s="567" t="s">
        <v>3425</v>
      </c>
      <c r="H2334" s="567" t="s">
        <v>335</v>
      </c>
      <c r="I2334" s="239" t="str">
        <f>IF(ISBLANK(global!I811),"",global!I811)</f>
        <v/>
      </c>
      <c r="K2334" s="262" t="s">
        <v>4241</v>
      </c>
      <c r="O2334" s="262" t="s">
        <v>4241</v>
      </c>
    </row>
    <row r="2335" spans="1:15" ht="12.75" customHeight="1" x14ac:dyDescent="0.3">
      <c r="A2335" s="566" t="s">
        <v>1437</v>
      </c>
      <c r="B2335" s="566"/>
      <c r="C2335" s="566"/>
      <c r="D2335" s="566"/>
      <c r="E2335" s="566"/>
      <c r="F2335" s="566"/>
      <c r="G2335" s="567" t="s">
        <v>3426</v>
      </c>
      <c r="H2335" s="567" t="s">
        <v>335</v>
      </c>
      <c r="I2335" s="239" t="str">
        <f>IF(ISBLANK(global!I812),"",global!I812)</f>
        <v/>
      </c>
      <c r="K2335" s="262" t="s">
        <v>4241</v>
      </c>
      <c r="O2335" s="262" t="s">
        <v>4241</v>
      </c>
    </row>
    <row r="2336" spans="1:15" ht="12.75" customHeight="1" x14ac:dyDescent="0.3">
      <c r="A2336" s="566"/>
      <c r="B2336" s="566" t="s">
        <v>1439</v>
      </c>
      <c r="C2336" s="566"/>
      <c r="D2336" s="566"/>
      <c r="E2336" s="566"/>
      <c r="F2336" s="566"/>
      <c r="G2336" s="567" t="s">
        <v>3427</v>
      </c>
      <c r="H2336" s="567" t="s">
        <v>708</v>
      </c>
      <c r="I2336" s="239" t="str">
        <f>IF(ISBLANK(global!I813),"",global!I813)</f>
        <v/>
      </c>
      <c r="K2336" s="262" t="s">
        <v>4241</v>
      </c>
      <c r="O2336" s="262" t="s">
        <v>4241</v>
      </c>
    </row>
    <row r="2337" spans="1:15" ht="12.75" customHeight="1" x14ac:dyDescent="0.3">
      <c r="A2337" s="566"/>
      <c r="B2337" s="566" t="s">
        <v>1442</v>
      </c>
      <c r="C2337" s="566"/>
      <c r="D2337" s="566"/>
      <c r="E2337" s="566"/>
      <c r="F2337" s="566"/>
      <c r="G2337" s="567" t="s">
        <v>3428</v>
      </c>
      <c r="H2337" s="567" t="s">
        <v>335</v>
      </c>
      <c r="I2337" s="239" t="str">
        <f>IF(ISBLANK(global!I814),"",global!I814)</f>
        <v/>
      </c>
      <c r="K2337" s="262" t="s">
        <v>4241</v>
      </c>
      <c r="O2337" s="262" t="s">
        <v>4241</v>
      </c>
    </row>
    <row r="2338" spans="1:15" ht="12.75" customHeight="1" x14ac:dyDescent="0.3">
      <c r="A2338" s="566"/>
      <c r="B2338" s="566"/>
      <c r="C2338" s="566" t="s">
        <v>1421</v>
      </c>
      <c r="D2338" s="566"/>
      <c r="E2338" s="566"/>
      <c r="F2338" s="566"/>
      <c r="G2338" s="567" t="s">
        <v>3429</v>
      </c>
      <c r="H2338" s="567" t="s">
        <v>335</v>
      </c>
      <c r="I2338" s="239" t="str">
        <f>IF(ISBLANK(global!I815),"",global!I815)</f>
        <v/>
      </c>
      <c r="K2338" s="262" t="s">
        <v>4241</v>
      </c>
      <c r="O2338" s="262" t="s">
        <v>4241</v>
      </c>
    </row>
    <row r="2339" spans="1:15" ht="12.75" customHeight="1" x14ac:dyDescent="0.3">
      <c r="A2339" s="566"/>
      <c r="B2339" s="566"/>
      <c r="C2339" s="566"/>
      <c r="D2339" s="566" t="s">
        <v>1445</v>
      </c>
      <c r="E2339" s="566"/>
      <c r="F2339" s="566"/>
      <c r="G2339" s="567" t="s">
        <v>3430</v>
      </c>
      <c r="H2339" s="567" t="s">
        <v>335</v>
      </c>
      <c r="I2339" s="239" t="str">
        <f>IF(ISBLANK(global!I816),"",global!I816)</f>
        <v/>
      </c>
      <c r="K2339" s="262" t="s">
        <v>4241</v>
      </c>
      <c r="O2339" s="262" t="s">
        <v>4241</v>
      </c>
    </row>
    <row r="2340" spans="1:15" ht="12.75" customHeight="1" x14ac:dyDescent="0.3">
      <c r="A2340" s="566"/>
      <c r="B2340" s="566"/>
      <c r="C2340" s="566" t="s">
        <v>1447</v>
      </c>
      <c r="D2340" s="566"/>
      <c r="E2340" s="566"/>
      <c r="F2340" s="566"/>
      <c r="G2340" s="566" t="s">
        <v>3431</v>
      </c>
      <c r="H2340" s="566" t="s">
        <v>335</v>
      </c>
      <c r="I2340" s="239" t="str">
        <f>IF(ISBLANK(global!I817),"",global!I817)</f>
        <v/>
      </c>
      <c r="K2340" s="262" t="s">
        <v>4241</v>
      </c>
      <c r="O2340" s="262" t="s">
        <v>4241</v>
      </c>
    </row>
    <row r="2341" spans="1:15" ht="12.75" customHeight="1" x14ac:dyDescent="0.3">
      <c r="A2341" s="566"/>
      <c r="B2341" s="566"/>
      <c r="C2341" s="566" t="s">
        <v>1449</v>
      </c>
      <c r="D2341" s="566"/>
      <c r="E2341" s="566"/>
      <c r="F2341" s="566"/>
      <c r="G2341" s="567" t="s">
        <v>3432</v>
      </c>
      <c r="H2341" s="567" t="s">
        <v>335</v>
      </c>
      <c r="I2341" s="239" t="str">
        <f>IF(ISBLANK(global!I818),"",global!I818)</f>
        <v/>
      </c>
      <c r="K2341" s="262" t="s">
        <v>4241</v>
      </c>
      <c r="O2341" s="262" t="s">
        <v>4241</v>
      </c>
    </row>
    <row r="2342" spans="1:15" ht="12.75" customHeight="1" x14ac:dyDescent="0.3">
      <c r="A2342" s="566" t="s">
        <v>1469</v>
      </c>
      <c r="B2342" s="566"/>
      <c r="C2342" s="566"/>
      <c r="D2342" s="566"/>
      <c r="E2342" s="566"/>
      <c r="F2342" s="566"/>
      <c r="G2342" s="567" t="s">
        <v>3433</v>
      </c>
      <c r="H2342" s="567" t="s">
        <v>335</v>
      </c>
      <c r="I2342" s="239" t="str">
        <f>IF(ISBLANK(global!I819),"",global!I819)</f>
        <v/>
      </c>
      <c r="K2342" s="262" t="s">
        <v>4241</v>
      </c>
      <c r="O2342" s="262" t="s">
        <v>4241</v>
      </c>
    </row>
    <row r="2343" spans="1:15" ht="12.75" customHeight="1" x14ac:dyDescent="0.3">
      <c r="A2343" s="566"/>
      <c r="B2343" s="566" t="s">
        <v>1463</v>
      </c>
      <c r="C2343" s="566"/>
      <c r="D2343" s="566"/>
      <c r="E2343" s="566"/>
      <c r="F2343" s="566"/>
      <c r="G2343" s="567" t="s">
        <v>3434</v>
      </c>
      <c r="H2343" s="567" t="s">
        <v>708</v>
      </c>
      <c r="I2343" s="239" t="str">
        <f>IF(ISBLANK(global!I820),"",global!I820)</f>
        <v/>
      </c>
      <c r="K2343" s="262" t="s">
        <v>4241</v>
      </c>
      <c r="O2343" s="262" t="s">
        <v>4241</v>
      </c>
    </row>
    <row r="2344" spans="1:15" ht="12.75" customHeight="1" x14ac:dyDescent="0.3">
      <c r="A2344" s="566"/>
      <c r="B2344" s="566" t="s">
        <v>1474</v>
      </c>
      <c r="C2344" s="566"/>
      <c r="D2344" s="566"/>
      <c r="E2344" s="566"/>
      <c r="F2344" s="566"/>
      <c r="G2344" s="567" t="s">
        <v>3435</v>
      </c>
      <c r="H2344" s="566" t="s">
        <v>335</v>
      </c>
      <c r="I2344" s="239" t="str">
        <f>IF(ISBLANK(global!I821),"",global!I821)</f>
        <v/>
      </c>
      <c r="K2344" s="262" t="s">
        <v>4241</v>
      </c>
      <c r="O2344" s="262" t="s">
        <v>4241</v>
      </c>
    </row>
    <row r="2345" spans="1:15" ht="12.75" customHeight="1" x14ac:dyDescent="0.3">
      <c r="A2345" s="566"/>
      <c r="B2345" s="566"/>
      <c r="C2345" s="566" t="s">
        <v>1459</v>
      </c>
      <c r="D2345" s="566"/>
      <c r="E2345" s="566"/>
      <c r="F2345" s="566"/>
      <c r="G2345" s="567" t="s">
        <v>3436</v>
      </c>
      <c r="H2345" s="567" t="s">
        <v>335</v>
      </c>
      <c r="I2345" s="239" t="str">
        <f>IF(ISBLANK(global!I822),"",global!I822)</f>
        <v/>
      </c>
      <c r="K2345" s="262" t="s">
        <v>4241</v>
      </c>
      <c r="O2345" s="262" t="s">
        <v>4241</v>
      </c>
    </row>
    <row r="2346" spans="1:15" ht="12.75" customHeight="1" x14ac:dyDescent="0.3">
      <c r="A2346" s="566" t="s">
        <v>1469</v>
      </c>
      <c r="B2346" s="566"/>
      <c r="C2346" s="566"/>
      <c r="D2346" s="566"/>
      <c r="E2346" s="566"/>
      <c r="F2346" s="566"/>
      <c r="G2346" s="567" t="s">
        <v>3437</v>
      </c>
      <c r="H2346" s="567" t="s">
        <v>335</v>
      </c>
      <c r="I2346" s="239" t="str">
        <f>IF(ISBLANK(global!I823),"",global!I823)</f>
        <v/>
      </c>
      <c r="K2346" s="262" t="s">
        <v>4241</v>
      </c>
      <c r="O2346" s="262" t="s">
        <v>4241</v>
      </c>
    </row>
    <row r="2347" spans="1:15" ht="12.75" customHeight="1" x14ac:dyDescent="0.3">
      <c r="A2347" s="566"/>
      <c r="B2347" s="566" t="s">
        <v>1463</v>
      </c>
      <c r="C2347" s="566"/>
      <c r="D2347" s="566"/>
      <c r="E2347" s="566"/>
      <c r="F2347" s="566"/>
      <c r="G2347" s="567" t="s">
        <v>3438</v>
      </c>
      <c r="H2347" s="567" t="s">
        <v>708</v>
      </c>
      <c r="I2347" s="239" t="str">
        <f>IF(ISBLANK(global!I824),"",global!I824)</f>
        <v/>
      </c>
      <c r="K2347" s="262" t="s">
        <v>4241</v>
      </c>
      <c r="O2347" s="262" t="s">
        <v>4241</v>
      </c>
    </row>
    <row r="2348" spans="1:15" ht="12.75" customHeight="1" x14ac:dyDescent="0.3">
      <c r="A2348" s="566"/>
      <c r="B2348" s="566" t="s">
        <v>1474</v>
      </c>
      <c r="C2348" s="566"/>
      <c r="D2348" s="566"/>
      <c r="E2348" s="566"/>
      <c r="F2348" s="566"/>
      <c r="G2348" s="567" t="s">
        <v>3439</v>
      </c>
      <c r="H2348" s="566" t="s">
        <v>335</v>
      </c>
      <c r="I2348" s="239" t="str">
        <f>IF(ISBLANK(global!I825),"",global!I825)</f>
        <v/>
      </c>
      <c r="K2348" s="262" t="s">
        <v>4241</v>
      </c>
      <c r="O2348" s="262" t="s">
        <v>4241</v>
      </c>
    </row>
    <row r="2349" spans="1:15" ht="12.75" customHeight="1" x14ac:dyDescent="0.3">
      <c r="A2349" s="566"/>
      <c r="B2349" s="566"/>
      <c r="C2349" s="566" t="s">
        <v>1459</v>
      </c>
      <c r="D2349" s="566"/>
      <c r="E2349" s="566"/>
      <c r="F2349" s="566"/>
      <c r="G2349" s="567" t="s">
        <v>3440</v>
      </c>
      <c r="H2349" s="567" t="s">
        <v>335</v>
      </c>
      <c r="I2349" s="239" t="str">
        <f>IF(ISBLANK(global!I826),"",global!I826)</f>
        <v/>
      </c>
      <c r="K2349" s="262" t="s">
        <v>4241</v>
      </c>
      <c r="O2349" s="262" t="s">
        <v>4241</v>
      </c>
    </row>
    <row r="2350" spans="1:15" ht="12.75" customHeight="1" x14ac:dyDescent="0.3">
      <c r="A2350" s="566"/>
      <c r="B2350" s="566"/>
      <c r="C2350" s="566" t="s">
        <v>1477</v>
      </c>
      <c r="D2350" s="566"/>
      <c r="E2350" s="566"/>
      <c r="F2350" s="566"/>
      <c r="G2350" s="567" t="s">
        <v>3441</v>
      </c>
      <c r="H2350" s="567" t="s">
        <v>335</v>
      </c>
      <c r="I2350" s="239" t="str">
        <f>IF(ISBLANK(global!I827),"",global!I827)</f>
        <v/>
      </c>
      <c r="K2350" s="262" t="s">
        <v>4241</v>
      </c>
      <c r="O2350" s="262" t="s">
        <v>4241</v>
      </c>
    </row>
    <row r="2351" spans="1:15" ht="12.75" customHeight="1" x14ac:dyDescent="0.3">
      <c r="A2351" s="566"/>
      <c r="B2351" s="566"/>
      <c r="C2351" s="566" t="s">
        <v>2248</v>
      </c>
      <c r="D2351" s="566"/>
      <c r="E2351" s="566"/>
      <c r="F2351" s="566"/>
      <c r="G2351" s="567" t="s">
        <v>3442</v>
      </c>
      <c r="H2351" s="567" t="s">
        <v>335</v>
      </c>
      <c r="I2351" s="239" t="str">
        <f>IF(ISBLANK(global!I828),"",global!I828)</f>
        <v/>
      </c>
      <c r="K2351" s="262" t="s">
        <v>4241</v>
      </c>
      <c r="O2351" s="262" t="s">
        <v>4241</v>
      </c>
    </row>
    <row r="2352" spans="1:15" ht="12.75" customHeight="1" x14ac:dyDescent="0.3">
      <c r="A2352" s="410" t="s">
        <v>3443</v>
      </c>
      <c r="I2352" s="239" t="str">
        <f>IF(ISBLANK(global!I829),"",global!I829)</f>
        <v/>
      </c>
      <c r="K2352" s="262" t="s">
        <v>4241</v>
      </c>
      <c r="O2352" s="262" t="s">
        <v>4241</v>
      </c>
    </row>
    <row r="2353" spans="1:15" ht="12.75" customHeight="1" x14ac:dyDescent="0.3">
      <c r="A2353" s="566" t="s">
        <v>2782</v>
      </c>
      <c r="B2353" s="566"/>
      <c r="C2353" s="566"/>
      <c r="D2353" s="566"/>
      <c r="E2353" s="566"/>
      <c r="F2353" s="566"/>
      <c r="G2353" s="567" t="s">
        <v>3444</v>
      </c>
      <c r="H2353" s="567" t="s">
        <v>335</v>
      </c>
      <c r="I2353" s="239" t="str">
        <f>IF(ISBLANK(global!I830),"",global!I830)</f>
        <v/>
      </c>
      <c r="K2353" s="262" t="s">
        <v>4241</v>
      </c>
      <c r="O2353" s="262" t="s">
        <v>4241</v>
      </c>
    </row>
    <row r="2354" spans="1:15" ht="12.75" customHeight="1" x14ac:dyDescent="0.3">
      <c r="A2354" s="566"/>
      <c r="B2354" s="566" t="s">
        <v>1493</v>
      </c>
      <c r="C2354" s="566"/>
      <c r="D2354" s="566"/>
      <c r="E2354" s="566"/>
      <c r="F2354" s="566"/>
      <c r="G2354" s="567" t="s">
        <v>3445</v>
      </c>
      <c r="H2354" s="567" t="s">
        <v>708</v>
      </c>
      <c r="I2354" s="239" t="str">
        <f>IF(ISBLANK(global!I831),"",global!I831)</f>
        <v/>
      </c>
      <c r="K2354" s="262" t="s">
        <v>4241</v>
      </c>
      <c r="O2354" s="262" t="s">
        <v>4241</v>
      </c>
    </row>
    <row r="2355" spans="1:15" ht="12.75" customHeight="1" x14ac:dyDescent="0.3">
      <c r="A2355" s="566"/>
      <c r="B2355" s="566"/>
      <c r="C2355" s="566" t="s">
        <v>1447</v>
      </c>
      <c r="D2355" s="566"/>
      <c r="E2355" s="566"/>
      <c r="F2355" s="566"/>
      <c r="G2355" s="566" t="s">
        <v>3446</v>
      </c>
      <c r="H2355" s="566" t="s">
        <v>335</v>
      </c>
      <c r="I2355" s="239" t="str">
        <f>IF(ISBLANK(global!I832),"",global!I832)</f>
        <v/>
      </c>
      <c r="K2355" s="262" t="s">
        <v>4241</v>
      </c>
      <c r="O2355" s="262" t="s">
        <v>4241</v>
      </c>
    </row>
    <row r="2356" spans="1:15" ht="12.75" customHeight="1" x14ac:dyDescent="0.3">
      <c r="A2356" s="566"/>
      <c r="B2356" s="566"/>
      <c r="C2356" s="566" t="s">
        <v>1449</v>
      </c>
      <c r="D2356" s="566"/>
      <c r="E2356" s="566"/>
      <c r="F2356" s="566"/>
      <c r="G2356" s="567" t="s">
        <v>3447</v>
      </c>
      <c r="H2356" s="567" t="s">
        <v>335</v>
      </c>
      <c r="I2356" s="239" t="str">
        <f>IF(ISBLANK(global!I833),"",global!I833)</f>
        <v/>
      </c>
      <c r="K2356" s="262" t="s">
        <v>4241</v>
      </c>
      <c r="O2356" s="262" t="s">
        <v>4241</v>
      </c>
    </row>
    <row r="2357" spans="1:15" ht="12.75" customHeight="1" x14ac:dyDescent="0.3">
      <c r="A2357" s="566" t="s">
        <v>2788</v>
      </c>
      <c r="B2357" s="566"/>
      <c r="C2357" s="566"/>
      <c r="D2357" s="566"/>
      <c r="E2357" s="566"/>
      <c r="F2357" s="566"/>
      <c r="G2357" s="567" t="s">
        <v>3448</v>
      </c>
      <c r="H2357" s="567" t="s">
        <v>335</v>
      </c>
      <c r="I2357" s="239" t="str">
        <f>IF(ISBLANK(global!I834),"",global!I834)</f>
        <v/>
      </c>
      <c r="K2357" s="262" t="s">
        <v>4241</v>
      </c>
      <c r="O2357" s="262" t="s">
        <v>4241</v>
      </c>
    </row>
    <row r="2358" spans="1:15" ht="12.75" customHeight="1" x14ac:dyDescent="0.3">
      <c r="A2358" s="566"/>
      <c r="B2358" s="566" t="s">
        <v>1504</v>
      </c>
      <c r="C2358" s="566"/>
      <c r="D2358" s="566"/>
      <c r="E2358" s="566"/>
      <c r="F2358" s="566"/>
      <c r="G2358" s="567" t="s">
        <v>3449</v>
      </c>
      <c r="H2358" s="567" t="s">
        <v>1506</v>
      </c>
      <c r="I2358" s="239" t="str">
        <f>IF(ISBLANK(global!I835),"",global!I835)</f>
        <v/>
      </c>
      <c r="K2358" s="262" t="s">
        <v>4241</v>
      </c>
      <c r="O2358" s="262" t="s">
        <v>4241</v>
      </c>
    </row>
    <row r="2359" spans="1:15" ht="12.75" customHeight="1" x14ac:dyDescent="0.3">
      <c r="A2359" s="566"/>
      <c r="B2359" s="566" t="s">
        <v>1507</v>
      </c>
      <c r="C2359" s="566"/>
      <c r="D2359" s="566"/>
      <c r="E2359" s="566"/>
      <c r="F2359" s="566"/>
      <c r="G2359" s="566" t="s">
        <v>3450</v>
      </c>
      <c r="H2359" s="567" t="s">
        <v>866</v>
      </c>
      <c r="I2359" s="239" t="str">
        <f>IF(ISBLANK(global!I836),"",global!I836)</f>
        <v/>
      </c>
      <c r="K2359" s="262" t="s">
        <v>4241</v>
      </c>
      <c r="O2359" s="262" t="s">
        <v>4241</v>
      </c>
    </row>
    <row r="2360" spans="1:15" ht="12.75" customHeight="1" x14ac:dyDescent="0.3">
      <c r="A2360" s="566"/>
      <c r="B2360" s="566" t="s">
        <v>1510</v>
      </c>
      <c r="C2360" s="566"/>
      <c r="D2360" s="566"/>
      <c r="E2360" s="566"/>
      <c r="F2360" s="566"/>
      <c r="G2360" s="567" t="s">
        <v>3451</v>
      </c>
      <c r="H2360" s="567" t="s">
        <v>291</v>
      </c>
      <c r="I2360" s="239" t="str">
        <f>IF(ISBLANK(global!I837),"",global!I837)</f>
        <v/>
      </c>
      <c r="K2360" s="262" t="s">
        <v>4241</v>
      </c>
      <c r="O2360" s="262" t="s">
        <v>4241</v>
      </c>
    </row>
    <row r="2361" spans="1:15" ht="12.75" customHeight="1" x14ac:dyDescent="0.3">
      <c r="A2361" s="566"/>
      <c r="B2361" s="566"/>
      <c r="C2361" s="566" t="s">
        <v>1512</v>
      </c>
      <c r="D2361" s="566"/>
      <c r="E2361" s="566"/>
      <c r="F2361" s="566"/>
      <c r="G2361" s="567" t="s">
        <v>3452</v>
      </c>
      <c r="H2361" s="567" t="s">
        <v>291</v>
      </c>
      <c r="I2361" s="239" t="str">
        <f>IF(ISBLANK(global!I838),"",global!I838)</f>
        <v/>
      </c>
      <c r="K2361" s="262" t="s">
        <v>4241</v>
      </c>
      <c r="O2361" s="262" t="s">
        <v>4241</v>
      </c>
    </row>
    <row r="2362" spans="1:15" ht="12.75" customHeight="1" x14ac:dyDescent="0.3">
      <c r="A2362" s="566"/>
      <c r="B2362" s="566"/>
      <c r="C2362" s="566"/>
      <c r="D2362" s="566" t="s">
        <v>1514</v>
      </c>
      <c r="E2362" s="566"/>
      <c r="F2362" s="566"/>
      <c r="G2362" s="566" t="s">
        <v>3453</v>
      </c>
      <c r="H2362" s="567" t="s">
        <v>291</v>
      </c>
      <c r="I2362" s="239" t="str">
        <f>IF(ISBLANK(global!I839),"",global!I839)</f>
        <v/>
      </c>
      <c r="K2362" s="262" t="s">
        <v>4241</v>
      </c>
      <c r="O2362" s="262" t="s">
        <v>4241</v>
      </c>
    </row>
    <row r="2363" spans="1:15" ht="12.75" customHeight="1" x14ac:dyDescent="0.3">
      <c r="A2363" s="566"/>
      <c r="B2363" s="566"/>
      <c r="C2363" s="566"/>
      <c r="D2363" s="566"/>
      <c r="E2363" s="566" t="s">
        <v>1516</v>
      </c>
      <c r="F2363" s="566"/>
      <c r="G2363" s="566" t="s">
        <v>3454</v>
      </c>
      <c r="H2363" s="567" t="s">
        <v>291</v>
      </c>
      <c r="I2363" s="239" t="str">
        <f>IF(ISBLANK(global!I840),"",global!I840)</f>
        <v/>
      </c>
      <c r="K2363" s="262" t="s">
        <v>4241</v>
      </c>
      <c r="O2363" s="262" t="s">
        <v>4241</v>
      </c>
    </row>
    <row r="2364" spans="1:15" ht="12.75" customHeight="1" x14ac:dyDescent="0.3">
      <c r="A2364" s="566"/>
      <c r="B2364" s="566"/>
      <c r="C2364" s="566"/>
      <c r="D2364" s="566"/>
      <c r="E2364" s="566"/>
      <c r="F2364" s="566" t="s">
        <v>1518</v>
      </c>
      <c r="G2364" s="566" t="s">
        <v>3455</v>
      </c>
      <c r="H2364" s="567" t="s">
        <v>1520</v>
      </c>
      <c r="I2364" s="239" t="str">
        <f>IF(ISBLANK(global!I841),"",global!I841)</f>
        <v/>
      </c>
      <c r="K2364" s="262" t="s">
        <v>4241</v>
      </c>
      <c r="O2364" s="262" t="s">
        <v>4241</v>
      </c>
    </row>
    <row r="2365" spans="1:15" ht="12.75" customHeight="1" x14ac:dyDescent="0.3">
      <c r="A2365" s="566"/>
      <c r="B2365" s="566"/>
      <c r="C2365" s="566" t="s">
        <v>1522</v>
      </c>
      <c r="D2365" s="566"/>
      <c r="E2365" s="566"/>
      <c r="F2365" s="566"/>
      <c r="G2365" s="567" t="s">
        <v>3456</v>
      </c>
      <c r="H2365" s="567" t="s">
        <v>291</v>
      </c>
      <c r="I2365" s="239" t="str">
        <f>IF(ISBLANK(global!I842),"",global!I842)</f>
        <v/>
      </c>
      <c r="K2365" s="262" t="s">
        <v>4241</v>
      </c>
      <c r="O2365" s="262" t="s">
        <v>4241</v>
      </c>
    </row>
    <row r="2366" spans="1:15" ht="12.75" customHeight="1" x14ac:dyDescent="0.3">
      <c r="A2366" s="566"/>
      <c r="B2366" s="566"/>
      <c r="C2366" s="566" t="s">
        <v>1524</v>
      </c>
      <c r="D2366" s="566"/>
      <c r="E2366" s="566"/>
      <c r="F2366" s="566"/>
      <c r="G2366" s="567" t="s">
        <v>3457</v>
      </c>
      <c r="H2366" s="567" t="s">
        <v>291</v>
      </c>
      <c r="I2366" s="239" t="str">
        <f>IF(ISBLANK(global!I843),"",global!I843)</f>
        <v/>
      </c>
      <c r="K2366" s="262" t="s">
        <v>4241</v>
      </c>
      <c r="O2366" s="262" t="s">
        <v>4241</v>
      </c>
    </row>
    <row r="2367" spans="1:15" ht="12.75" customHeight="1" x14ac:dyDescent="0.3">
      <c r="A2367" s="566"/>
      <c r="B2367" s="566"/>
      <c r="C2367" s="566"/>
      <c r="D2367" s="566" t="s">
        <v>1526</v>
      </c>
      <c r="E2367" s="566"/>
      <c r="F2367" s="566"/>
      <c r="G2367" s="566" t="s">
        <v>3458</v>
      </c>
      <c r="H2367" s="567" t="s">
        <v>291</v>
      </c>
      <c r="I2367" s="239" t="str">
        <f>IF(ISBLANK(global!I844),"",global!I844)</f>
        <v/>
      </c>
      <c r="K2367" s="262" t="s">
        <v>4241</v>
      </c>
      <c r="O2367" s="262" t="s">
        <v>4241</v>
      </c>
    </row>
    <row r="2368" spans="1:15" ht="12.75" customHeight="1" x14ac:dyDescent="0.3">
      <c r="A2368" s="566"/>
      <c r="B2368" s="566"/>
      <c r="C2368" s="566"/>
      <c r="D2368" s="566" t="s">
        <v>1528</v>
      </c>
      <c r="E2368" s="566"/>
      <c r="F2368" s="566"/>
      <c r="G2368" s="566" t="s">
        <v>3459</v>
      </c>
      <c r="H2368" s="567" t="s">
        <v>1530</v>
      </c>
      <c r="I2368" s="239" t="str">
        <f>IF(ISBLANK(global!I845),"",global!I845)</f>
        <v/>
      </c>
      <c r="K2368" s="262" t="s">
        <v>4241</v>
      </c>
      <c r="O2368" s="262" t="s">
        <v>4241</v>
      </c>
    </row>
    <row r="2369" spans="1:15" ht="12.75" customHeight="1" x14ac:dyDescent="0.3">
      <c r="A2369" s="566"/>
      <c r="B2369" s="566"/>
      <c r="C2369" s="566"/>
      <c r="D2369" s="566" t="s">
        <v>1531</v>
      </c>
      <c r="E2369" s="566"/>
      <c r="F2369" s="566"/>
      <c r="G2369" s="566" t="s">
        <v>3460</v>
      </c>
      <c r="H2369" s="567" t="s">
        <v>291</v>
      </c>
      <c r="I2369" s="239" t="str">
        <f>IF(ISBLANK(global!I846),"",global!I846)</f>
        <v/>
      </c>
      <c r="K2369" s="262" t="s">
        <v>4241</v>
      </c>
      <c r="O2369" s="262" t="s">
        <v>4241</v>
      </c>
    </row>
    <row r="2370" spans="1:15" ht="12.75" customHeight="1" x14ac:dyDescent="0.3">
      <c r="A2370" s="566"/>
      <c r="B2370" s="566"/>
      <c r="C2370" s="566"/>
      <c r="D2370" s="566" t="s">
        <v>1533</v>
      </c>
      <c r="E2370" s="566"/>
      <c r="F2370" s="566"/>
      <c r="G2370" s="567" t="s">
        <v>3461</v>
      </c>
      <c r="H2370" s="567" t="s">
        <v>291</v>
      </c>
      <c r="I2370" s="239" t="str">
        <f>IF(ISBLANK(global!I847),"",global!I847)</f>
        <v/>
      </c>
      <c r="K2370" s="262" t="s">
        <v>4241</v>
      </c>
      <c r="O2370" s="262" t="s">
        <v>4241</v>
      </c>
    </row>
    <row r="2371" spans="1:15" ht="12.75" customHeight="1" x14ac:dyDescent="0.3">
      <c r="A2371" s="410" t="s">
        <v>3462</v>
      </c>
      <c r="I2371" s="239" t="str">
        <f>IF(ISBLANK(global!I848),"",global!I848)</f>
        <v/>
      </c>
      <c r="K2371" s="262" t="s">
        <v>4241</v>
      </c>
      <c r="O2371" s="262" t="s">
        <v>4241</v>
      </c>
    </row>
    <row r="2372" spans="1:15" ht="12.75" customHeight="1" x14ac:dyDescent="0.3">
      <c r="A2372" s="566" t="s">
        <v>2804</v>
      </c>
      <c r="B2372" s="566"/>
      <c r="C2372" s="566"/>
      <c r="D2372" s="566"/>
      <c r="E2372" s="566"/>
      <c r="F2372" s="566"/>
      <c r="G2372" s="567" t="s">
        <v>3463</v>
      </c>
      <c r="H2372" s="567" t="s">
        <v>335</v>
      </c>
      <c r="I2372" s="239" t="str">
        <f>IF(ISBLANK(global!I849),"",global!I849)</f>
        <v/>
      </c>
      <c r="K2372" s="262" t="s">
        <v>4241</v>
      </c>
      <c r="O2372" s="262" t="s">
        <v>4241</v>
      </c>
    </row>
    <row r="2373" spans="1:15" ht="12.75" customHeight="1" x14ac:dyDescent="0.3">
      <c r="A2373" s="566"/>
      <c r="B2373" s="566" t="s">
        <v>1542</v>
      </c>
      <c r="C2373" s="566"/>
      <c r="D2373" s="566"/>
      <c r="E2373" s="566"/>
      <c r="F2373" s="566"/>
      <c r="G2373" s="567" t="s">
        <v>3464</v>
      </c>
      <c r="H2373" s="567" t="s">
        <v>708</v>
      </c>
      <c r="I2373" s="239" t="str">
        <f>IF(ISBLANK(global!I850),"",global!I850)</f>
        <v/>
      </c>
      <c r="K2373" s="262" t="s">
        <v>4241</v>
      </c>
      <c r="O2373" s="262" t="s">
        <v>4241</v>
      </c>
    </row>
    <row r="2374" spans="1:15" ht="12.75" customHeight="1" x14ac:dyDescent="0.3">
      <c r="A2374" s="566"/>
      <c r="B2374" s="566" t="s">
        <v>727</v>
      </c>
      <c r="C2374" s="566"/>
      <c r="D2374" s="566"/>
      <c r="E2374" s="566"/>
      <c r="F2374" s="566"/>
      <c r="G2374" s="567" t="s">
        <v>3465</v>
      </c>
      <c r="H2374" s="567" t="s">
        <v>729</v>
      </c>
      <c r="I2374" s="239" t="str">
        <f>IF(ISBLANK(global!I851),"",global!I851)</f>
        <v/>
      </c>
      <c r="K2374" s="262" t="s">
        <v>4241</v>
      </c>
      <c r="O2374" s="262" t="s">
        <v>4241</v>
      </c>
    </row>
    <row r="2375" spans="1:15" ht="12.75" customHeight="1" x14ac:dyDescent="0.3">
      <c r="A2375" s="566"/>
      <c r="B2375" s="566" t="s">
        <v>1447</v>
      </c>
      <c r="C2375" s="566"/>
      <c r="D2375" s="566"/>
      <c r="E2375" s="566"/>
      <c r="F2375" s="566"/>
      <c r="G2375" s="567" t="s">
        <v>3466</v>
      </c>
      <c r="H2375" s="567" t="s">
        <v>335</v>
      </c>
      <c r="I2375" s="239" t="str">
        <f>IF(ISBLANK(global!I852),"",global!I852)</f>
        <v/>
      </c>
      <c r="K2375" s="262" t="s">
        <v>4241</v>
      </c>
      <c r="O2375" s="262" t="s">
        <v>4241</v>
      </c>
    </row>
    <row r="2376" spans="1:15" ht="12.75" customHeight="1" x14ac:dyDescent="0.3">
      <c r="A2376" s="566"/>
      <c r="B2376" s="566" t="s">
        <v>1449</v>
      </c>
      <c r="C2376" s="566"/>
      <c r="D2376" s="566"/>
      <c r="E2376" s="566"/>
      <c r="F2376" s="566"/>
      <c r="G2376" s="567" t="s">
        <v>3467</v>
      </c>
      <c r="H2376" s="567" t="s">
        <v>335</v>
      </c>
      <c r="I2376" s="239" t="str">
        <f>IF(ISBLANK(global!I853),"",global!I853)</f>
        <v/>
      </c>
      <c r="K2376" s="262" t="s">
        <v>4241</v>
      </c>
      <c r="O2376" s="262" t="s">
        <v>4241</v>
      </c>
    </row>
    <row r="2377" spans="1:15" ht="12.75" customHeight="1" x14ac:dyDescent="0.3">
      <c r="A2377" s="566" t="s">
        <v>2811</v>
      </c>
      <c r="B2377" s="566"/>
      <c r="C2377" s="566"/>
      <c r="D2377" s="566"/>
      <c r="E2377" s="566"/>
      <c r="F2377" s="566"/>
      <c r="G2377" s="567" t="s">
        <v>3468</v>
      </c>
      <c r="H2377" s="567" t="s">
        <v>335</v>
      </c>
      <c r="I2377" s="239" t="str">
        <f>IF(ISBLANK(global!I854),"",global!I854)</f>
        <v/>
      </c>
      <c r="K2377" s="262" t="s">
        <v>4241</v>
      </c>
      <c r="O2377" s="262" t="s">
        <v>4241</v>
      </c>
    </row>
    <row r="2378" spans="1:15" ht="12.75" customHeight="1" x14ac:dyDescent="0.3">
      <c r="A2378" s="566"/>
      <c r="B2378" s="566" t="s">
        <v>1549</v>
      </c>
      <c r="C2378" s="566"/>
      <c r="D2378" s="566"/>
      <c r="E2378" s="566"/>
      <c r="F2378" s="566"/>
      <c r="G2378" s="567" t="s">
        <v>3469</v>
      </c>
      <c r="H2378" s="567" t="s">
        <v>1506</v>
      </c>
      <c r="I2378" s="239" t="str">
        <f>IF(ISBLANK(global!I855),"",global!I855)</f>
        <v/>
      </c>
      <c r="K2378" s="262" t="s">
        <v>4241</v>
      </c>
      <c r="O2378" s="262" t="s">
        <v>4241</v>
      </c>
    </row>
    <row r="2379" spans="1:15" ht="12.75" customHeight="1" x14ac:dyDescent="0.3">
      <c r="A2379" s="566"/>
      <c r="B2379" s="566" t="s">
        <v>1551</v>
      </c>
      <c r="C2379" s="566"/>
      <c r="D2379" s="566"/>
      <c r="E2379" s="566"/>
      <c r="F2379" s="566"/>
      <c r="G2379" s="566" t="s">
        <v>3470</v>
      </c>
      <c r="H2379" s="567" t="s">
        <v>866</v>
      </c>
      <c r="I2379" s="239" t="str">
        <f>IF(ISBLANK(global!I856),"",global!I856)</f>
        <v/>
      </c>
      <c r="K2379" s="262" t="s">
        <v>4241</v>
      </c>
      <c r="O2379" s="262" t="s">
        <v>4241</v>
      </c>
    </row>
    <row r="2380" spans="1:15" ht="12.75" customHeight="1" x14ac:dyDescent="0.3">
      <c r="A2380" s="566"/>
      <c r="B2380" s="566" t="s">
        <v>1510</v>
      </c>
      <c r="C2380" s="566"/>
      <c r="D2380" s="566"/>
      <c r="E2380" s="566"/>
      <c r="F2380" s="566"/>
      <c r="G2380" s="567" t="s">
        <v>3471</v>
      </c>
      <c r="H2380" s="567" t="s">
        <v>291</v>
      </c>
      <c r="I2380" s="239" t="str">
        <f>IF(ISBLANK(global!I857),"",global!I857)</f>
        <v/>
      </c>
      <c r="K2380" s="262" t="s">
        <v>4241</v>
      </c>
      <c r="O2380" s="262" t="s">
        <v>4241</v>
      </c>
    </row>
    <row r="2381" spans="1:15" ht="12.75" customHeight="1" x14ac:dyDescent="0.3">
      <c r="A2381" s="566"/>
      <c r="B2381" s="566"/>
      <c r="C2381" s="566" t="s">
        <v>1512</v>
      </c>
      <c r="D2381" s="566"/>
      <c r="E2381" s="566"/>
      <c r="F2381" s="566"/>
      <c r="G2381" s="567" t="s">
        <v>3472</v>
      </c>
      <c r="H2381" s="567" t="s">
        <v>291</v>
      </c>
      <c r="I2381" s="239" t="str">
        <f>IF(ISBLANK(global!I858),"",global!I858)</f>
        <v/>
      </c>
      <c r="K2381" s="262" t="s">
        <v>4241</v>
      </c>
      <c r="O2381" s="262" t="s">
        <v>4241</v>
      </c>
    </row>
    <row r="2382" spans="1:15" ht="12.75" customHeight="1" x14ac:dyDescent="0.3">
      <c r="A2382" s="566"/>
      <c r="B2382" s="566"/>
      <c r="C2382" s="566"/>
      <c r="D2382" s="566" t="s">
        <v>1514</v>
      </c>
      <c r="E2382" s="566"/>
      <c r="F2382" s="566"/>
      <c r="G2382" s="566" t="s">
        <v>3473</v>
      </c>
      <c r="H2382" s="567" t="s">
        <v>291</v>
      </c>
      <c r="I2382" s="239" t="str">
        <f>IF(ISBLANK(global!I859),"",global!I859)</f>
        <v/>
      </c>
      <c r="K2382" s="262" t="s">
        <v>4241</v>
      </c>
      <c r="O2382" s="262" t="s">
        <v>4241</v>
      </c>
    </row>
    <row r="2383" spans="1:15" ht="12.75" customHeight="1" x14ac:dyDescent="0.3">
      <c r="A2383" s="566"/>
      <c r="B2383" s="566"/>
      <c r="C2383" s="566"/>
      <c r="D2383" s="566"/>
      <c r="E2383" s="566" t="s">
        <v>1556</v>
      </c>
      <c r="F2383" s="566"/>
      <c r="G2383" s="566" t="s">
        <v>3474</v>
      </c>
      <c r="H2383" s="567" t="s">
        <v>291</v>
      </c>
      <c r="I2383" s="239" t="str">
        <f>IF(ISBLANK(global!I860),"",global!I860)</f>
        <v/>
      </c>
      <c r="K2383" s="262" t="s">
        <v>4241</v>
      </c>
      <c r="O2383" s="262" t="s">
        <v>4241</v>
      </c>
    </row>
    <row r="2384" spans="1:15" ht="12.75" customHeight="1" x14ac:dyDescent="0.3">
      <c r="A2384" s="566"/>
      <c r="B2384" s="566"/>
      <c r="C2384" s="566"/>
      <c r="D2384" s="566"/>
      <c r="E2384" s="566"/>
      <c r="F2384" s="566" t="s">
        <v>1558</v>
      </c>
      <c r="G2384" s="566" t="s">
        <v>3475</v>
      </c>
      <c r="H2384" s="567" t="s">
        <v>1520</v>
      </c>
      <c r="I2384" s="239" t="str">
        <f>IF(ISBLANK(global!I861),"",global!I861)</f>
        <v/>
      </c>
      <c r="K2384" s="262" t="s">
        <v>4241</v>
      </c>
      <c r="O2384" s="262" t="s">
        <v>4241</v>
      </c>
    </row>
    <row r="2385" spans="1:15" ht="12.75" customHeight="1" x14ac:dyDescent="0.3">
      <c r="A2385" s="566"/>
      <c r="B2385" s="566"/>
      <c r="C2385" s="566" t="s">
        <v>1522</v>
      </c>
      <c r="D2385" s="566"/>
      <c r="E2385" s="566"/>
      <c r="F2385" s="566"/>
      <c r="G2385" s="567" t="s">
        <v>3476</v>
      </c>
      <c r="H2385" s="567" t="s">
        <v>291</v>
      </c>
      <c r="I2385" s="239" t="str">
        <f>IF(ISBLANK(global!I862),"",global!I862)</f>
        <v/>
      </c>
      <c r="K2385" s="262" t="s">
        <v>4241</v>
      </c>
      <c r="O2385" s="262" t="s">
        <v>4241</v>
      </c>
    </row>
    <row r="2386" spans="1:15" ht="12.75" customHeight="1" x14ac:dyDescent="0.3">
      <c r="A2386" s="566"/>
      <c r="B2386" s="566"/>
      <c r="C2386" s="566" t="s">
        <v>1524</v>
      </c>
      <c r="D2386" s="566"/>
      <c r="E2386" s="566"/>
      <c r="F2386" s="566"/>
      <c r="G2386" s="567" t="s">
        <v>3477</v>
      </c>
      <c r="H2386" s="567" t="s">
        <v>291</v>
      </c>
      <c r="I2386" s="239" t="str">
        <f>IF(ISBLANK(global!I863),"",global!I863)</f>
        <v/>
      </c>
      <c r="K2386" s="262" t="s">
        <v>4241</v>
      </c>
      <c r="O2386" s="262" t="s">
        <v>4241</v>
      </c>
    </row>
    <row r="2387" spans="1:15" ht="12.75" customHeight="1" x14ac:dyDescent="0.3">
      <c r="A2387" s="566"/>
      <c r="B2387" s="566"/>
      <c r="C2387" s="566"/>
      <c r="D2387" s="566" t="s">
        <v>1528</v>
      </c>
      <c r="E2387" s="566"/>
      <c r="F2387" s="566"/>
      <c r="G2387" s="566" t="s">
        <v>3478</v>
      </c>
      <c r="H2387" s="567" t="s">
        <v>1530</v>
      </c>
      <c r="I2387" s="239" t="str">
        <f>IF(ISBLANK(global!I864),"",global!I864)</f>
        <v/>
      </c>
      <c r="K2387" s="262" t="s">
        <v>4241</v>
      </c>
      <c r="O2387" s="262" t="s">
        <v>4241</v>
      </c>
    </row>
    <row r="2388" spans="1:15" ht="12.75" customHeight="1" x14ac:dyDescent="0.3">
      <c r="A2388" s="566"/>
      <c r="B2388" s="566"/>
      <c r="C2388" s="566"/>
      <c r="D2388" s="566" t="s">
        <v>1531</v>
      </c>
      <c r="E2388" s="566"/>
      <c r="F2388" s="566"/>
      <c r="G2388" s="566" t="s">
        <v>3479</v>
      </c>
      <c r="H2388" s="567" t="s">
        <v>291</v>
      </c>
      <c r="I2388" s="239" t="str">
        <f>IF(ISBLANK(global!I865),"",global!I865)</f>
        <v/>
      </c>
      <c r="K2388" s="262" t="s">
        <v>4241</v>
      </c>
      <c r="O2388" s="262" t="s">
        <v>4241</v>
      </c>
    </row>
    <row r="2389" spans="1:15" ht="12.75" customHeight="1" x14ac:dyDescent="0.3">
      <c r="A2389" s="566"/>
      <c r="B2389" s="566"/>
      <c r="C2389" s="566"/>
      <c r="D2389" s="566" t="s">
        <v>1526</v>
      </c>
      <c r="E2389" s="566"/>
      <c r="F2389" s="566"/>
      <c r="G2389" s="566" t="s">
        <v>3480</v>
      </c>
      <c r="H2389" s="567" t="s">
        <v>291</v>
      </c>
      <c r="I2389" s="239" t="str">
        <f>IF(ISBLANK(global!I866),"",global!I866)</f>
        <v/>
      </c>
      <c r="K2389" s="262" t="s">
        <v>4241</v>
      </c>
      <c r="O2389" s="262" t="s">
        <v>4241</v>
      </c>
    </row>
    <row r="2390" spans="1:15" ht="12.75" customHeight="1" x14ac:dyDescent="0.3">
      <c r="A2390" s="566"/>
      <c r="B2390" s="566"/>
      <c r="C2390" s="566"/>
      <c r="D2390" s="566" t="s">
        <v>1533</v>
      </c>
      <c r="E2390" s="566"/>
      <c r="F2390" s="566"/>
      <c r="G2390" s="567" t="s">
        <v>3481</v>
      </c>
      <c r="H2390" s="567" t="s">
        <v>291</v>
      </c>
      <c r="I2390" s="239" t="str">
        <f>IF(ISBLANK(global!I867),"",global!I867)</f>
        <v/>
      </c>
      <c r="K2390" s="262" t="s">
        <v>4241</v>
      </c>
      <c r="O2390" s="262" t="s">
        <v>4241</v>
      </c>
    </row>
    <row r="2391" spans="1:15" ht="12.75" customHeight="1" x14ac:dyDescent="0.3">
      <c r="I2391" s="239" t="str">
        <f>IF(ISBLANK(global!I868),"",global!I868)</f>
        <v/>
      </c>
      <c r="K2391" s="262" t="s">
        <v>4241</v>
      </c>
      <c r="O2391" s="262" t="s">
        <v>4241</v>
      </c>
    </row>
    <row r="2392" spans="1:15" ht="12.75" customHeight="1" x14ac:dyDescent="0.3">
      <c r="A2392" s="632" t="s">
        <v>1598</v>
      </c>
      <c r="B2392" s="633"/>
      <c r="C2392" s="633"/>
      <c r="D2392" s="633"/>
      <c r="E2392" s="633"/>
      <c r="F2392" s="633"/>
      <c r="G2392" s="632" t="s">
        <v>258</v>
      </c>
      <c r="H2392" s="632" t="s">
        <v>274</v>
      </c>
      <c r="I2392" s="239" t="str">
        <f>IF(ISBLANK(global!I869),"",global!I869)</f>
        <v>User input</v>
      </c>
      <c r="K2392" s="262" t="s">
        <v>259</v>
      </c>
      <c r="O2392" s="262" t="s">
        <v>259</v>
      </c>
    </row>
    <row r="2393" spans="1:15" ht="12.75" customHeight="1" x14ac:dyDescent="0.3">
      <c r="A2393" t="s">
        <v>3482</v>
      </c>
      <c r="I2393" s="239" t="str">
        <f>IF(ISBLANK(global!I870),"",global!I870)</f>
        <v/>
      </c>
      <c r="K2393" s="262" t="s">
        <v>4241</v>
      </c>
      <c r="O2393" s="262" t="s">
        <v>4241</v>
      </c>
    </row>
    <row r="2394" spans="1:15" ht="12.75" customHeight="1" x14ac:dyDescent="0.3">
      <c r="A2394" s="566"/>
      <c r="B2394" s="566" t="s">
        <v>1600</v>
      </c>
      <c r="C2394" s="566"/>
      <c r="D2394" s="566"/>
      <c r="E2394" s="566"/>
      <c r="F2394" s="566"/>
      <c r="G2394" s="567" t="s">
        <v>3483</v>
      </c>
      <c r="H2394" s="567" t="s">
        <v>813</v>
      </c>
      <c r="I2394" s="239" t="str">
        <f>IF(ISBLANK(global!I871),"",global!I871)</f>
        <v/>
      </c>
      <c r="K2394" s="262" t="s">
        <v>4241</v>
      </c>
      <c r="O2394" s="262" t="s">
        <v>4241</v>
      </c>
    </row>
    <row r="2395" spans="1:15" ht="12.75" customHeight="1" x14ac:dyDescent="0.3">
      <c r="A2395" s="566"/>
      <c r="B2395" s="566" t="s">
        <v>1603</v>
      </c>
      <c r="C2395" s="566"/>
      <c r="D2395" s="566"/>
      <c r="E2395" s="566"/>
      <c r="F2395" s="566"/>
      <c r="G2395" s="567" t="s">
        <v>3484</v>
      </c>
      <c r="H2395" s="567" t="s">
        <v>291</v>
      </c>
      <c r="I2395" s="239" t="str">
        <f>IF(ISBLANK(global!I872),"",global!I872)</f>
        <v/>
      </c>
      <c r="K2395" s="262" t="s">
        <v>4241</v>
      </c>
      <c r="O2395" s="262" t="s">
        <v>4241</v>
      </c>
    </row>
    <row r="2396" spans="1:15" ht="12.75" customHeight="1" x14ac:dyDescent="0.3">
      <c r="A2396" s="566"/>
      <c r="B2396" s="566" t="s">
        <v>1606</v>
      </c>
      <c r="C2396" s="566"/>
      <c r="D2396" s="566"/>
      <c r="E2396" s="566"/>
      <c r="F2396" s="566"/>
      <c r="G2396" s="567" t="s">
        <v>3485</v>
      </c>
      <c r="H2396" s="567" t="s">
        <v>866</v>
      </c>
      <c r="I2396" s="239" t="str">
        <f>IF(ISBLANK(global!I873),"",global!I873)</f>
        <v/>
      </c>
      <c r="K2396" s="262" t="s">
        <v>4241</v>
      </c>
      <c r="O2396" s="262" t="s">
        <v>4241</v>
      </c>
    </row>
    <row r="2397" spans="1:15" ht="12.75" customHeight="1" x14ac:dyDescent="0.3">
      <c r="A2397" s="566"/>
      <c r="B2397" s="566" t="s">
        <v>1610</v>
      </c>
      <c r="C2397" s="566"/>
      <c r="D2397" s="566"/>
      <c r="E2397" s="566"/>
      <c r="F2397" s="566"/>
      <c r="G2397" s="567" t="s">
        <v>3486</v>
      </c>
      <c r="H2397" s="567" t="s">
        <v>866</v>
      </c>
      <c r="I2397" s="239" t="str">
        <f>IF(ISBLANK(global!I874),"",global!I874)</f>
        <v/>
      </c>
      <c r="K2397" s="262" t="s">
        <v>4241</v>
      </c>
      <c r="O2397" s="262" t="s">
        <v>4241</v>
      </c>
    </row>
    <row r="2398" spans="1:15" ht="12.75" customHeight="1" x14ac:dyDescent="0.3">
      <c r="A2398" s="566"/>
      <c r="B2398" s="566" t="s">
        <v>1612</v>
      </c>
      <c r="C2398" s="566"/>
      <c r="D2398" s="566"/>
      <c r="E2398" s="566"/>
      <c r="F2398" s="566"/>
      <c r="G2398" s="567" t="s">
        <v>3487</v>
      </c>
      <c r="H2398" s="567" t="s">
        <v>291</v>
      </c>
      <c r="I2398" s="239" t="str">
        <f>IF(ISBLANK(global!I875),"",global!I875)</f>
        <v/>
      </c>
      <c r="K2398" s="262" t="s">
        <v>4241</v>
      </c>
      <c r="O2398" s="262" t="s">
        <v>4241</v>
      </c>
    </row>
    <row r="2399" spans="1:15" ht="12.75" customHeight="1" x14ac:dyDescent="0.3">
      <c r="A2399" s="566"/>
      <c r="B2399" s="566" t="s">
        <v>1614</v>
      </c>
      <c r="C2399" s="566"/>
      <c r="D2399" s="566"/>
      <c r="E2399" s="566"/>
      <c r="F2399" s="566"/>
      <c r="G2399" s="567" t="s">
        <v>3488</v>
      </c>
      <c r="H2399" s="567" t="s">
        <v>291</v>
      </c>
      <c r="I2399" s="239" t="str">
        <f>IF(ISBLANK(global!I876),"",global!I876)</f>
        <v/>
      </c>
      <c r="K2399" s="262" t="s">
        <v>4241</v>
      </c>
      <c r="O2399" s="262" t="s">
        <v>4241</v>
      </c>
    </row>
    <row r="2400" spans="1:15" ht="12.75" customHeight="1" x14ac:dyDescent="0.3">
      <c r="A2400" s="566"/>
      <c r="B2400" s="566" t="s">
        <v>1616</v>
      </c>
      <c r="C2400" s="566"/>
      <c r="D2400" s="566"/>
      <c r="E2400" s="566"/>
      <c r="F2400" s="566"/>
      <c r="G2400" s="567" t="s">
        <v>3489</v>
      </c>
      <c r="H2400" s="567" t="s">
        <v>291</v>
      </c>
      <c r="I2400" s="239" t="str">
        <f>IF(ISBLANK(global!I877),"",global!I877)</f>
        <v/>
      </c>
      <c r="K2400" s="262" t="s">
        <v>4241</v>
      </c>
      <c r="O2400" s="262" t="s">
        <v>4241</v>
      </c>
    </row>
    <row r="2401" spans="1:15" ht="12.75" customHeight="1" x14ac:dyDescent="0.3">
      <c r="A2401" t="s">
        <v>3490</v>
      </c>
      <c r="G2401"/>
      <c r="H2401"/>
      <c r="I2401" s="239" t="str">
        <f>IF(ISBLANK(global!I878),"",global!I878)</f>
        <v/>
      </c>
      <c r="K2401" s="262" t="s">
        <v>4241</v>
      </c>
      <c r="O2401" s="262" t="s">
        <v>4241</v>
      </c>
    </row>
    <row r="2402" spans="1:15" ht="12.75" customHeight="1" x14ac:dyDescent="0.3">
      <c r="A2402" s="566"/>
      <c r="B2402" s="566" t="s">
        <v>1619</v>
      </c>
      <c r="C2402" s="566"/>
      <c r="D2402" s="566"/>
      <c r="E2402" s="566"/>
      <c r="F2402" s="566"/>
      <c r="G2402" s="566" t="s">
        <v>3491</v>
      </c>
      <c r="H2402" s="566" t="s">
        <v>813</v>
      </c>
      <c r="I2402" s="239" t="str">
        <f>IF(ISBLANK(global!I879),"",global!I879)</f>
        <v/>
      </c>
      <c r="K2402" s="262" t="s">
        <v>4241</v>
      </c>
      <c r="O2402" s="262" t="s">
        <v>4241</v>
      </c>
    </row>
    <row r="2403" spans="1:15" ht="12.75" customHeight="1" x14ac:dyDescent="0.3">
      <c r="A2403" s="566"/>
      <c r="B2403" s="566" t="s">
        <v>1621</v>
      </c>
      <c r="C2403" s="566"/>
      <c r="D2403" s="566"/>
      <c r="E2403" s="566"/>
      <c r="F2403" s="566"/>
      <c r="G2403" s="566" t="s">
        <v>3492</v>
      </c>
      <c r="H2403" s="566" t="s">
        <v>282</v>
      </c>
      <c r="I2403" s="239" t="str">
        <f>IF(ISBLANK(global!I880),"",global!I880)</f>
        <v/>
      </c>
      <c r="K2403" s="262" t="s">
        <v>4241</v>
      </c>
      <c r="O2403" s="262" t="s">
        <v>4241</v>
      </c>
    </row>
    <row r="2404" spans="1:15" ht="12.75" customHeight="1" x14ac:dyDescent="0.3">
      <c r="A2404" s="566"/>
      <c r="B2404" s="566"/>
      <c r="C2404" s="566" t="s">
        <v>1623</v>
      </c>
      <c r="D2404" s="566"/>
      <c r="E2404" s="566"/>
      <c r="F2404" s="566"/>
      <c r="G2404" s="566" t="s">
        <v>3493</v>
      </c>
      <c r="H2404" s="566" t="s">
        <v>857</v>
      </c>
      <c r="I2404" s="239" t="str">
        <f>IF(ISBLANK(global!I881),"",global!I881)</f>
        <v/>
      </c>
      <c r="K2404" s="262" t="s">
        <v>4241</v>
      </c>
      <c r="O2404" s="262" t="s">
        <v>4241</v>
      </c>
    </row>
    <row r="2405" spans="1:15" ht="12.75" customHeight="1" x14ac:dyDescent="0.3">
      <c r="A2405" s="566"/>
      <c r="B2405" s="566"/>
      <c r="C2405" s="566" t="s">
        <v>1625</v>
      </c>
      <c r="D2405" s="566"/>
      <c r="E2405" s="566"/>
      <c r="F2405" s="566"/>
      <c r="G2405" s="566" t="s">
        <v>3494</v>
      </c>
      <c r="H2405" s="566" t="s">
        <v>888</v>
      </c>
      <c r="I2405" s="239" t="str">
        <f>IF(ISBLANK(global!I882),"",global!I882)</f>
        <v/>
      </c>
      <c r="K2405" s="262" t="s">
        <v>4241</v>
      </c>
      <c r="O2405" s="262" t="s">
        <v>4241</v>
      </c>
    </row>
    <row r="2406" spans="1:15" ht="12.75" customHeight="1" x14ac:dyDescent="0.3">
      <c r="A2406" t="s">
        <v>3495</v>
      </c>
      <c r="G2406"/>
      <c r="H2406"/>
      <c r="I2406" s="239" t="str">
        <f>IF(ISBLANK(global!I883),"",global!I883)</f>
        <v/>
      </c>
      <c r="K2406" s="262" t="s">
        <v>4241</v>
      </c>
      <c r="O2406" s="262" t="s">
        <v>4241</v>
      </c>
    </row>
    <row r="2407" spans="1:15" ht="12.75" customHeight="1" x14ac:dyDescent="0.3">
      <c r="A2407" s="566" t="s">
        <v>1628</v>
      </c>
      <c r="B2407" s="566"/>
      <c r="C2407" s="566"/>
      <c r="D2407" s="566"/>
      <c r="E2407" s="566"/>
      <c r="F2407" s="566"/>
      <c r="G2407" s="567" t="s">
        <v>3496</v>
      </c>
      <c r="H2407" s="567" t="s">
        <v>335</v>
      </c>
      <c r="I2407" s="239" t="str">
        <f>IF(ISBLANK(global!I884),"",global!I884)</f>
        <v/>
      </c>
      <c r="K2407" s="262" t="s">
        <v>4241</v>
      </c>
      <c r="O2407" s="262" t="s">
        <v>4241</v>
      </c>
    </row>
    <row r="2408" spans="1:15" ht="12.75" customHeight="1" x14ac:dyDescent="0.3">
      <c r="A2408" s="566"/>
      <c r="B2408" s="566" t="s">
        <v>1631</v>
      </c>
      <c r="C2408" s="566"/>
      <c r="D2408" s="566"/>
      <c r="E2408" s="566"/>
      <c r="F2408" s="566"/>
      <c r="G2408" s="567" t="s">
        <v>3497</v>
      </c>
      <c r="H2408" s="567" t="s">
        <v>1633</v>
      </c>
      <c r="I2408" s="239" t="str">
        <f>IF(ISBLANK(global!I885),"",global!I885)</f>
        <v/>
      </c>
      <c r="K2408" s="262" t="s">
        <v>4241</v>
      </c>
      <c r="O2408" s="262" t="s">
        <v>4241</v>
      </c>
    </row>
    <row r="2409" spans="1:15" ht="12.75" customHeight="1" x14ac:dyDescent="0.3">
      <c r="A2409" s="566"/>
      <c r="B2409" s="566" t="s">
        <v>1634</v>
      </c>
      <c r="C2409" s="566"/>
      <c r="D2409" s="566"/>
      <c r="E2409" s="566"/>
      <c r="F2409" s="566"/>
      <c r="G2409" s="567" t="s">
        <v>3498</v>
      </c>
      <c r="H2409" s="567" t="s">
        <v>291</v>
      </c>
      <c r="I2409" s="239" t="str">
        <f>IF(ISBLANK(global!I886),"",global!I886)</f>
        <v/>
      </c>
      <c r="K2409" s="262" t="s">
        <v>4241</v>
      </c>
      <c r="O2409" s="262" t="s">
        <v>4241</v>
      </c>
    </row>
    <row r="2410" spans="1:15" ht="12.75" customHeight="1" x14ac:dyDescent="0.3">
      <c r="A2410" s="566"/>
      <c r="B2410" s="566" t="s">
        <v>1637</v>
      </c>
      <c r="C2410" s="566"/>
      <c r="D2410" s="566"/>
      <c r="E2410" s="566"/>
      <c r="F2410" s="566"/>
      <c r="G2410" s="567" t="s">
        <v>3499</v>
      </c>
      <c r="H2410" s="567" t="s">
        <v>866</v>
      </c>
      <c r="I2410" s="239" t="str">
        <f>IF(ISBLANK(global!I887),"",global!I887)</f>
        <v/>
      </c>
      <c r="K2410" s="262" t="s">
        <v>4241</v>
      </c>
      <c r="O2410" s="262" t="s">
        <v>4241</v>
      </c>
    </row>
    <row r="2411" spans="1:15" ht="12.75" customHeight="1" x14ac:dyDescent="0.3">
      <c r="A2411" s="566"/>
      <c r="B2411" s="566" t="s">
        <v>1639</v>
      </c>
      <c r="C2411" s="566"/>
      <c r="D2411" s="566"/>
      <c r="E2411" s="566"/>
      <c r="F2411" s="566"/>
      <c r="G2411" s="567" t="s">
        <v>3500</v>
      </c>
      <c r="H2411" s="567" t="s">
        <v>291</v>
      </c>
      <c r="I2411" s="239" t="str">
        <f>IF(ISBLANK(global!I888),"",global!I888)</f>
        <v/>
      </c>
      <c r="K2411" s="262" t="s">
        <v>4241</v>
      </c>
      <c r="O2411" s="262" t="s">
        <v>4241</v>
      </c>
    </row>
    <row r="2412" spans="1:15" ht="12.75" customHeight="1" x14ac:dyDescent="0.3">
      <c r="A2412" s="566"/>
      <c r="B2412" s="566"/>
      <c r="C2412" s="566" t="s">
        <v>1641</v>
      </c>
      <c r="D2412" s="566"/>
      <c r="E2412" s="566"/>
      <c r="F2412" s="566"/>
      <c r="G2412" s="567" t="s">
        <v>3501</v>
      </c>
      <c r="H2412" s="567" t="s">
        <v>291</v>
      </c>
      <c r="I2412" s="239" t="str">
        <f>IF(ISBLANK(global!I889),"",global!I889)</f>
        <v/>
      </c>
      <c r="K2412" s="262" t="s">
        <v>4241</v>
      </c>
      <c r="O2412" s="262" t="s">
        <v>4241</v>
      </c>
    </row>
    <row r="2413" spans="1:15" ht="12.75" customHeight="1" x14ac:dyDescent="0.3">
      <c r="A2413" s="566"/>
      <c r="B2413" s="566"/>
      <c r="C2413" s="566" t="s">
        <v>1643</v>
      </c>
      <c r="D2413" s="566"/>
      <c r="E2413" s="566"/>
      <c r="F2413" s="566"/>
      <c r="G2413" s="567" t="s">
        <v>3502</v>
      </c>
      <c r="H2413" s="567" t="s">
        <v>291</v>
      </c>
      <c r="I2413" s="239" t="str">
        <f>IF(ISBLANK(global!I890),"",global!I890)</f>
        <v/>
      </c>
      <c r="K2413" s="262" t="s">
        <v>4241</v>
      </c>
      <c r="O2413" s="262" t="s">
        <v>4241</v>
      </c>
    </row>
    <row r="2414" spans="1:15" ht="12.75" customHeight="1" x14ac:dyDescent="0.3">
      <c r="A2414" s="566"/>
      <c r="B2414" s="566"/>
      <c r="C2414" s="566" t="s">
        <v>1645</v>
      </c>
      <c r="D2414" s="566"/>
      <c r="E2414" s="566"/>
      <c r="F2414" s="566"/>
      <c r="G2414" s="567" t="s">
        <v>3503</v>
      </c>
      <c r="H2414" s="567" t="s">
        <v>291</v>
      </c>
      <c r="I2414" s="239" t="str">
        <f>IF(ISBLANK(global!I891),"",global!I891)</f>
        <v/>
      </c>
      <c r="K2414" s="262" t="s">
        <v>4241</v>
      </c>
      <c r="O2414" s="262" t="s">
        <v>4241</v>
      </c>
    </row>
    <row r="2415" spans="1:15" ht="12.75" customHeight="1" x14ac:dyDescent="0.3">
      <c r="A2415" s="566"/>
      <c r="B2415" s="566"/>
      <c r="C2415" s="566" t="s">
        <v>1647</v>
      </c>
      <c r="D2415" s="566"/>
      <c r="E2415" s="566"/>
      <c r="F2415" s="566"/>
      <c r="G2415" s="567" t="s">
        <v>3504</v>
      </c>
      <c r="H2415" s="567" t="s">
        <v>291</v>
      </c>
      <c r="I2415" s="239" t="str">
        <f>IF(ISBLANK(global!I892),"",global!I892)</f>
        <v/>
      </c>
      <c r="K2415" s="262" t="s">
        <v>4241</v>
      </c>
      <c r="O2415" s="262" t="s">
        <v>4241</v>
      </c>
    </row>
    <row r="2416" spans="1:15" ht="12.75" customHeight="1" x14ac:dyDescent="0.3">
      <c r="A2416" s="566" t="s">
        <v>1649</v>
      </c>
      <c r="B2416" s="566"/>
      <c r="C2416" s="566"/>
      <c r="D2416" s="566"/>
      <c r="E2416" s="566"/>
      <c r="F2416" s="566"/>
      <c r="G2416" s="567" t="s">
        <v>3505</v>
      </c>
      <c r="H2416" s="567" t="s">
        <v>335</v>
      </c>
      <c r="I2416" s="239" t="str">
        <f>IF(ISBLANK(global!I893),"",global!I893)</f>
        <v/>
      </c>
      <c r="K2416" s="262" t="s">
        <v>4241</v>
      </c>
      <c r="O2416" s="262" t="s">
        <v>4241</v>
      </c>
    </row>
    <row r="2417" spans="1:15" ht="12.75" customHeight="1" x14ac:dyDescent="0.3">
      <c r="A2417" s="566"/>
      <c r="B2417" s="566" t="s">
        <v>1651</v>
      </c>
      <c r="C2417" s="566"/>
      <c r="D2417" s="566"/>
      <c r="E2417" s="566"/>
      <c r="F2417" s="566"/>
      <c r="G2417" s="567" t="s">
        <v>3506</v>
      </c>
      <c r="H2417" s="567" t="s">
        <v>291</v>
      </c>
      <c r="I2417" s="239" t="str">
        <f>IF(ISBLANK(global!I894),"",global!I894)</f>
        <v/>
      </c>
      <c r="K2417" s="262" t="s">
        <v>4241</v>
      </c>
      <c r="O2417" s="262" t="s">
        <v>4241</v>
      </c>
    </row>
    <row r="2418" spans="1:15" ht="12.75" customHeight="1" x14ac:dyDescent="0.3">
      <c r="A2418" s="566"/>
      <c r="B2418" s="566" t="s">
        <v>1653</v>
      </c>
      <c r="C2418" s="566"/>
      <c r="D2418" s="566"/>
      <c r="E2418" s="566"/>
      <c r="F2418" s="566"/>
      <c r="G2418" s="567" t="s">
        <v>3507</v>
      </c>
      <c r="H2418" s="567"/>
      <c r="I2418" s="239" t="str">
        <f>IF(ISBLANK(global!I895),"",global!I895)</f>
        <v/>
      </c>
      <c r="K2418" s="262" t="s">
        <v>4241</v>
      </c>
      <c r="O2418" s="262" t="s">
        <v>4241</v>
      </c>
    </row>
    <row r="2419" spans="1:15" ht="12.75" customHeight="1" x14ac:dyDescent="0.3">
      <c r="A2419" s="566"/>
      <c r="B2419" s="566" t="s">
        <v>1631</v>
      </c>
      <c r="C2419" s="566"/>
      <c r="D2419" s="566"/>
      <c r="E2419" s="566"/>
      <c r="F2419" s="566"/>
      <c r="G2419" s="567" t="s">
        <v>3508</v>
      </c>
      <c r="H2419" s="567" t="s">
        <v>1633</v>
      </c>
      <c r="I2419" s="239" t="str">
        <f>IF(ISBLANK(global!I896),"",global!I896)</f>
        <v/>
      </c>
      <c r="K2419" s="262" t="s">
        <v>4241</v>
      </c>
      <c r="O2419" s="262" t="s">
        <v>4241</v>
      </c>
    </row>
    <row r="2420" spans="1:15" ht="12.75" customHeight="1" x14ac:dyDescent="0.3">
      <c r="A2420" s="566"/>
      <c r="B2420" s="566" t="s">
        <v>1656</v>
      </c>
      <c r="C2420" s="566"/>
      <c r="D2420" s="566"/>
      <c r="E2420" s="566"/>
      <c r="F2420" s="566"/>
      <c r="G2420" s="567" t="s">
        <v>3509</v>
      </c>
      <c r="H2420" s="567" t="s">
        <v>291</v>
      </c>
      <c r="I2420" s="239" t="str">
        <f>IF(ISBLANK(global!I897),"",global!I897)</f>
        <v/>
      </c>
      <c r="K2420" s="262" t="s">
        <v>4241</v>
      </c>
      <c r="O2420" s="262" t="s">
        <v>4241</v>
      </c>
    </row>
    <row r="2421" spans="1:15" ht="12.75" customHeight="1" x14ac:dyDescent="0.3">
      <c r="A2421" s="566"/>
      <c r="B2421" s="566" t="s">
        <v>1637</v>
      </c>
      <c r="C2421" s="566"/>
      <c r="D2421" s="566"/>
      <c r="E2421" s="566"/>
      <c r="F2421" s="566"/>
      <c r="G2421" s="567" t="s">
        <v>3510</v>
      </c>
      <c r="H2421" s="567" t="s">
        <v>866</v>
      </c>
      <c r="I2421" s="239" t="str">
        <f>IF(ISBLANK(global!I898),"",global!I898)</f>
        <v/>
      </c>
      <c r="K2421" s="262" t="s">
        <v>4241</v>
      </c>
      <c r="O2421" s="262" t="s">
        <v>4241</v>
      </c>
    </row>
    <row r="2422" spans="1:15" ht="12.75" customHeight="1" x14ac:dyDescent="0.3">
      <c r="A2422" s="566"/>
      <c r="B2422" s="566" t="s">
        <v>1639</v>
      </c>
      <c r="C2422" s="566"/>
      <c r="D2422" s="566"/>
      <c r="E2422" s="566"/>
      <c r="F2422" s="566"/>
      <c r="G2422" s="567" t="s">
        <v>3511</v>
      </c>
      <c r="H2422" s="567" t="s">
        <v>291</v>
      </c>
      <c r="I2422" s="239" t="str">
        <f>IF(ISBLANK(global!I899),"",global!I899)</f>
        <v/>
      </c>
      <c r="K2422" s="262" t="s">
        <v>4241</v>
      </c>
      <c r="O2422" s="262" t="s">
        <v>4241</v>
      </c>
    </row>
    <row r="2423" spans="1:15" ht="12.75" customHeight="1" x14ac:dyDescent="0.3">
      <c r="A2423" s="566"/>
      <c r="B2423" s="566"/>
      <c r="C2423" s="566" t="s">
        <v>1641</v>
      </c>
      <c r="D2423" s="566"/>
      <c r="E2423" s="566"/>
      <c r="F2423" s="566"/>
      <c r="G2423" s="567" t="s">
        <v>3512</v>
      </c>
      <c r="H2423" s="567" t="s">
        <v>291</v>
      </c>
      <c r="I2423" s="239" t="str">
        <f>IF(ISBLANK(global!I900),"",global!I900)</f>
        <v/>
      </c>
      <c r="K2423" s="262" t="s">
        <v>4241</v>
      </c>
      <c r="O2423" s="262" t="s">
        <v>4241</v>
      </c>
    </row>
    <row r="2424" spans="1:15" ht="12.75" customHeight="1" x14ac:dyDescent="0.3">
      <c r="A2424" s="566"/>
      <c r="B2424" s="566"/>
      <c r="C2424" s="566" t="s">
        <v>1643</v>
      </c>
      <c r="D2424" s="566"/>
      <c r="E2424" s="566"/>
      <c r="F2424" s="566"/>
      <c r="G2424" s="567" t="s">
        <v>3513</v>
      </c>
      <c r="H2424" s="567" t="s">
        <v>291</v>
      </c>
      <c r="I2424" s="239" t="str">
        <f>IF(ISBLANK(global!I901),"",global!I901)</f>
        <v/>
      </c>
      <c r="K2424" s="262" t="s">
        <v>4241</v>
      </c>
      <c r="O2424" s="262" t="s">
        <v>4241</v>
      </c>
    </row>
    <row r="2425" spans="1:15" ht="12.75" customHeight="1" x14ac:dyDescent="0.3">
      <c r="A2425" s="566"/>
      <c r="B2425" s="566"/>
      <c r="C2425" s="566" t="s">
        <v>1645</v>
      </c>
      <c r="D2425" s="566"/>
      <c r="E2425" s="566"/>
      <c r="F2425" s="566"/>
      <c r="G2425" s="567" t="s">
        <v>3514</v>
      </c>
      <c r="H2425" s="567" t="s">
        <v>291</v>
      </c>
      <c r="I2425" s="239" t="str">
        <f>IF(ISBLANK(global!I902),"",global!I902)</f>
        <v/>
      </c>
      <c r="K2425" s="262" t="s">
        <v>4241</v>
      </c>
      <c r="O2425" s="262" t="s">
        <v>4241</v>
      </c>
    </row>
    <row r="2426" spans="1:15" ht="12.75" customHeight="1" x14ac:dyDescent="0.3">
      <c r="A2426" s="566"/>
      <c r="B2426" s="566"/>
      <c r="C2426" s="566" t="s">
        <v>1647</v>
      </c>
      <c r="D2426" s="566"/>
      <c r="E2426" s="566"/>
      <c r="F2426" s="566"/>
      <c r="G2426" s="567" t="s">
        <v>3515</v>
      </c>
      <c r="H2426" s="567" t="s">
        <v>291</v>
      </c>
      <c r="I2426" s="239" t="str">
        <f>IF(ISBLANK(global!I903),"",global!I903)</f>
        <v/>
      </c>
      <c r="K2426" s="262" t="s">
        <v>4241</v>
      </c>
      <c r="O2426" s="262" t="s">
        <v>4241</v>
      </c>
    </row>
    <row r="2427" spans="1:15" ht="12.75" customHeight="1" x14ac:dyDescent="0.3">
      <c r="A2427" s="566" t="s">
        <v>1664</v>
      </c>
      <c r="B2427" s="566"/>
      <c r="C2427" s="566"/>
      <c r="D2427" s="566"/>
      <c r="E2427" s="566"/>
      <c r="F2427" s="566"/>
      <c r="G2427" s="567" t="s">
        <v>3516</v>
      </c>
      <c r="H2427" s="567" t="s">
        <v>335</v>
      </c>
      <c r="I2427" s="239" t="str">
        <f>IF(ISBLANK(global!I904),"",global!I904)</f>
        <v/>
      </c>
      <c r="K2427" s="262" t="s">
        <v>4241</v>
      </c>
      <c r="O2427" s="262" t="s">
        <v>4241</v>
      </c>
    </row>
    <row r="2428" spans="1:15" ht="12.75" customHeight="1" x14ac:dyDescent="0.3">
      <c r="A2428" s="566" t="s">
        <v>2862</v>
      </c>
      <c r="B2428" s="566"/>
      <c r="C2428" s="566"/>
      <c r="D2428" s="566"/>
      <c r="E2428" s="566"/>
      <c r="F2428" s="566"/>
      <c r="G2428" s="567" t="s">
        <v>3517</v>
      </c>
      <c r="H2428" s="567" t="s">
        <v>335</v>
      </c>
      <c r="I2428" s="239" t="str">
        <f>IF(ISBLANK(global!I905),"",global!I905)</f>
        <v/>
      </c>
      <c r="K2428" s="262" t="s">
        <v>4241</v>
      </c>
      <c r="O2428" s="262" t="s">
        <v>4241</v>
      </c>
    </row>
    <row r="2429" spans="1:15" ht="12.75" customHeight="1" x14ac:dyDescent="0.3">
      <c r="A2429" s="566"/>
      <c r="B2429" s="566" t="s">
        <v>1669</v>
      </c>
      <c r="C2429" s="566"/>
      <c r="D2429" s="566"/>
      <c r="E2429" s="566"/>
      <c r="F2429" s="566"/>
      <c r="G2429" s="567" t="s">
        <v>3518</v>
      </c>
      <c r="H2429" s="567" t="s">
        <v>866</v>
      </c>
      <c r="I2429" s="239" t="str">
        <f>IF(ISBLANK(global!I906),"",global!I906)</f>
        <v/>
      </c>
      <c r="K2429" s="262" t="s">
        <v>4241</v>
      </c>
      <c r="O2429" s="262" t="s">
        <v>4241</v>
      </c>
    </row>
    <row r="2430" spans="1:15" ht="12.75" customHeight="1" x14ac:dyDescent="0.3">
      <c r="A2430" s="566"/>
      <c r="B2430" s="566" t="s">
        <v>1671</v>
      </c>
      <c r="C2430" s="566"/>
      <c r="D2430" s="566"/>
      <c r="E2430" s="566"/>
      <c r="F2430" s="566"/>
      <c r="G2430" s="567" t="s">
        <v>3519</v>
      </c>
      <c r="H2430" s="567" t="s">
        <v>1673</v>
      </c>
      <c r="I2430" s="239" t="str">
        <f>IF(ISBLANK(global!I907),"",global!I907)</f>
        <v/>
      </c>
      <c r="K2430" s="262" t="s">
        <v>4241</v>
      </c>
      <c r="O2430" s="262" t="s">
        <v>4241</v>
      </c>
    </row>
    <row r="2431" spans="1:15" ht="12.75" customHeight="1" x14ac:dyDescent="0.3">
      <c r="A2431" s="566"/>
      <c r="B2431" s="566" t="s">
        <v>1676</v>
      </c>
      <c r="C2431" s="566"/>
      <c r="D2431" s="566"/>
      <c r="E2431" s="566"/>
      <c r="F2431" s="566"/>
      <c r="G2431" s="567" t="s">
        <v>3520</v>
      </c>
      <c r="H2431" s="567" t="s">
        <v>1673</v>
      </c>
      <c r="I2431" s="239" t="str">
        <f>IF(ISBLANK(global!I908),"",global!I908)</f>
        <v/>
      </c>
      <c r="K2431" s="262" t="s">
        <v>4241</v>
      </c>
      <c r="O2431" s="262" t="s">
        <v>4241</v>
      </c>
    </row>
    <row r="2432" spans="1:15" ht="12.75" customHeight="1" x14ac:dyDescent="0.3">
      <c r="A2432" s="566"/>
      <c r="B2432" s="566"/>
      <c r="C2432" s="566" t="s">
        <v>1679</v>
      </c>
      <c r="D2432" s="566"/>
      <c r="E2432" s="566"/>
      <c r="F2432" s="566"/>
      <c r="G2432" s="567" t="s">
        <v>3521</v>
      </c>
      <c r="H2432" s="567" t="s">
        <v>866</v>
      </c>
      <c r="I2432" s="239" t="str">
        <f>IF(ISBLANK(global!I909),"",global!I909)</f>
        <v/>
      </c>
      <c r="K2432" s="262" t="s">
        <v>4241</v>
      </c>
      <c r="O2432" s="262" t="s">
        <v>4241</v>
      </c>
    </row>
    <row r="2433" spans="1:15" ht="12.75" customHeight="1" x14ac:dyDescent="0.3">
      <c r="A2433" s="566"/>
      <c r="B2433" s="566"/>
      <c r="C2433" s="566" t="s">
        <v>1641</v>
      </c>
      <c r="D2433" s="566"/>
      <c r="E2433" s="566"/>
      <c r="F2433" s="566"/>
      <c r="G2433" s="567" t="s">
        <v>3522</v>
      </c>
      <c r="H2433" s="567" t="s">
        <v>291</v>
      </c>
      <c r="I2433" s="239" t="str">
        <f>IF(ISBLANK(global!I910),"",global!I910)</f>
        <v/>
      </c>
      <c r="K2433" s="262" t="s">
        <v>4241</v>
      </c>
      <c r="O2433" s="262" t="s">
        <v>4241</v>
      </c>
    </row>
    <row r="2434" spans="1:15" ht="12.75" customHeight="1" x14ac:dyDescent="0.3">
      <c r="A2434" s="566"/>
      <c r="B2434" s="566"/>
      <c r="C2434" s="566" t="s">
        <v>1643</v>
      </c>
      <c r="D2434" s="566"/>
      <c r="E2434" s="566"/>
      <c r="F2434" s="566"/>
      <c r="G2434" s="567" t="s">
        <v>3523</v>
      </c>
      <c r="H2434" s="567" t="s">
        <v>291</v>
      </c>
      <c r="I2434" s="239" t="str">
        <f>IF(ISBLANK(global!I911),"",global!I911)</f>
        <v/>
      </c>
      <c r="K2434" s="262" t="s">
        <v>4241</v>
      </c>
      <c r="O2434" s="262" t="s">
        <v>4241</v>
      </c>
    </row>
    <row r="2435" spans="1:15" ht="12.75" customHeight="1" x14ac:dyDescent="0.3">
      <c r="A2435" s="566"/>
      <c r="B2435" s="566"/>
      <c r="C2435" s="566"/>
      <c r="D2435" s="566" t="s">
        <v>1686</v>
      </c>
      <c r="E2435" s="566"/>
      <c r="F2435" s="566"/>
      <c r="G2435" s="567" t="s">
        <v>3524</v>
      </c>
      <c r="H2435" s="567" t="s">
        <v>813</v>
      </c>
      <c r="I2435" s="239" t="str">
        <f>IF(ISBLANK(global!I912),"",global!I912)</f>
        <v/>
      </c>
      <c r="K2435" s="262" t="s">
        <v>4241</v>
      </c>
      <c r="O2435" s="262" t="s">
        <v>4241</v>
      </c>
    </row>
    <row r="2436" spans="1:15" ht="12.75" customHeight="1" x14ac:dyDescent="0.3">
      <c r="A2436" s="566"/>
      <c r="B2436" s="566"/>
      <c r="C2436" s="566"/>
      <c r="D2436" s="566" t="s">
        <v>1688</v>
      </c>
      <c r="E2436" s="566"/>
      <c r="F2436" s="566"/>
      <c r="G2436" s="567" t="s">
        <v>3525</v>
      </c>
      <c r="H2436" s="567" t="s">
        <v>813</v>
      </c>
      <c r="I2436" s="239" t="str">
        <f>IF(ISBLANK(global!I913),"",global!I913)</f>
        <v/>
      </c>
      <c r="K2436" s="262" t="s">
        <v>4241</v>
      </c>
      <c r="O2436" s="262" t="s">
        <v>4241</v>
      </c>
    </row>
    <row r="2437" spans="1:15" ht="12.75" customHeight="1" x14ac:dyDescent="0.3">
      <c r="A2437" s="566"/>
      <c r="B2437" s="566"/>
      <c r="C2437" s="566"/>
      <c r="D2437" s="566" t="s">
        <v>1690</v>
      </c>
      <c r="E2437" s="566"/>
      <c r="F2437" s="566"/>
      <c r="G2437" s="567" t="s">
        <v>3526</v>
      </c>
      <c r="H2437" s="567" t="s">
        <v>291</v>
      </c>
      <c r="I2437" s="239" t="str">
        <f>IF(ISBLANK(global!I914),"",global!I914)</f>
        <v/>
      </c>
      <c r="K2437" s="262" t="s">
        <v>4241</v>
      </c>
      <c r="O2437" s="262" t="s">
        <v>4241</v>
      </c>
    </row>
    <row r="2438" spans="1:15" ht="12.75" customHeight="1" x14ac:dyDescent="0.3">
      <c r="A2438" s="566"/>
      <c r="B2438" s="566"/>
      <c r="C2438" s="566" t="s">
        <v>1645</v>
      </c>
      <c r="D2438" s="566"/>
      <c r="E2438" s="566"/>
      <c r="F2438" s="566"/>
      <c r="G2438" s="567" t="s">
        <v>3527</v>
      </c>
      <c r="H2438" s="567" t="s">
        <v>291</v>
      </c>
      <c r="I2438" s="239" t="str">
        <f>IF(ISBLANK(global!I915),"",global!I915)</f>
        <v/>
      </c>
      <c r="K2438" s="262" t="s">
        <v>4241</v>
      </c>
      <c r="O2438" s="262" t="s">
        <v>4241</v>
      </c>
    </row>
    <row r="2439" spans="1:15" ht="12.75" customHeight="1" x14ac:dyDescent="0.3">
      <c r="A2439" s="566" t="s">
        <v>2874</v>
      </c>
      <c r="B2439" s="566"/>
      <c r="C2439" s="566"/>
      <c r="D2439" s="566"/>
      <c r="E2439" s="566"/>
      <c r="F2439" s="566"/>
      <c r="G2439" s="567" t="s">
        <v>3528</v>
      </c>
      <c r="H2439" s="567" t="s">
        <v>335</v>
      </c>
      <c r="I2439" s="239" t="str">
        <f>IF(ISBLANK(global!I916),"",global!I916)</f>
        <v/>
      </c>
      <c r="K2439" s="262" t="s">
        <v>4241</v>
      </c>
      <c r="O2439" s="262" t="s">
        <v>4241</v>
      </c>
    </row>
    <row r="2440" spans="1:15" ht="12.75" customHeight="1" x14ac:dyDescent="0.3">
      <c r="A2440" s="566"/>
      <c r="B2440" s="566" t="s">
        <v>1669</v>
      </c>
      <c r="C2440" s="566"/>
      <c r="D2440" s="566"/>
      <c r="E2440" s="566"/>
      <c r="F2440" s="566"/>
      <c r="G2440" s="567" t="s">
        <v>3529</v>
      </c>
      <c r="H2440" s="567" t="s">
        <v>866</v>
      </c>
      <c r="I2440" s="239" t="str">
        <f>IF(ISBLANK(global!I917),"",global!I917)</f>
        <v/>
      </c>
      <c r="K2440" s="262" t="s">
        <v>4241</v>
      </c>
      <c r="O2440" s="262" t="s">
        <v>4241</v>
      </c>
    </row>
    <row r="2441" spans="1:15" ht="12.75" customHeight="1" x14ac:dyDescent="0.3">
      <c r="A2441" s="566"/>
      <c r="B2441" s="566" t="s">
        <v>1676</v>
      </c>
      <c r="C2441" s="566"/>
      <c r="D2441" s="566"/>
      <c r="E2441" s="566"/>
      <c r="F2441" s="566"/>
      <c r="G2441" s="567" t="s">
        <v>3530</v>
      </c>
      <c r="H2441" s="567" t="s">
        <v>1673</v>
      </c>
      <c r="I2441" s="239" t="str">
        <f>IF(ISBLANK(global!I918),"",global!I918)</f>
        <v/>
      </c>
      <c r="K2441" s="262" t="s">
        <v>4241</v>
      </c>
      <c r="O2441" s="262" t="s">
        <v>4241</v>
      </c>
    </row>
    <row r="2442" spans="1:15" ht="12.75" customHeight="1" x14ac:dyDescent="0.3">
      <c r="A2442" s="566"/>
      <c r="B2442" s="566"/>
      <c r="C2442" s="566" t="s">
        <v>1641</v>
      </c>
      <c r="D2442" s="566"/>
      <c r="E2442" s="566"/>
      <c r="F2442" s="566"/>
      <c r="G2442" s="567" t="s">
        <v>3531</v>
      </c>
      <c r="H2442" s="567" t="s">
        <v>291</v>
      </c>
      <c r="I2442" s="239" t="str">
        <f>IF(ISBLANK(global!I919),"",global!I919)</f>
        <v/>
      </c>
      <c r="K2442" s="262" t="s">
        <v>4241</v>
      </c>
      <c r="O2442" s="262" t="s">
        <v>4241</v>
      </c>
    </row>
    <row r="2443" spans="1:15" ht="12.75" customHeight="1" x14ac:dyDescent="0.3">
      <c r="A2443" s="566"/>
      <c r="B2443" s="566"/>
      <c r="C2443" s="566" t="s">
        <v>1643</v>
      </c>
      <c r="D2443" s="566"/>
      <c r="E2443" s="566"/>
      <c r="F2443" s="566"/>
      <c r="G2443" s="567" t="s">
        <v>3532</v>
      </c>
      <c r="H2443" s="567" t="s">
        <v>291</v>
      </c>
      <c r="I2443" s="239" t="str">
        <f>IF(ISBLANK(global!I920),"",global!I920)</f>
        <v/>
      </c>
      <c r="K2443" s="262" t="s">
        <v>4241</v>
      </c>
      <c r="O2443" s="262" t="s">
        <v>4241</v>
      </c>
    </row>
    <row r="2444" spans="1:15" ht="12.75" customHeight="1" x14ac:dyDescent="0.3">
      <c r="A2444" s="566"/>
      <c r="B2444" s="566"/>
      <c r="C2444" s="566" t="s">
        <v>1645</v>
      </c>
      <c r="D2444" s="566"/>
      <c r="E2444" s="566"/>
      <c r="F2444" s="566"/>
      <c r="G2444" s="567" t="s">
        <v>3533</v>
      </c>
      <c r="H2444" s="567" t="s">
        <v>291</v>
      </c>
      <c r="I2444" s="239" t="str">
        <f>IF(ISBLANK(global!I921),"",global!I921)</f>
        <v/>
      </c>
      <c r="K2444" s="262" t="s">
        <v>4241</v>
      </c>
      <c r="O2444" s="262" t="s">
        <v>4241</v>
      </c>
    </row>
    <row r="2445" spans="1:15" ht="12.75" customHeight="1" x14ac:dyDescent="0.3">
      <c r="A2445" s="566" t="s">
        <v>2881</v>
      </c>
      <c r="B2445" s="566"/>
      <c r="C2445" s="566"/>
      <c r="D2445" s="566"/>
      <c r="E2445" s="566"/>
      <c r="F2445" s="566"/>
      <c r="G2445" s="567" t="s">
        <v>3534</v>
      </c>
      <c r="H2445" s="567" t="s">
        <v>335</v>
      </c>
      <c r="I2445" s="239" t="str">
        <f>IF(ISBLANK(global!I922),"",global!I922)</f>
        <v/>
      </c>
      <c r="K2445" s="262" t="s">
        <v>4241</v>
      </c>
      <c r="O2445" s="262" t="s">
        <v>4241</v>
      </c>
    </row>
    <row r="2446" spans="1:15" ht="12.75" customHeight="1" x14ac:dyDescent="0.3">
      <c r="A2446" s="566" t="s">
        <v>2883</v>
      </c>
      <c r="B2446" s="566"/>
      <c r="C2446" s="566"/>
      <c r="D2446" s="566"/>
      <c r="E2446" s="566"/>
      <c r="F2446" s="566"/>
      <c r="G2446" s="567" t="s">
        <v>3535</v>
      </c>
      <c r="H2446" s="567" t="s">
        <v>335</v>
      </c>
      <c r="I2446" s="239" t="str">
        <f>IF(ISBLANK(global!I923),"",global!I923)</f>
        <v/>
      </c>
      <c r="K2446" s="262" t="s">
        <v>4241</v>
      </c>
      <c r="O2446" s="262" t="s">
        <v>4241</v>
      </c>
    </row>
    <row r="2447" spans="1:15" ht="12.75" customHeight="1" x14ac:dyDescent="0.3">
      <c r="A2447" s="566"/>
      <c r="B2447" s="566" t="s">
        <v>1669</v>
      </c>
      <c r="C2447" s="566"/>
      <c r="D2447" s="566"/>
      <c r="E2447" s="566"/>
      <c r="F2447" s="566"/>
      <c r="G2447" s="567" t="s">
        <v>3536</v>
      </c>
      <c r="H2447" s="567" t="s">
        <v>866</v>
      </c>
      <c r="I2447" s="239" t="str">
        <f>IF(ISBLANK(global!I924),"",global!I924)</f>
        <v/>
      </c>
      <c r="K2447" s="262" t="s">
        <v>4241</v>
      </c>
      <c r="O2447" s="262" t="s">
        <v>4241</v>
      </c>
    </row>
    <row r="2448" spans="1:15" ht="12.75" customHeight="1" x14ac:dyDescent="0.3">
      <c r="A2448" s="566"/>
      <c r="B2448" s="566"/>
      <c r="C2448" s="566" t="s">
        <v>1765</v>
      </c>
      <c r="D2448" s="566"/>
      <c r="E2448" s="566"/>
      <c r="F2448" s="566"/>
      <c r="G2448" s="566" t="s">
        <v>3537</v>
      </c>
      <c r="H2448" s="567" t="s">
        <v>1673</v>
      </c>
      <c r="I2448" s="239" t="str">
        <f>IF(ISBLANK(global!I925),"",global!I925)</f>
        <v/>
      </c>
      <c r="K2448" s="262" t="s">
        <v>4241</v>
      </c>
      <c r="O2448" s="262" t="s">
        <v>4241</v>
      </c>
    </row>
    <row r="2449" spans="1:15" ht="12.75" customHeight="1" x14ac:dyDescent="0.3">
      <c r="A2449" s="566"/>
      <c r="B2449" s="566"/>
      <c r="C2449" s="566" t="s">
        <v>2887</v>
      </c>
      <c r="D2449" s="566"/>
      <c r="E2449" s="566"/>
      <c r="F2449" s="566"/>
      <c r="G2449" s="567" t="s">
        <v>3538</v>
      </c>
      <c r="H2449" s="567" t="s">
        <v>1673</v>
      </c>
      <c r="I2449" s="239" t="str">
        <f>IF(ISBLANK(global!I926),"",global!I926)</f>
        <v/>
      </c>
      <c r="K2449" s="262" t="s">
        <v>4241</v>
      </c>
      <c r="O2449" s="262" t="s">
        <v>4241</v>
      </c>
    </row>
    <row r="2450" spans="1:15" ht="12.75" customHeight="1" x14ac:dyDescent="0.3">
      <c r="A2450" s="566"/>
      <c r="B2450" s="566"/>
      <c r="C2450" s="566" t="s">
        <v>1753</v>
      </c>
      <c r="D2450" s="566"/>
      <c r="E2450" s="566"/>
      <c r="F2450" s="566"/>
      <c r="G2450" s="567" t="s">
        <v>3539</v>
      </c>
      <c r="H2450" s="567" t="s">
        <v>866</v>
      </c>
      <c r="I2450" s="239" t="str">
        <f>IF(ISBLANK(global!I927),"",global!I927)</f>
        <v/>
      </c>
      <c r="K2450" s="262" t="s">
        <v>4241</v>
      </c>
      <c r="O2450" s="262" t="s">
        <v>4241</v>
      </c>
    </row>
    <row r="2451" spans="1:15" ht="12.75" customHeight="1" x14ac:dyDescent="0.3">
      <c r="A2451" s="566"/>
      <c r="B2451" s="566"/>
      <c r="C2451" s="566"/>
      <c r="D2451" s="566" t="s">
        <v>1641</v>
      </c>
      <c r="E2451" s="566"/>
      <c r="F2451" s="566"/>
      <c r="G2451" s="567" t="s">
        <v>3540</v>
      </c>
      <c r="H2451" s="567" t="s">
        <v>291</v>
      </c>
      <c r="I2451" s="239" t="str">
        <f>IF(ISBLANK(global!I928),"",global!I928)</f>
        <v/>
      </c>
      <c r="K2451" s="262" t="s">
        <v>4241</v>
      </c>
      <c r="O2451" s="262" t="s">
        <v>4241</v>
      </c>
    </row>
    <row r="2452" spans="1:15" ht="12.75" customHeight="1" x14ac:dyDescent="0.3">
      <c r="A2452" s="566"/>
      <c r="B2452" s="566"/>
      <c r="C2452" s="566"/>
      <c r="D2452" s="566" t="s">
        <v>1645</v>
      </c>
      <c r="E2452" s="566"/>
      <c r="F2452" s="566"/>
      <c r="G2452" s="567" t="s">
        <v>3541</v>
      </c>
      <c r="H2452" s="567" t="s">
        <v>291</v>
      </c>
      <c r="I2452" s="239" t="str">
        <f>IF(ISBLANK(global!I929),"",global!I929)</f>
        <v/>
      </c>
      <c r="K2452" s="262" t="s">
        <v>4241</v>
      </c>
      <c r="O2452" s="262" t="s">
        <v>4241</v>
      </c>
    </row>
    <row r="2453" spans="1:15" ht="12.75" customHeight="1" x14ac:dyDescent="0.3">
      <c r="A2453" s="566" t="s">
        <v>2892</v>
      </c>
      <c r="B2453" s="566"/>
      <c r="C2453" s="566"/>
      <c r="D2453" s="566"/>
      <c r="E2453" s="566"/>
      <c r="F2453" s="566"/>
      <c r="G2453" s="566" t="s">
        <v>3542</v>
      </c>
      <c r="H2453" s="567" t="s">
        <v>335</v>
      </c>
      <c r="I2453" s="239" t="str">
        <f>IF(ISBLANK(global!I930),"",global!I930)</f>
        <v/>
      </c>
      <c r="K2453" s="262" t="s">
        <v>4241</v>
      </c>
      <c r="O2453" s="262" t="s">
        <v>4241</v>
      </c>
    </row>
    <row r="2454" spans="1:15" ht="12.75" customHeight="1" x14ac:dyDescent="0.3">
      <c r="A2454" s="566"/>
      <c r="B2454" s="566" t="s">
        <v>1669</v>
      </c>
      <c r="C2454" s="566"/>
      <c r="D2454" s="566"/>
      <c r="E2454" s="566"/>
      <c r="F2454" s="566"/>
      <c r="G2454" s="567" t="s">
        <v>3543</v>
      </c>
      <c r="H2454" s="567" t="s">
        <v>866</v>
      </c>
      <c r="I2454" s="239" t="str">
        <f>IF(ISBLANK(global!I931),"",global!I931)</f>
        <v/>
      </c>
      <c r="K2454" s="262" t="s">
        <v>4241</v>
      </c>
      <c r="O2454" s="262" t="s">
        <v>4241</v>
      </c>
    </row>
    <row r="2455" spans="1:15" ht="12.75" customHeight="1" x14ac:dyDescent="0.3">
      <c r="A2455" s="566"/>
      <c r="B2455" s="566"/>
      <c r="C2455" s="566" t="s">
        <v>1751</v>
      </c>
      <c r="D2455" s="566"/>
      <c r="E2455" s="566"/>
      <c r="F2455" s="566"/>
      <c r="G2455" s="567" t="s">
        <v>3544</v>
      </c>
      <c r="H2455" s="567" t="s">
        <v>1673</v>
      </c>
      <c r="I2455" s="239" t="str">
        <f>IF(ISBLANK(global!I932),"",global!I932)</f>
        <v/>
      </c>
      <c r="K2455" s="262" t="s">
        <v>4241</v>
      </c>
      <c r="O2455" s="262" t="s">
        <v>4241</v>
      </c>
    </row>
    <row r="2456" spans="1:15" ht="12.75" customHeight="1" x14ac:dyDescent="0.3">
      <c r="A2456" s="566"/>
      <c r="B2456" s="566"/>
      <c r="C2456" s="566"/>
      <c r="D2456" s="566" t="s">
        <v>1641</v>
      </c>
      <c r="E2456" s="566"/>
      <c r="F2456" s="566"/>
      <c r="G2456" s="567" t="s">
        <v>3545</v>
      </c>
      <c r="H2456" s="567" t="s">
        <v>291</v>
      </c>
      <c r="I2456" s="239" t="str">
        <f>IF(ISBLANK(global!I933),"",global!I933)</f>
        <v/>
      </c>
      <c r="K2456" s="262" t="s">
        <v>4241</v>
      </c>
      <c r="O2456" s="262" t="s">
        <v>4241</v>
      </c>
    </row>
    <row r="2457" spans="1:15" ht="12.75" customHeight="1" x14ac:dyDescent="0.3">
      <c r="A2457" s="566"/>
      <c r="B2457" s="566"/>
      <c r="C2457" s="566"/>
      <c r="D2457" s="566" t="s">
        <v>1645</v>
      </c>
      <c r="E2457" s="566"/>
      <c r="F2457" s="566"/>
      <c r="G2457" s="567" t="s">
        <v>3546</v>
      </c>
      <c r="H2457" s="567" t="s">
        <v>291</v>
      </c>
      <c r="I2457" s="239" t="str">
        <f>IF(ISBLANK(global!I934),"",global!I934)</f>
        <v/>
      </c>
      <c r="K2457" s="262" t="s">
        <v>4241</v>
      </c>
      <c r="O2457" s="262" t="s">
        <v>4241</v>
      </c>
    </row>
    <row r="2458" spans="1:15" ht="12.75" customHeight="1" x14ac:dyDescent="0.3">
      <c r="A2458" s="566" t="s">
        <v>2898</v>
      </c>
      <c r="B2458" s="566"/>
      <c r="C2458" s="566"/>
      <c r="D2458" s="566"/>
      <c r="E2458" s="566"/>
      <c r="F2458" s="566"/>
      <c r="G2458" s="566" t="s">
        <v>3547</v>
      </c>
      <c r="H2458" s="567" t="s">
        <v>335</v>
      </c>
      <c r="I2458" s="239" t="str">
        <f>IF(ISBLANK(global!I935),"",global!I935)</f>
        <v/>
      </c>
      <c r="K2458" s="262" t="s">
        <v>4241</v>
      </c>
      <c r="O2458" s="262" t="s">
        <v>4241</v>
      </c>
    </row>
    <row r="2459" spans="1:15" ht="12.75" customHeight="1" x14ac:dyDescent="0.3">
      <c r="A2459" s="566" t="s">
        <v>2900</v>
      </c>
      <c r="B2459" s="566"/>
      <c r="C2459" s="566"/>
      <c r="D2459" s="566"/>
      <c r="E2459" s="566"/>
      <c r="F2459" s="566"/>
      <c r="G2459" s="567" t="s">
        <v>3548</v>
      </c>
      <c r="H2459" s="567" t="s">
        <v>335</v>
      </c>
      <c r="I2459" s="239" t="str">
        <f>IF(ISBLANK(global!I936),"",global!I936)</f>
        <v/>
      </c>
      <c r="K2459" s="262" t="s">
        <v>4241</v>
      </c>
      <c r="O2459" s="262" t="s">
        <v>4241</v>
      </c>
    </row>
    <row r="2460" spans="1:15" ht="12.75" customHeight="1" x14ac:dyDescent="0.3">
      <c r="A2460" s="566" t="s">
        <v>2902</v>
      </c>
      <c r="B2460" s="566"/>
      <c r="C2460" s="566"/>
      <c r="D2460" s="566"/>
      <c r="E2460" s="566"/>
      <c r="F2460" s="566"/>
      <c r="G2460" s="567" t="s">
        <v>3549</v>
      </c>
      <c r="H2460" s="567" t="s">
        <v>335</v>
      </c>
      <c r="I2460" s="239" t="str">
        <f>IF(ISBLANK(global!I937),"",global!I937)</f>
        <v/>
      </c>
      <c r="K2460" s="262" t="s">
        <v>4241</v>
      </c>
      <c r="O2460" s="262" t="s">
        <v>4241</v>
      </c>
    </row>
    <row r="2461" spans="1:15" ht="12.75" customHeight="1" x14ac:dyDescent="0.3">
      <c r="A2461" s="566" t="s">
        <v>2904</v>
      </c>
      <c r="B2461" s="566"/>
      <c r="C2461" s="566"/>
      <c r="D2461" s="566"/>
      <c r="E2461" s="566"/>
      <c r="F2461" s="566"/>
      <c r="G2461" s="567" t="s">
        <v>3550</v>
      </c>
      <c r="H2461" s="567" t="s">
        <v>335</v>
      </c>
      <c r="I2461" s="239" t="str">
        <f>IF(ISBLANK(global!I938),"",global!I938)</f>
        <v/>
      </c>
      <c r="K2461" s="262" t="s">
        <v>4241</v>
      </c>
      <c r="O2461" s="262" t="s">
        <v>4241</v>
      </c>
    </row>
    <row r="2462" spans="1:15" ht="12.75" customHeight="1" x14ac:dyDescent="0.3">
      <c r="A2462" s="566" t="s">
        <v>2906</v>
      </c>
      <c r="B2462" s="566"/>
      <c r="C2462" s="566"/>
      <c r="D2462" s="566"/>
      <c r="E2462" s="566"/>
      <c r="F2462" s="566"/>
      <c r="G2462" s="567" t="s">
        <v>3551</v>
      </c>
      <c r="H2462" s="567" t="s">
        <v>335</v>
      </c>
      <c r="I2462" s="239" t="str">
        <f>IF(ISBLANK(global!I939),"",global!I939)</f>
        <v/>
      </c>
      <c r="K2462" s="262" t="s">
        <v>4241</v>
      </c>
      <c r="O2462" s="262" t="s">
        <v>4241</v>
      </c>
    </row>
    <row r="2463" spans="1:15" ht="12.75" customHeight="1" x14ac:dyDescent="0.3">
      <c r="A2463" s="566" t="s">
        <v>2908</v>
      </c>
      <c r="B2463" s="566"/>
      <c r="C2463" s="566"/>
      <c r="D2463" s="566"/>
      <c r="E2463" s="566"/>
      <c r="F2463" s="566"/>
      <c r="G2463" s="567" t="s">
        <v>3552</v>
      </c>
      <c r="H2463" s="567" t="s">
        <v>335</v>
      </c>
      <c r="I2463" s="239" t="str">
        <f>IF(ISBLANK(global!I940),"",global!I940)</f>
        <v/>
      </c>
      <c r="K2463" s="262" t="s">
        <v>4241</v>
      </c>
      <c r="O2463" s="262" t="s">
        <v>4241</v>
      </c>
    </row>
    <row r="2464" spans="1:15" ht="12.75" customHeight="1" x14ac:dyDescent="0.3">
      <c r="A2464" s="566" t="s">
        <v>2910</v>
      </c>
      <c r="B2464" s="566"/>
      <c r="C2464" s="566"/>
      <c r="D2464" s="566"/>
      <c r="E2464" s="566"/>
      <c r="F2464" s="566"/>
      <c r="G2464" s="567" t="s">
        <v>3553</v>
      </c>
      <c r="H2464" s="567" t="s">
        <v>335</v>
      </c>
      <c r="I2464" s="239" t="str">
        <f>IF(ISBLANK(global!I941),"",global!I941)</f>
        <v/>
      </c>
      <c r="K2464" s="262" t="s">
        <v>4241</v>
      </c>
      <c r="O2464" s="262" t="s">
        <v>4241</v>
      </c>
    </row>
    <row r="2465" spans="1:15" ht="12.75" customHeight="1" x14ac:dyDescent="0.3">
      <c r="A2465" s="566" t="s">
        <v>2912</v>
      </c>
      <c r="B2465" s="566"/>
      <c r="C2465" s="566"/>
      <c r="D2465" s="566"/>
      <c r="E2465" s="566"/>
      <c r="F2465" s="566"/>
      <c r="G2465" s="567" t="s">
        <v>3554</v>
      </c>
      <c r="H2465" s="567" t="s">
        <v>335</v>
      </c>
      <c r="I2465" s="239" t="str">
        <f>IF(ISBLANK(global!I942),"",global!I942)</f>
        <v/>
      </c>
      <c r="K2465" s="262" t="s">
        <v>4241</v>
      </c>
      <c r="O2465" s="262" t="s">
        <v>4241</v>
      </c>
    </row>
    <row r="2466" spans="1:15" ht="12.75" customHeight="1" x14ac:dyDescent="0.3">
      <c r="A2466" s="566" t="s">
        <v>2915</v>
      </c>
      <c r="B2466" s="566"/>
      <c r="C2466" s="566"/>
      <c r="D2466" s="566"/>
      <c r="E2466" s="566"/>
      <c r="F2466" s="566"/>
      <c r="G2466" s="567" t="s">
        <v>3555</v>
      </c>
      <c r="H2466" s="567" t="s">
        <v>335</v>
      </c>
      <c r="I2466" s="239" t="str">
        <f>IF(ISBLANK(global!I943),"",global!I943)</f>
        <v/>
      </c>
      <c r="K2466" s="262" t="s">
        <v>4241</v>
      </c>
      <c r="O2466" s="262" t="s">
        <v>4241</v>
      </c>
    </row>
    <row r="2467" spans="1:15" ht="12.75" customHeight="1" x14ac:dyDescent="0.3">
      <c r="A2467" s="566" t="s">
        <v>2917</v>
      </c>
      <c r="B2467" s="566"/>
      <c r="C2467" s="566"/>
      <c r="D2467" s="566"/>
      <c r="E2467" s="566"/>
      <c r="F2467" s="566"/>
      <c r="G2467" s="567" t="s">
        <v>3556</v>
      </c>
      <c r="H2467" s="567" t="s">
        <v>335</v>
      </c>
      <c r="I2467" s="239" t="str">
        <f>IF(ISBLANK(global!I944),"",global!I944)</f>
        <v/>
      </c>
      <c r="K2467" s="262" t="s">
        <v>4241</v>
      </c>
      <c r="O2467" s="262" t="s">
        <v>4241</v>
      </c>
    </row>
    <row r="2468" spans="1:15" ht="12.75" customHeight="1" x14ac:dyDescent="0.3">
      <c r="A2468" s="566" t="s">
        <v>2919</v>
      </c>
      <c r="B2468" s="566"/>
      <c r="C2468" s="566"/>
      <c r="D2468" s="566"/>
      <c r="E2468" s="566"/>
      <c r="F2468" s="566"/>
      <c r="G2468" s="567" t="s">
        <v>3557</v>
      </c>
      <c r="H2468" s="567" t="s">
        <v>335</v>
      </c>
      <c r="I2468" s="239" t="str">
        <f>IF(ISBLANK(global!I945),"",global!I945)</f>
        <v/>
      </c>
      <c r="K2468" s="262" t="s">
        <v>4241</v>
      </c>
      <c r="O2468" s="262" t="s">
        <v>4241</v>
      </c>
    </row>
    <row r="2469" spans="1:15" ht="12.75" customHeight="1" x14ac:dyDescent="0.3">
      <c r="A2469" s="566" t="s">
        <v>2921</v>
      </c>
      <c r="B2469" s="566"/>
      <c r="C2469" s="566"/>
      <c r="D2469" s="566"/>
      <c r="E2469" s="566"/>
      <c r="F2469" s="566"/>
      <c r="G2469" s="567" t="s">
        <v>3558</v>
      </c>
      <c r="H2469" s="567" t="s">
        <v>335</v>
      </c>
      <c r="I2469" s="239" t="str">
        <f>IF(ISBLANK(global!I946),"",global!I946)</f>
        <v/>
      </c>
      <c r="K2469" s="262" t="s">
        <v>4241</v>
      </c>
      <c r="O2469" s="262" t="s">
        <v>4241</v>
      </c>
    </row>
    <row r="2470" spans="1:15" ht="12.75" customHeight="1" x14ac:dyDescent="0.3">
      <c r="A2470" s="566" t="s">
        <v>2923</v>
      </c>
      <c r="B2470" s="566"/>
      <c r="C2470" s="566"/>
      <c r="D2470" s="566"/>
      <c r="E2470" s="566"/>
      <c r="F2470" s="566"/>
      <c r="G2470" s="567" t="s">
        <v>3559</v>
      </c>
      <c r="H2470" s="567" t="s">
        <v>335</v>
      </c>
      <c r="I2470" s="239" t="str">
        <f>IF(ISBLANK(global!I947),"",global!I947)</f>
        <v/>
      </c>
      <c r="K2470" s="262" t="s">
        <v>4241</v>
      </c>
      <c r="O2470" s="262" t="s">
        <v>4241</v>
      </c>
    </row>
    <row r="2471" spans="1:15" ht="12.75" customHeight="1" x14ac:dyDescent="0.3">
      <c r="A2471" s="566" t="s">
        <v>2925</v>
      </c>
      <c r="B2471" s="566"/>
      <c r="C2471" s="566"/>
      <c r="D2471" s="566"/>
      <c r="E2471" s="566"/>
      <c r="F2471" s="566"/>
      <c r="G2471" s="567" t="s">
        <v>3560</v>
      </c>
      <c r="H2471" s="567" t="s">
        <v>335</v>
      </c>
      <c r="I2471" s="239" t="str">
        <f>IF(ISBLANK(global!I948),"",global!I948)</f>
        <v/>
      </c>
      <c r="K2471" s="262" t="s">
        <v>4241</v>
      </c>
      <c r="O2471" s="262" t="s">
        <v>4241</v>
      </c>
    </row>
    <row r="2472" spans="1:15" ht="12.75" customHeight="1" x14ac:dyDescent="0.3">
      <c r="A2472" s="566" t="s">
        <v>2927</v>
      </c>
      <c r="B2472" s="566"/>
      <c r="C2472" s="566"/>
      <c r="D2472" s="566"/>
      <c r="E2472" s="566"/>
      <c r="F2472" s="566"/>
      <c r="G2472" s="567" t="s">
        <v>3561</v>
      </c>
      <c r="H2472" s="567" t="s">
        <v>335</v>
      </c>
      <c r="I2472" s="239" t="str">
        <f>IF(ISBLANK(global!I949),"",global!I949)</f>
        <v/>
      </c>
      <c r="K2472" s="262" t="s">
        <v>4241</v>
      </c>
      <c r="O2472" s="262" t="s">
        <v>4241</v>
      </c>
    </row>
    <row r="2473" spans="1:15" ht="12.75" customHeight="1" x14ac:dyDescent="0.3">
      <c r="A2473" s="566" t="s">
        <v>2929</v>
      </c>
      <c r="B2473" s="566"/>
      <c r="C2473" s="566"/>
      <c r="D2473" s="566"/>
      <c r="E2473" s="566"/>
      <c r="F2473" s="566"/>
      <c r="G2473" s="567" t="s">
        <v>3562</v>
      </c>
      <c r="H2473" s="567" t="s">
        <v>335</v>
      </c>
      <c r="I2473" s="239" t="str">
        <f>IF(ISBLANK(global!I950),"",global!I950)</f>
        <v/>
      </c>
      <c r="K2473" s="262" t="s">
        <v>4241</v>
      </c>
      <c r="O2473" s="262" t="s">
        <v>4241</v>
      </c>
    </row>
    <row r="2474" spans="1:15" ht="12.75" customHeight="1" x14ac:dyDescent="0.3">
      <c r="A2474" s="566" t="s">
        <v>1860</v>
      </c>
      <c r="B2474" s="566"/>
      <c r="C2474" s="566"/>
      <c r="D2474" s="566"/>
      <c r="E2474" s="566"/>
      <c r="F2474" s="566"/>
      <c r="G2474" s="567" t="s">
        <v>3563</v>
      </c>
      <c r="H2474" s="567" t="s">
        <v>335</v>
      </c>
      <c r="I2474" s="239" t="str">
        <f>IF(ISBLANK(global!I951),"",global!I951)</f>
        <v/>
      </c>
      <c r="K2474" s="262" t="s">
        <v>4241</v>
      </c>
      <c r="O2474" s="262" t="s">
        <v>4241</v>
      </c>
    </row>
    <row r="2475" spans="1:15" ht="12.75" customHeight="1" x14ac:dyDescent="0.3">
      <c r="A2475" s="566" t="s">
        <v>1867</v>
      </c>
      <c r="B2475" s="566"/>
      <c r="C2475" s="566"/>
      <c r="D2475" s="566"/>
      <c r="E2475" s="566"/>
      <c r="F2475" s="566"/>
      <c r="G2475" s="567" t="s">
        <v>3564</v>
      </c>
      <c r="H2475" s="567" t="s">
        <v>335</v>
      </c>
      <c r="I2475" s="239" t="str">
        <f>IF(ISBLANK(global!I952),"",global!I952)</f>
        <v/>
      </c>
      <c r="K2475" s="262" t="s">
        <v>4241</v>
      </c>
      <c r="O2475" s="262" t="s">
        <v>4241</v>
      </c>
    </row>
    <row r="2476" spans="1:15" ht="12.75" customHeight="1" x14ac:dyDescent="0.3">
      <c r="A2476" s="566" t="s">
        <v>1873</v>
      </c>
      <c r="B2476" s="566"/>
      <c r="C2476" s="566"/>
      <c r="D2476" s="566"/>
      <c r="E2476" s="566"/>
      <c r="F2476" s="566"/>
      <c r="G2476" s="567" t="s">
        <v>3565</v>
      </c>
      <c r="H2476" s="567" t="s">
        <v>335</v>
      </c>
      <c r="I2476" s="239" t="str">
        <f>IF(ISBLANK(global!I953),"",global!I953)</f>
        <v/>
      </c>
      <c r="K2476" s="262" t="s">
        <v>4241</v>
      </c>
      <c r="O2476" s="262" t="s">
        <v>4241</v>
      </c>
    </row>
    <row r="2477" spans="1:15" ht="12.75" customHeight="1" x14ac:dyDescent="0.3">
      <c r="A2477" s="172" t="s">
        <v>3566</v>
      </c>
      <c r="I2477" s="239" t="str">
        <f>IF(ISBLANK(global!I954),"",global!I954)</f>
        <v/>
      </c>
      <c r="K2477" s="262" t="s">
        <v>4241</v>
      </c>
      <c r="O2477" s="262" t="s">
        <v>4241</v>
      </c>
    </row>
    <row r="2478" spans="1:15" ht="12.75" customHeight="1" x14ac:dyDescent="0.3">
      <c r="A2478" s="567" t="s">
        <v>1315</v>
      </c>
      <c r="B2478" s="566"/>
      <c r="C2478" s="566"/>
      <c r="D2478" s="566"/>
      <c r="E2478" s="566"/>
      <c r="F2478" s="566"/>
      <c r="G2478" s="567" t="s">
        <v>3567</v>
      </c>
      <c r="H2478" s="567" t="s">
        <v>617</v>
      </c>
      <c r="I2478" s="239" t="str">
        <f>IF(ISBLANK(global!I955),"",global!I955)</f>
        <v/>
      </c>
      <c r="K2478" s="262" t="s">
        <v>4241</v>
      </c>
      <c r="O2478" s="262" t="s">
        <v>4241</v>
      </c>
    </row>
    <row r="2479" spans="1:15" ht="12.75" customHeight="1" x14ac:dyDescent="0.3">
      <c r="A2479" s="567" t="s">
        <v>1315</v>
      </c>
      <c r="B2479" s="566"/>
      <c r="C2479" s="566"/>
      <c r="D2479" s="566"/>
      <c r="E2479" s="566"/>
      <c r="F2479" s="566"/>
      <c r="G2479" s="567" t="s">
        <v>3568</v>
      </c>
      <c r="H2479" s="567" t="s">
        <v>617</v>
      </c>
      <c r="I2479" s="239" t="str">
        <f>IF(ISBLANK(global!I956),"",global!I956)</f>
        <v/>
      </c>
      <c r="K2479" s="262" t="s">
        <v>4241</v>
      </c>
      <c r="O2479" s="262" t="s">
        <v>4241</v>
      </c>
    </row>
    <row r="2480" spans="1:15" ht="12.75" customHeight="1" x14ac:dyDescent="0.3">
      <c r="A2480" s="567" t="s">
        <v>1315</v>
      </c>
      <c r="B2480" s="566"/>
      <c r="C2480" s="566"/>
      <c r="D2480" s="566"/>
      <c r="E2480" s="566"/>
      <c r="F2480" s="566"/>
      <c r="G2480" s="567" t="s">
        <v>3569</v>
      </c>
      <c r="H2480" s="567" t="s">
        <v>617</v>
      </c>
      <c r="I2480" s="239" t="str">
        <f>IF(ISBLANK(global!I957),"",global!I957)</f>
        <v/>
      </c>
      <c r="K2480" s="262" t="s">
        <v>4241</v>
      </c>
      <c r="O2480" s="262" t="s">
        <v>4241</v>
      </c>
    </row>
    <row r="2481" spans="1:15" ht="12.75" customHeight="1" x14ac:dyDescent="0.3">
      <c r="A2481" s="567" t="s">
        <v>1317</v>
      </c>
      <c r="B2481" s="566"/>
      <c r="C2481" s="566"/>
      <c r="D2481" s="566"/>
      <c r="E2481" s="566"/>
      <c r="F2481" s="566"/>
      <c r="G2481" s="567" t="s">
        <v>3570</v>
      </c>
      <c r="H2481" s="567" t="s">
        <v>617</v>
      </c>
      <c r="I2481" s="239" t="str">
        <f>IF(ISBLANK(global!I958),"",global!I958)</f>
        <v/>
      </c>
      <c r="K2481" s="262" t="s">
        <v>4241</v>
      </c>
      <c r="O2481" s="262" t="s">
        <v>4241</v>
      </c>
    </row>
    <row r="2482" spans="1:15" ht="12.75" customHeight="1" x14ac:dyDescent="0.3">
      <c r="A2482" s="567" t="s">
        <v>1317</v>
      </c>
      <c r="B2482" s="566"/>
      <c r="C2482" s="566"/>
      <c r="D2482" s="566"/>
      <c r="E2482" s="566"/>
      <c r="F2482" s="566"/>
      <c r="G2482" s="567" t="s">
        <v>3571</v>
      </c>
      <c r="H2482" s="567" t="s">
        <v>617</v>
      </c>
      <c r="I2482" s="239" t="str">
        <f>IF(ISBLANK(global!I959),"",global!I959)</f>
        <v/>
      </c>
      <c r="K2482" s="262" t="s">
        <v>4241</v>
      </c>
      <c r="O2482" s="262" t="s">
        <v>4241</v>
      </c>
    </row>
    <row r="2483" spans="1:15" ht="12.75" customHeight="1" x14ac:dyDescent="0.3">
      <c r="A2483" s="567" t="s">
        <v>1317</v>
      </c>
      <c r="B2483" s="566"/>
      <c r="C2483" s="566"/>
      <c r="D2483" s="566"/>
      <c r="E2483" s="566"/>
      <c r="F2483" s="566"/>
      <c r="G2483" s="567" t="s">
        <v>3572</v>
      </c>
      <c r="H2483" s="567" t="s">
        <v>617</v>
      </c>
      <c r="I2483" s="239" t="str">
        <f>IF(ISBLANK(global!I960),"",global!I960)</f>
        <v/>
      </c>
      <c r="K2483" s="262" t="s">
        <v>4241</v>
      </c>
      <c r="O2483" s="262" t="s">
        <v>4241</v>
      </c>
    </row>
    <row r="2484" spans="1:15" ht="12.75" customHeight="1" x14ac:dyDescent="0.3">
      <c r="A2484" s="567" t="s">
        <v>1319</v>
      </c>
      <c r="B2484" s="566"/>
      <c r="C2484" s="566"/>
      <c r="D2484" s="566"/>
      <c r="E2484" s="566"/>
      <c r="F2484" s="566"/>
      <c r="G2484" s="567" t="s">
        <v>3573</v>
      </c>
      <c r="H2484" s="567" t="s">
        <v>617</v>
      </c>
      <c r="I2484" s="239" t="str">
        <f>IF(ISBLANK(global!I961),"",global!I961)</f>
        <v/>
      </c>
      <c r="K2484" s="262" t="s">
        <v>4241</v>
      </c>
      <c r="O2484" s="262" t="s">
        <v>4241</v>
      </c>
    </row>
    <row r="2485" spans="1:15" ht="12.75" customHeight="1" x14ac:dyDescent="0.3">
      <c r="A2485" s="567" t="s">
        <v>1319</v>
      </c>
      <c r="B2485" s="566"/>
      <c r="C2485" s="566"/>
      <c r="D2485" s="566"/>
      <c r="E2485" s="566"/>
      <c r="F2485" s="566"/>
      <c r="G2485" s="567" t="s">
        <v>3574</v>
      </c>
      <c r="H2485" s="567" t="s">
        <v>617</v>
      </c>
      <c r="I2485" s="239" t="str">
        <f>IF(ISBLANK(global!I962),"",global!I962)</f>
        <v/>
      </c>
      <c r="K2485" s="262" t="s">
        <v>4241</v>
      </c>
      <c r="O2485" s="262" t="s">
        <v>4241</v>
      </c>
    </row>
    <row r="2486" spans="1:15" ht="12.75" customHeight="1" x14ac:dyDescent="0.3">
      <c r="A2486" s="567" t="s">
        <v>1319</v>
      </c>
      <c r="B2486" s="566"/>
      <c r="C2486" s="566"/>
      <c r="D2486" s="566"/>
      <c r="E2486" s="566"/>
      <c r="F2486" s="566"/>
      <c r="G2486" s="567" t="s">
        <v>3575</v>
      </c>
      <c r="H2486" s="567" t="s">
        <v>617</v>
      </c>
      <c r="I2486" s="239" t="str">
        <f>IF(ISBLANK(global!I963),"",global!I963)</f>
        <v/>
      </c>
      <c r="K2486" s="262" t="s">
        <v>4241</v>
      </c>
      <c r="O2486" s="262" t="s">
        <v>4241</v>
      </c>
    </row>
    <row r="2487" spans="1:15" ht="12.75" customHeight="1" x14ac:dyDescent="0.3">
      <c r="A2487" s="567" t="s">
        <v>1323</v>
      </c>
      <c r="B2487" s="566"/>
      <c r="C2487" s="566"/>
      <c r="D2487" s="566"/>
      <c r="E2487" s="566"/>
      <c r="F2487" s="566"/>
      <c r="G2487" s="567" t="s">
        <v>3576</v>
      </c>
      <c r="H2487" s="567" t="s">
        <v>617</v>
      </c>
      <c r="I2487" s="239" t="str">
        <f>IF(ISBLANK(global!I964),"",global!I964)</f>
        <v/>
      </c>
      <c r="K2487" s="262" t="s">
        <v>4241</v>
      </c>
      <c r="O2487" s="262" t="s">
        <v>4241</v>
      </c>
    </row>
    <row r="2488" spans="1:15" ht="12.75" customHeight="1" x14ac:dyDescent="0.3">
      <c r="A2488" s="567" t="s">
        <v>1323</v>
      </c>
      <c r="B2488" s="566"/>
      <c r="C2488" s="566"/>
      <c r="D2488" s="566"/>
      <c r="E2488" s="566"/>
      <c r="F2488" s="566"/>
      <c r="G2488" s="567" t="s">
        <v>3577</v>
      </c>
      <c r="H2488" s="567" t="s">
        <v>617</v>
      </c>
      <c r="I2488" s="239" t="str">
        <f>IF(ISBLANK(global!I965),"",global!I965)</f>
        <v/>
      </c>
      <c r="K2488" s="262" t="s">
        <v>4241</v>
      </c>
      <c r="O2488" s="262" t="s">
        <v>4241</v>
      </c>
    </row>
    <row r="2489" spans="1:15" ht="12.75" customHeight="1" x14ac:dyDescent="0.3">
      <c r="A2489" s="567" t="s">
        <v>1323</v>
      </c>
      <c r="B2489" s="566"/>
      <c r="C2489" s="566"/>
      <c r="D2489" s="566"/>
      <c r="E2489" s="566"/>
      <c r="F2489" s="566"/>
      <c r="G2489" s="567" t="s">
        <v>3578</v>
      </c>
      <c r="H2489" s="567" t="s">
        <v>617</v>
      </c>
      <c r="I2489" s="239" t="str">
        <f>IF(ISBLANK(global!I966),"",global!I966)</f>
        <v/>
      </c>
      <c r="K2489" s="262" t="s">
        <v>4241</v>
      </c>
      <c r="O2489" s="262" t="s">
        <v>4241</v>
      </c>
    </row>
    <row r="2490" spans="1:15" ht="12.75" customHeight="1" x14ac:dyDescent="0.3">
      <c r="A2490" s="567" t="s">
        <v>1329</v>
      </c>
      <c r="B2490" s="566"/>
      <c r="C2490" s="566"/>
      <c r="D2490" s="566"/>
      <c r="E2490" s="566"/>
      <c r="F2490" s="566"/>
      <c r="G2490" s="567" t="s">
        <v>3579</v>
      </c>
      <c r="H2490" s="567" t="s">
        <v>617</v>
      </c>
      <c r="I2490" s="239" t="str">
        <f>IF(ISBLANK(global!I967),"",global!I967)</f>
        <v/>
      </c>
      <c r="K2490" s="262" t="s">
        <v>4241</v>
      </c>
      <c r="O2490" s="262" t="s">
        <v>4241</v>
      </c>
    </row>
    <row r="2491" spans="1:15" ht="12.75" customHeight="1" x14ac:dyDescent="0.3">
      <c r="A2491" s="567" t="s">
        <v>1329</v>
      </c>
      <c r="B2491" s="566"/>
      <c r="C2491" s="566"/>
      <c r="D2491" s="566"/>
      <c r="E2491" s="566"/>
      <c r="F2491" s="566"/>
      <c r="G2491" s="567" t="s">
        <v>3580</v>
      </c>
      <c r="H2491" s="567" t="s">
        <v>617</v>
      </c>
      <c r="I2491" s="239" t="str">
        <f>IF(ISBLANK(global!I968),"",global!I968)</f>
        <v/>
      </c>
      <c r="K2491" s="262" t="s">
        <v>4241</v>
      </c>
      <c r="O2491" s="262" t="s">
        <v>4241</v>
      </c>
    </row>
    <row r="2492" spans="1:15" ht="12.75" customHeight="1" x14ac:dyDescent="0.3">
      <c r="A2492" s="567" t="s">
        <v>1329</v>
      </c>
      <c r="B2492" s="566"/>
      <c r="C2492" s="566"/>
      <c r="D2492" s="566"/>
      <c r="E2492" s="566"/>
      <c r="F2492" s="566"/>
      <c r="G2492" s="567" t="s">
        <v>3581</v>
      </c>
      <c r="H2492" s="567" t="s">
        <v>617</v>
      </c>
      <c r="I2492" s="239" t="str">
        <f>IF(ISBLANK(global!I969),"",global!I969)</f>
        <v/>
      </c>
      <c r="K2492" s="262" t="s">
        <v>4241</v>
      </c>
      <c r="O2492" s="262" t="s">
        <v>4241</v>
      </c>
    </row>
    <row r="2493" spans="1:15" ht="12.75" customHeight="1" x14ac:dyDescent="0.3">
      <c r="A2493" s="566"/>
      <c r="B2493" s="566" t="s">
        <v>1912</v>
      </c>
      <c r="C2493" s="566"/>
      <c r="D2493" s="566"/>
      <c r="E2493" s="566"/>
      <c r="F2493" s="566"/>
      <c r="G2493" s="567" t="s">
        <v>3582</v>
      </c>
      <c r="H2493" s="567" t="s">
        <v>335</v>
      </c>
      <c r="I2493" s="239" t="str">
        <f>IF(ISBLANK(global!I970),"",global!I970)</f>
        <v/>
      </c>
      <c r="K2493" s="262" t="s">
        <v>4241</v>
      </c>
      <c r="O2493" s="262" t="s">
        <v>4241</v>
      </c>
    </row>
    <row r="2494" spans="1:15" ht="12.75" customHeight="1" x14ac:dyDescent="0.3">
      <c r="A2494" s="598"/>
      <c r="B2494" s="598" t="s">
        <v>1919</v>
      </c>
      <c r="C2494" s="598"/>
      <c r="D2494" s="598"/>
      <c r="E2494" s="598"/>
      <c r="F2494" s="598"/>
      <c r="G2494" s="601" t="s">
        <v>3583</v>
      </c>
      <c r="H2494" s="601" t="s">
        <v>335</v>
      </c>
      <c r="I2494" s="239" t="str">
        <f>IF(ISBLANK(global!I971),"",global!I971)</f>
        <v/>
      </c>
      <c r="K2494" s="262" t="s">
        <v>4241</v>
      </c>
      <c r="O2494" s="262" t="s">
        <v>4241</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topLeftCell="A577" zoomScaleNormal="100" workbookViewId="0">
      <selection activeCell="B609" sqref="B60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4341</v>
      </c>
      <c r="B1" s="327" t="s">
        <v>4342</v>
      </c>
      <c r="C1" s="327" t="s">
        <v>274</v>
      </c>
    </row>
    <row r="2" spans="1:3" ht="14.5" x14ac:dyDescent="0.3">
      <c r="A2" s="317" t="s">
        <v>4343</v>
      </c>
      <c r="B2" s="318">
        <f>(kwsd.water.wC*kwsd.sed.sdC)/(kwsd.water.wC+kwsd.sed.sdC)*FRw.w1C*(SYSTEMAREA.C*AREAFRAC.w1C)</f>
        <v>1087.1760324530321</v>
      </c>
      <c r="C2" s="317" t="s">
        <v>1058</v>
      </c>
    </row>
    <row r="3" spans="1:3" ht="14.5" x14ac:dyDescent="0.3">
      <c r="A3" s="317" t="s">
        <v>4344</v>
      </c>
      <c r="B3" s="318" t="e">
        <f>(kwsd.water.wR*kwsd.sed.sdR)/(kwsd.water.wR+kwsd.sed.sdR)*FRw.w1R*(SYSTEMAREA.R*AREAFRAC.w1R)</f>
        <v>#NAME?</v>
      </c>
      <c r="C3" s="317" t="s">
        <v>1058</v>
      </c>
    </row>
    <row r="4" spans="1:3" ht="14.5" x14ac:dyDescent="0.3">
      <c r="A4" s="317" t="s">
        <v>4345</v>
      </c>
      <c r="B4" s="318">
        <f>(kwsd.water.wC*kwsd.sed.sdC)/(kwsd.water.wC+kwsd.sed.sdC)*FRw.w2C*(SYSTEMAREA.C*AREAFRAC.w2C)</f>
        <v>69235.204388377169</v>
      </c>
      <c r="C4" s="317" t="s">
        <v>1058</v>
      </c>
    </row>
    <row r="5" spans="1:3" ht="14.5" x14ac:dyDescent="0.3">
      <c r="A5" s="317" t="s">
        <v>4346</v>
      </c>
      <c r="B5" s="318" t="e">
        <f>(kwsd.water.wR*kwsd.sed.sdR)/(kwsd.water.wR+kwsd.sed.sdR)*FRw.w2R*(SYSTEMAREA.R*AREAFRAC.w2R)</f>
        <v>#NAME?</v>
      </c>
      <c r="C5" s="317" t="s">
        <v>1058</v>
      </c>
    </row>
    <row r="6" spans="1:3" ht="14.5" x14ac:dyDescent="0.3">
      <c r="A6" s="317" t="s">
        <v>4347</v>
      </c>
      <c r="B6" s="318">
        <f>(kwsd.water.wA*kwsd.sed.sdA)/(kwsd.water.wA+kwsd.sed.sdA)*FRw.w3A*(SYSTEMAREA.A*AREAFRAC.wA)</f>
        <v>475438.40079700813</v>
      </c>
      <c r="C6" s="321" t="s">
        <v>1058</v>
      </c>
    </row>
    <row r="7" spans="1:3" ht="14.5" x14ac:dyDescent="0.3">
      <c r="A7" s="317" t="s">
        <v>4348</v>
      </c>
      <c r="B7" s="318">
        <f>(kwsd.water.wM*kwsd.sed.sdM)/(kwsd.water.wM+kwsd.sed.sdM)*FRw.w3M*(SYSTEMAREA.M*AREAFRAC.wM)</f>
        <v>723143.48563013447</v>
      </c>
      <c r="C7" s="321" t="s">
        <v>1058</v>
      </c>
    </row>
    <row r="8" spans="1:3" ht="14.5" x14ac:dyDescent="0.3">
      <c r="A8" s="317" t="s">
        <v>4349</v>
      </c>
      <c r="B8" s="318">
        <f>(kwsd.water.wT*kwsd.sed.sdT)/(kwsd.water.wT+kwsd.sed.sdT)*FRw.w3T*(SYSTEMAREA.T*AREAFRAC.wT)</f>
        <v>1664034.4027895285</v>
      </c>
      <c r="C8" s="321" t="s">
        <v>1058</v>
      </c>
    </row>
    <row r="9" spans="1:3" ht="14.5" x14ac:dyDescent="0.3">
      <c r="A9" s="319" t="s">
        <v>3042</v>
      </c>
      <c r="B9" s="318">
        <v>1E-3</v>
      </c>
      <c r="C9" s="320" t="s">
        <v>1195</v>
      </c>
    </row>
    <row r="10" spans="1:3" ht="14.5" x14ac:dyDescent="0.3">
      <c r="A10" s="319" t="s">
        <v>2105</v>
      </c>
      <c r="B10" s="318">
        <v>1E-3</v>
      </c>
      <c r="C10" s="319" t="s">
        <v>1195</v>
      </c>
    </row>
    <row r="11" spans="1:3" ht="14.5" x14ac:dyDescent="0.3">
      <c r="A11" s="319" t="s">
        <v>2665</v>
      </c>
      <c r="B11" s="318">
        <v>1E-3</v>
      </c>
      <c r="C11" s="320" t="s">
        <v>1195</v>
      </c>
    </row>
    <row r="12" spans="1:3" ht="14.5" x14ac:dyDescent="0.3">
      <c r="A12" s="319" t="s">
        <v>1201</v>
      </c>
      <c r="B12" s="318">
        <v>1E-3</v>
      </c>
      <c r="C12" s="319" t="s">
        <v>1195</v>
      </c>
    </row>
    <row r="13" spans="1:3" ht="14.5" x14ac:dyDescent="0.3">
      <c r="A13" s="319" t="s">
        <v>3355</v>
      </c>
      <c r="B13" s="321">
        <v>1E-3</v>
      </c>
      <c r="C13" s="320" t="s">
        <v>1195</v>
      </c>
    </row>
    <row r="14" spans="1:3" ht="14.5" x14ac:dyDescent="0.3">
      <c r="A14" s="317" t="s">
        <v>3040</v>
      </c>
      <c r="B14" s="318">
        <f>(FRaerw.aA+FRaers.aA)*(tdry.A+twet.A)/twet.A*RAINrate.A*COLLECTeff.A</f>
        <v>2.6424826653137157E-2</v>
      </c>
      <c r="C14" s="319" t="s">
        <v>1195</v>
      </c>
    </row>
    <row r="15" spans="1:3" ht="14.5" x14ac:dyDescent="0.3">
      <c r="A15" s="317" t="s">
        <v>2102</v>
      </c>
      <c r="B15" s="318">
        <f>(FRaerw.aC+FRaers.aC)*(tdry.C+twet.C)/twet.C*RAINrate.C*COLLECTeff.C</f>
        <v>7.3989514628752737E-2</v>
      </c>
      <c r="C15" s="319" t="s">
        <v>1195</v>
      </c>
    </row>
    <row r="16" spans="1:3" ht="14.5" x14ac:dyDescent="0.3">
      <c r="A16" s="317" t="s">
        <v>2663</v>
      </c>
      <c r="B16" s="318">
        <f>(FRaerw.aM+FRaers.aM)*(tdry.M+twet.M)/twet.M*RAINrate.M*COLLECTeff.M</f>
        <v>7.3989514628752737E-2</v>
      </c>
      <c r="C16" s="319" t="s">
        <v>1195</v>
      </c>
    </row>
    <row r="17" spans="1:3" ht="14.5" x14ac:dyDescent="0.3">
      <c r="A17" s="317" t="s">
        <v>1197</v>
      </c>
      <c r="B17" s="318">
        <f>(FRaerw.aR+FRaers.aR)*(tdry.R+twet.R)/twet.R*COLLECTeff.R*RAINrate.R</f>
        <v>7.3989514628752723E-2</v>
      </c>
      <c r="C17" s="319" t="s">
        <v>1195</v>
      </c>
    </row>
    <row r="18" spans="1:3" ht="14.5" x14ac:dyDescent="0.3">
      <c r="A18" s="317" t="s">
        <v>3353</v>
      </c>
      <c r="B18" s="318">
        <f>(FRaerw.aT+FRaers.aT)*(tdry.T+twet.T)/twet.T*RAINrate.T*COLLECTeff.T</f>
        <v>0.13740909859608266</v>
      </c>
      <c r="C18" s="319" t="s">
        <v>1195</v>
      </c>
    </row>
    <row r="19" spans="1:3" ht="14.5" x14ac:dyDescent="0.3">
      <c r="A19" s="317" t="s">
        <v>4350</v>
      </c>
      <c r="B19" s="318">
        <f>VOLUME.aA/TAU.aA</f>
        <v>29424519893.079891</v>
      </c>
      <c r="C19" s="321" t="s">
        <v>1058</v>
      </c>
    </row>
    <row r="20" spans="1:3" ht="14.5" x14ac:dyDescent="0.3">
      <c r="A20" s="317" t="s">
        <v>4351</v>
      </c>
      <c r="B20" s="318" t="e">
        <f>VOLUME.aC/TAU.aC-AIRflow.aC.aR</f>
        <v>#NAME?</v>
      </c>
      <c r="C20" s="321" t="s">
        <v>1058</v>
      </c>
    </row>
    <row r="21" spans="1:3" ht="14.5" x14ac:dyDescent="0.3">
      <c r="A21" s="317" t="s">
        <v>4352</v>
      </c>
      <c r="B21" s="318" t="e">
        <f>AIRflow.aR.aC</f>
        <v>#NAME?</v>
      </c>
      <c r="C21" s="321" t="s">
        <v>1058</v>
      </c>
    </row>
    <row r="22" spans="1:3" ht="14.5" x14ac:dyDescent="0.3">
      <c r="A22" s="317" t="s">
        <v>4353</v>
      </c>
      <c r="B22" s="318" t="e">
        <f>AIRflow.aA.aM</f>
        <v>#NAME?</v>
      </c>
      <c r="C22" s="321" t="s">
        <v>1058</v>
      </c>
    </row>
    <row r="23" spans="1:3" ht="14.5" x14ac:dyDescent="0.3">
      <c r="A23" s="317" t="s">
        <v>4354</v>
      </c>
      <c r="B23" s="318" t="e">
        <f>AIRflow.aC.aM</f>
        <v>#NAME?</v>
      </c>
      <c r="C23" s="321" t="s">
        <v>1058</v>
      </c>
    </row>
    <row r="24" spans="1:3" ht="14.5" x14ac:dyDescent="0.3">
      <c r="A24" s="317" t="s">
        <v>4355</v>
      </c>
      <c r="B24" s="318" t="e">
        <f>AIRflow.aT.aM</f>
        <v>#NAME?</v>
      </c>
      <c r="C24" s="321" t="s">
        <v>1058</v>
      </c>
    </row>
    <row r="25" spans="1:3" ht="14.5" x14ac:dyDescent="0.3">
      <c r="A25" s="317" t="s">
        <v>4356</v>
      </c>
      <c r="B25" s="318">
        <f>VOLUME.aR/TAU.aR</f>
        <v>2162581519.9666018</v>
      </c>
      <c r="C25" s="317" t="s">
        <v>1058</v>
      </c>
    </row>
    <row r="26" spans="1:3" ht="14.5" x14ac:dyDescent="0.3">
      <c r="A26" s="317" t="s">
        <v>4357</v>
      </c>
      <c r="B26" s="318">
        <f>VOLUME.aT/TAU.aT</f>
        <v>50964763443.135521</v>
      </c>
      <c r="C26" s="321" t="s">
        <v>1058</v>
      </c>
    </row>
    <row r="27" spans="1:3" x14ac:dyDescent="0.3">
      <c r="A27" s="319" t="s">
        <v>1944</v>
      </c>
      <c r="B27" s="318">
        <f>AREAland.C*FRACnatsoil.C/SYSTEMAREA.C</f>
        <v>0.13073261798103972</v>
      </c>
      <c r="C27" s="321" t="s">
        <v>291</v>
      </c>
    </row>
    <row r="28" spans="1:3" x14ac:dyDescent="0.3">
      <c r="A28" s="319" t="s">
        <v>980</v>
      </c>
      <c r="B28" s="318">
        <f>AREAland.R*FRACnatsoil.R/SYSTEMAREA.R</f>
        <v>0.26882388813869412</v>
      </c>
      <c r="C28" s="317" t="s">
        <v>291</v>
      </c>
    </row>
    <row r="29" spans="1:3" x14ac:dyDescent="0.3">
      <c r="A29" s="319" t="s">
        <v>1945</v>
      </c>
      <c r="B29" s="318">
        <f>AREAland.C*FRACagsoil.C/SYSTEMAREA.C</f>
        <v>0.2905169288467549</v>
      </c>
      <c r="C29" s="321" t="s">
        <v>291</v>
      </c>
    </row>
    <row r="30" spans="1:3" x14ac:dyDescent="0.3">
      <c r="A30" s="319" t="s">
        <v>982</v>
      </c>
      <c r="B30" s="318">
        <f>AREAland.R*FRACagsoil.R/SYSTEMAREA.R</f>
        <v>0.5973864180859868</v>
      </c>
      <c r="C30" s="317" t="s">
        <v>291</v>
      </c>
    </row>
    <row r="31" spans="1:3" x14ac:dyDescent="0.3">
      <c r="A31" s="319" t="s">
        <v>1946</v>
      </c>
      <c r="B31" s="318">
        <f>AREAland.C*FRACothersoil.C/SYSTEMAREA.C</f>
        <v>4.8419488141125809E-2</v>
      </c>
      <c r="C31" s="321" t="s">
        <v>291</v>
      </c>
    </row>
    <row r="32" spans="1:3" x14ac:dyDescent="0.3">
      <c r="A32" s="319" t="s">
        <v>984</v>
      </c>
      <c r="B32" s="318">
        <f>AREAland.R*FRACothersoil.R/SYSTEMAREA.R</f>
        <v>9.9564403014331143E-2</v>
      </c>
      <c r="C32" s="317" t="s">
        <v>291</v>
      </c>
    </row>
    <row r="33" spans="1:3" x14ac:dyDescent="0.3">
      <c r="A33" s="319" t="s">
        <v>2965</v>
      </c>
      <c r="B33" s="318">
        <f>1-AREAFRAC.wA</f>
        <v>0.4</v>
      </c>
      <c r="C33" s="321" t="s">
        <v>291</v>
      </c>
    </row>
    <row r="34" spans="1:3" x14ac:dyDescent="0.3">
      <c r="A34" s="319" t="s">
        <v>2540</v>
      </c>
      <c r="B34" s="318">
        <f>1-AREAFRAC.wM</f>
        <v>0.5</v>
      </c>
      <c r="C34" s="321" t="s">
        <v>291</v>
      </c>
    </row>
    <row r="35" spans="1:3" x14ac:dyDescent="0.3">
      <c r="A35" s="319" t="s">
        <v>3286</v>
      </c>
      <c r="B35" s="318">
        <f>1-AREAFRAC.wT</f>
        <v>0.30000000000000004</v>
      </c>
      <c r="C35" s="317" t="s">
        <v>291</v>
      </c>
    </row>
    <row r="36" spans="1:3" x14ac:dyDescent="0.3">
      <c r="A36" s="319" t="s">
        <v>1942</v>
      </c>
      <c r="B36" s="318">
        <f>AREAland.C*FRAClake.C/SYSTEMAREA.C</f>
        <v>1.2104872035281454E-3</v>
      </c>
      <c r="C36" s="317" t="s">
        <v>291</v>
      </c>
    </row>
    <row r="37" spans="1:3" x14ac:dyDescent="0.3">
      <c r="A37" s="319" t="s">
        <v>976</v>
      </c>
      <c r="B37" s="318">
        <f>AREAland.R*FRAClake.R/SYSTEMAREA.R</f>
        <v>2.4891100753582783E-3</v>
      </c>
      <c r="C37" s="317" t="s">
        <v>291</v>
      </c>
    </row>
    <row r="38" spans="1:3" x14ac:dyDescent="0.3">
      <c r="A38" s="319" t="s">
        <v>1943</v>
      </c>
      <c r="B38" s="318">
        <f>AREAland.C*FRACfresh.C/SYSTEMAREA.C</f>
        <v>1.3315359238809598E-2</v>
      </c>
      <c r="C38" s="321" t="s">
        <v>291</v>
      </c>
    </row>
    <row r="39" spans="1:3" x14ac:dyDescent="0.3">
      <c r="A39" s="319" t="s">
        <v>978</v>
      </c>
      <c r="B39" s="318">
        <f>AREAland.R*FRACfresh.R/SYSTEMAREA.R</f>
        <v>2.7380210828941064E-2</v>
      </c>
      <c r="C39" s="317" t="s">
        <v>291</v>
      </c>
    </row>
    <row r="40" spans="1:3" x14ac:dyDescent="0.3">
      <c r="A40" s="319" t="s">
        <v>1947</v>
      </c>
      <c r="B40" s="318">
        <f>1-AREAFRAC.w0C-AREAFRAC.w1C-AREAFRAC.s1C-AREAFRAC.s2C-AREAFRAC.s3C</f>
        <v>0.5158051185887419</v>
      </c>
      <c r="C40" s="321" t="s">
        <v>291</v>
      </c>
    </row>
    <row r="41" spans="1:3" x14ac:dyDescent="0.3">
      <c r="A41" s="319" t="s">
        <v>986</v>
      </c>
      <c r="B41" s="318">
        <f>1-AREAFRAC.w0R-AREAFRAC.w1R-AREAFRAC.s1R-AREAFRAC.s2R-AREAFRAC.s3R</f>
        <v>4.3559698566885963E-3</v>
      </c>
      <c r="C41" s="317" t="s">
        <v>291</v>
      </c>
    </row>
    <row r="42" spans="1:3" x14ac:dyDescent="0.3">
      <c r="A42" s="319" t="s">
        <v>2964</v>
      </c>
      <c r="B42" s="318">
        <v>0.6</v>
      </c>
      <c r="C42" s="321" t="s">
        <v>291</v>
      </c>
    </row>
    <row r="43" spans="1:3" x14ac:dyDescent="0.3">
      <c r="A43" s="319" t="s">
        <v>2538</v>
      </c>
      <c r="B43" s="318">
        <v>0.5</v>
      </c>
      <c r="C43" s="321" t="s">
        <v>291</v>
      </c>
    </row>
    <row r="44" spans="1:3" x14ac:dyDescent="0.3">
      <c r="A44" s="319" t="s">
        <v>3285</v>
      </c>
      <c r="B44" s="321">
        <v>0.7</v>
      </c>
      <c r="C44" s="317" t="s">
        <v>291</v>
      </c>
    </row>
    <row r="45" spans="1:3" ht="14.5" x14ac:dyDescent="0.3">
      <c r="A45" s="321" t="s">
        <v>732</v>
      </c>
      <c r="B45" s="321">
        <v>3714410</v>
      </c>
      <c r="C45" s="319" t="s">
        <v>672</v>
      </c>
    </row>
    <row r="46" spans="1:3" ht="14.5" x14ac:dyDescent="0.3">
      <c r="A46" s="321" t="s">
        <v>671</v>
      </c>
      <c r="B46" s="321">
        <v>228570</v>
      </c>
      <c r="C46" s="319" t="s">
        <v>672</v>
      </c>
    </row>
    <row r="47" spans="1:3" ht="14.5" x14ac:dyDescent="0.3">
      <c r="A47" s="321" t="s">
        <v>733</v>
      </c>
      <c r="B47" s="321">
        <v>3714410</v>
      </c>
      <c r="C47" s="319" t="s">
        <v>672</v>
      </c>
    </row>
    <row r="48" spans="1:3" ht="14.5" x14ac:dyDescent="0.3">
      <c r="A48" s="321" t="s">
        <v>675</v>
      </c>
      <c r="B48" s="321">
        <v>1000</v>
      </c>
      <c r="C48" s="319" t="s">
        <v>672</v>
      </c>
    </row>
    <row r="49" spans="1:3" ht="14.5" x14ac:dyDescent="0.3">
      <c r="A49" s="317" t="s">
        <v>636</v>
      </c>
      <c r="B49" s="321">
        <v>40000</v>
      </c>
      <c r="C49" s="317" t="s">
        <v>637</v>
      </c>
    </row>
    <row r="50" spans="1:3" x14ac:dyDescent="0.3">
      <c r="A50" s="319" t="s">
        <v>2188</v>
      </c>
      <c r="B50" s="318">
        <v>40000</v>
      </c>
      <c r="C50" s="317" t="s">
        <v>1352</v>
      </c>
    </row>
    <row r="51" spans="1:3" x14ac:dyDescent="0.3">
      <c r="A51" s="319" t="s">
        <v>1351</v>
      </c>
      <c r="B51" s="318">
        <v>40000</v>
      </c>
      <c r="C51" s="317" t="s">
        <v>1352</v>
      </c>
    </row>
    <row r="52" spans="1:3" x14ac:dyDescent="0.3">
      <c r="A52" s="319" t="s">
        <v>2189</v>
      </c>
      <c r="B52" s="318">
        <v>40000</v>
      </c>
      <c r="C52" s="317" t="s">
        <v>1352</v>
      </c>
    </row>
    <row r="53" spans="1:3" x14ac:dyDescent="0.3">
      <c r="A53" s="319" t="s">
        <v>1355</v>
      </c>
      <c r="B53" s="318">
        <v>40000</v>
      </c>
      <c r="C53" s="317" t="s">
        <v>1352</v>
      </c>
    </row>
    <row r="54" spans="1:3" x14ac:dyDescent="0.3">
      <c r="A54" s="319" t="s">
        <v>3085</v>
      </c>
      <c r="B54" s="318">
        <v>40000</v>
      </c>
      <c r="C54" s="317" t="s">
        <v>1352</v>
      </c>
    </row>
    <row r="55" spans="1:3" x14ac:dyDescent="0.3">
      <c r="A55" s="319" t="s">
        <v>2190</v>
      </c>
      <c r="B55" s="318">
        <v>40000</v>
      </c>
      <c r="C55" s="317" t="s">
        <v>1352</v>
      </c>
    </row>
    <row r="56" spans="1:3" x14ac:dyDescent="0.3">
      <c r="A56" s="319" t="s">
        <v>2730</v>
      </c>
      <c r="B56" s="318">
        <v>40000</v>
      </c>
      <c r="C56" s="317" t="s">
        <v>1352</v>
      </c>
    </row>
    <row r="57" spans="1:3" x14ac:dyDescent="0.3">
      <c r="A57" s="319" t="s">
        <v>1357</v>
      </c>
      <c r="B57" s="318">
        <v>40000</v>
      </c>
      <c r="C57" s="317" t="s">
        <v>1352</v>
      </c>
    </row>
    <row r="58" spans="1:3" x14ac:dyDescent="0.3">
      <c r="A58" s="319" t="s">
        <v>3396</v>
      </c>
      <c r="B58" s="321">
        <v>40000</v>
      </c>
      <c r="C58" s="317" t="s">
        <v>1352</v>
      </c>
    </row>
    <row r="59" spans="1:3" x14ac:dyDescent="0.3">
      <c r="A59" s="319" t="s">
        <v>3087</v>
      </c>
      <c r="B59" s="318">
        <v>40000</v>
      </c>
      <c r="C59" s="317" t="s">
        <v>1352</v>
      </c>
    </row>
    <row r="60" spans="1:3" x14ac:dyDescent="0.3">
      <c r="A60" s="319" t="s">
        <v>2732</v>
      </c>
      <c r="B60" s="318">
        <v>40000</v>
      </c>
      <c r="C60" s="317" t="s">
        <v>1352</v>
      </c>
    </row>
    <row r="61" spans="1:3" x14ac:dyDescent="0.3">
      <c r="A61" s="319" t="s">
        <v>3397</v>
      </c>
      <c r="B61" s="321">
        <v>40000</v>
      </c>
      <c r="C61" s="317" t="s">
        <v>1352</v>
      </c>
    </row>
    <row r="62" spans="1:3" x14ac:dyDescent="0.3">
      <c r="A62" s="317" t="s">
        <v>632</v>
      </c>
      <c r="B62" s="322" t="s">
        <v>634</v>
      </c>
      <c r="C62" s="317" t="s">
        <v>633</v>
      </c>
    </row>
    <row r="63" spans="1:3" ht="14.5" x14ac:dyDescent="0.3">
      <c r="A63" s="317" t="s">
        <v>4358</v>
      </c>
      <c r="B63" s="318">
        <f>NETsedrate.w1C*SYSTEMAREA.C*AREAFRAC.w1C</f>
        <v>8.265757754893718</v>
      </c>
      <c r="C63" s="317" t="s">
        <v>1058</v>
      </c>
    </row>
    <row r="64" spans="1:3" ht="14.5" x14ac:dyDescent="0.3">
      <c r="A64" s="317" t="s">
        <v>4359</v>
      </c>
      <c r="B64" s="318">
        <f>NETsedrate.w1R*SYSTEMAREA.R*AREAFRAC.w1R</f>
        <v>0.54598031594844021</v>
      </c>
      <c r="C64" s="317" t="s">
        <v>1058</v>
      </c>
    </row>
    <row r="65" spans="1:3" ht="14.5" x14ac:dyDescent="0.3">
      <c r="A65" s="317" t="s">
        <v>4360</v>
      </c>
      <c r="B65" s="318">
        <f>NETsedrate.w2C*SYSTEMAREA.C*AREAFRAC.w2C</f>
        <v>101.74743400000001</v>
      </c>
      <c r="C65" s="317" t="s">
        <v>1058</v>
      </c>
    </row>
    <row r="66" spans="1:3" ht="14.5" x14ac:dyDescent="0.3">
      <c r="A66" s="317" t="s">
        <v>4361</v>
      </c>
      <c r="B66" s="318">
        <f>NETsedrate.w2R*SYSTEMAREA.R*AREAFRAC.w2R</f>
        <v>2.7428797247595133E-2</v>
      </c>
      <c r="C66" s="317" t="s">
        <v>1058</v>
      </c>
    </row>
    <row r="67" spans="1:3" ht="14.5" x14ac:dyDescent="0.3">
      <c r="A67" s="317" t="s">
        <v>4362</v>
      </c>
      <c r="B67" s="318">
        <f>NETsedrate.wA*SYSTEMAREA.A*AREAFRAC.wA</f>
        <v>1.6171993911719766</v>
      </c>
      <c r="C67" s="317" t="s">
        <v>1058</v>
      </c>
    </row>
    <row r="68" spans="1:3" ht="14.5" x14ac:dyDescent="0.3">
      <c r="A68" s="317" t="s">
        <v>4363</v>
      </c>
      <c r="B68" s="318">
        <f>NETsedrate.wM*SYSTEMAREA.M*AREAFRAC.wM</f>
        <v>3.4720095874555419</v>
      </c>
      <c r="C68" s="317" t="s">
        <v>1058</v>
      </c>
    </row>
    <row r="69" spans="1:3" ht="14.5" x14ac:dyDescent="0.3">
      <c r="A69" s="317" t="s">
        <v>4364</v>
      </c>
      <c r="B69" s="318">
        <f>NETsedrate.wT*SYSTEMAREA.T*AREAFRAC.wT</f>
        <v>5.6601978691020065</v>
      </c>
      <c r="C69" s="317" t="s">
        <v>1058</v>
      </c>
    </row>
    <row r="70" spans="1:3" ht="14.5" x14ac:dyDescent="0.3">
      <c r="A70" s="317" t="s">
        <v>619</v>
      </c>
      <c r="B70" s="321">
        <v>500000</v>
      </c>
      <c r="C70" s="317" t="s">
        <v>620</v>
      </c>
    </row>
    <row r="71" spans="1:3" ht="14.5" x14ac:dyDescent="0.3">
      <c r="A71" s="317" t="s">
        <v>3081</v>
      </c>
      <c r="B71" s="318">
        <v>500000</v>
      </c>
      <c r="C71" s="317" t="s">
        <v>620</v>
      </c>
    </row>
    <row r="72" spans="1:3" ht="14.5" x14ac:dyDescent="0.3">
      <c r="A72" s="317" t="s">
        <v>2182</v>
      </c>
      <c r="B72" s="318">
        <v>500000</v>
      </c>
      <c r="C72" s="317" t="s">
        <v>620</v>
      </c>
    </row>
    <row r="73" spans="1:3" ht="14.5" x14ac:dyDescent="0.3">
      <c r="A73" s="317" t="s">
        <v>2723</v>
      </c>
      <c r="B73" s="318">
        <v>500000</v>
      </c>
      <c r="C73" s="317" t="s">
        <v>620</v>
      </c>
    </row>
    <row r="74" spans="1:3" ht="14.5" x14ac:dyDescent="0.3">
      <c r="A74" s="317" t="s">
        <v>1340</v>
      </c>
      <c r="B74" s="318">
        <v>500000</v>
      </c>
      <c r="C74" s="317" t="s">
        <v>620</v>
      </c>
    </row>
    <row r="75" spans="1:3" ht="14.5" x14ac:dyDescent="0.3">
      <c r="A75" s="317" t="s">
        <v>3392</v>
      </c>
      <c r="B75" s="318">
        <v>500000</v>
      </c>
      <c r="C75" s="317" t="s">
        <v>620</v>
      </c>
    </row>
    <row r="76" spans="1:3" x14ac:dyDescent="0.3">
      <c r="A76" s="319" t="s">
        <v>752</v>
      </c>
      <c r="B76" s="318">
        <v>1</v>
      </c>
      <c r="C76" s="317" t="s">
        <v>716</v>
      </c>
    </row>
    <row r="77" spans="1:3" x14ac:dyDescent="0.3">
      <c r="A77" s="319" t="s">
        <v>715</v>
      </c>
      <c r="B77" s="318">
        <v>1</v>
      </c>
      <c r="C77" s="317" t="s">
        <v>716</v>
      </c>
    </row>
    <row r="78" spans="1:3" x14ac:dyDescent="0.3">
      <c r="A78" s="319" t="s">
        <v>753</v>
      </c>
      <c r="B78" s="318">
        <v>1</v>
      </c>
      <c r="C78" s="317" t="s">
        <v>716</v>
      </c>
    </row>
    <row r="79" spans="1:3" x14ac:dyDescent="0.3">
      <c r="A79" s="319" t="s">
        <v>718</v>
      </c>
      <c r="B79" s="318">
        <v>1</v>
      </c>
      <c r="C79" s="317" t="s">
        <v>716</v>
      </c>
    </row>
    <row r="80" spans="1:3" x14ac:dyDescent="0.3">
      <c r="A80" s="319" t="s">
        <v>3016</v>
      </c>
      <c r="B80" s="318">
        <v>1</v>
      </c>
      <c r="C80" s="317" t="s">
        <v>716</v>
      </c>
    </row>
    <row r="81" spans="1:3" x14ac:dyDescent="0.3">
      <c r="A81" s="319" t="s">
        <v>754</v>
      </c>
      <c r="B81" s="318">
        <v>1</v>
      </c>
      <c r="C81" s="317" t="s">
        <v>716</v>
      </c>
    </row>
    <row r="82" spans="1:3" x14ac:dyDescent="0.3">
      <c r="A82" s="319" t="s">
        <v>2625</v>
      </c>
      <c r="B82" s="318">
        <v>1</v>
      </c>
      <c r="C82" s="317" t="s">
        <v>716</v>
      </c>
    </row>
    <row r="83" spans="1:3" x14ac:dyDescent="0.3">
      <c r="A83" s="319" t="s">
        <v>719</v>
      </c>
      <c r="B83" s="318">
        <v>1</v>
      </c>
      <c r="C83" s="317" t="s">
        <v>716</v>
      </c>
    </row>
    <row r="84" spans="1:3" x14ac:dyDescent="0.3">
      <c r="A84" s="319" t="s">
        <v>3332</v>
      </c>
      <c r="B84" s="318">
        <v>1</v>
      </c>
      <c r="C84" s="317" t="s">
        <v>716</v>
      </c>
    </row>
    <row r="85" spans="1:3" x14ac:dyDescent="0.3">
      <c r="A85" s="319" t="s">
        <v>3017</v>
      </c>
      <c r="B85" s="318">
        <v>1</v>
      </c>
      <c r="C85" s="317" t="s">
        <v>716</v>
      </c>
    </row>
    <row r="86" spans="1:3" x14ac:dyDescent="0.3">
      <c r="A86" s="319" t="s">
        <v>2627</v>
      </c>
      <c r="B86" s="318">
        <v>1</v>
      </c>
      <c r="C86" s="317" t="s">
        <v>716</v>
      </c>
    </row>
    <row r="87" spans="1:3" x14ac:dyDescent="0.3">
      <c r="A87" s="319" t="s">
        <v>3333</v>
      </c>
      <c r="B87" s="318">
        <v>1</v>
      </c>
      <c r="C87" s="317" t="s">
        <v>716</v>
      </c>
    </row>
    <row r="88" spans="1:3" x14ac:dyDescent="0.3">
      <c r="A88" s="319" t="s">
        <v>3044</v>
      </c>
      <c r="B88" s="318">
        <v>200000</v>
      </c>
      <c r="C88" s="317" t="s">
        <v>291</v>
      </c>
    </row>
    <row r="89" spans="1:3" x14ac:dyDescent="0.3">
      <c r="A89" s="319" t="s">
        <v>2106</v>
      </c>
      <c r="B89" s="318">
        <v>200000</v>
      </c>
      <c r="C89" s="317" t="s">
        <v>291</v>
      </c>
    </row>
    <row r="90" spans="1:3" x14ac:dyDescent="0.3">
      <c r="A90" s="319" t="s">
        <v>2669</v>
      </c>
      <c r="B90" s="318">
        <v>200000</v>
      </c>
      <c r="C90" s="317" t="s">
        <v>291</v>
      </c>
    </row>
    <row r="91" spans="1:3" x14ac:dyDescent="0.3">
      <c r="A91" s="319" t="s">
        <v>1203</v>
      </c>
      <c r="B91" s="318">
        <v>200000</v>
      </c>
      <c r="C91" s="317" t="s">
        <v>291</v>
      </c>
    </row>
    <row r="92" spans="1:3" x14ac:dyDescent="0.3">
      <c r="A92" s="319" t="s">
        <v>3357</v>
      </c>
      <c r="B92" s="321">
        <v>200000</v>
      </c>
      <c r="C92" s="317" t="s">
        <v>291</v>
      </c>
    </row>
    <row r="93" spans="1:3" x14ac:dyDescent="0.3">
      <c r="A93" s="319" t="s">
        <v>784</v>
      </c>
      <c r="B93" s="321">
        <v>0.02</v>
      </c>
      <c r="C93" s="317" t="s">
        <v>291</v>
      </c>
    </row>
    <row r="94" spans="1:3" x14ac:dyDescent="0.3">
      <c r="A94" s="319" t="s">
        <v>2053</v>
      </c>
      <c r="B94" s="318">
        <v>0.02</v>
      </c>
      <c r="C94" s="317" t="s">
        <v>291</v>
      </c>
    </row>
    <row r="95" spans="1:3" x14ac:dyDescent="0.3">
      <c r="A95" s="319" t="s">
        <v>1134</v>
      </c>
      <c r="B95" s="318">
        <v>0.02</v>
      </c>
      <c r="C95" s="317" t="s">
        <v>291</v>
      </c>
    </row>
    <row r="96" spans="1:3" x14ac:dyDescent="0.3">
      <c r="A96" s="319" t="s">
        <v>2060</v>
      </c>
      <c r="B96" s="318">
        <v>0.02</v>
      </c>
      <c r="C96" s="317" t="s">
        <v>291</v>
      </c>
    </row>
    <row r="97" spans="1:3" x14ac:dyDescent="0.3">
      <c r="A97" s="319" t="s">
        <v>1144</v>
      </c>
      <c r="B97" s="318">
        <v>0.02</v>
      </c>
      <c r="C97" s="317" t="s">
        <v>291</v>
      </c>
    </row>
    <row r="98" spans="1:3" x14ac:dyDescent="0.3">
      <c r="A98" s="319" t="s">
        <v>2067</v>
      </c>
      <c r="B98" s="318">
        <v>0.02</v>
      </c>
      <c r="C98" s="317" t="s">
        <v>291</v>
      </c>
    </row>
    <row r="99" spans="1:3" x14ac:dyDescent="0.3">
      <c r="A99" s="319" t="s">
        <v>1154</v>
      </c>
      <c r="B99" s="318">
        <v>0.02</v>
      </c>
      <c r="C99" s="317" t="s">
        <v>291</v>
      </c>
    </row>
    <row r="100" spans="1:3" x14ac:dyDescent="0.3">
      <c r="A100" s="319" t="s">
        <v>3025</v>
      </c>
      <c r="B100" s="318">
        <v>0.02</v>
      </c>
      <c r="C100" s="317" t="s">
        <v>291</v>
      </c>
    </row>
    <row r="101" spans="1:3" x14ac:dyDescent="0.3">
      <c r="A101" s="319" t="s">
        <v>2043</v>
      </c>
      <c r="B101" s="318">
        <v>0.05</v>
      </c>
      <c r="C101" s="317" t="s">
        <v>291</v>
      </c>
    </row>
    <row r="102" spans="1:3" x14ac:dyDescent="0.3">
      <c r="A102" s="319" t="s">
        <v>1118</v>
      </c>
      <c r="B102" s="318">
        <v>0.05</v>
      </c>
      <c r="C102" s="317" t="s">
        <v>291</v>
      </c>
    </row>
    <row r="103" spans="1:3" x14ac:dyDescent="0.3">
      <c r="A103" s="319" t="s">
        <v>2046</v>
      </c>
      <c r="B103" s="318">
        <v>0.05</v>
      </c>
      <c r="C103" s="317" t="s">
        <v>291</v>
      </c>
    </row>
    <row r="104" spans="1:3" x14ac:dyDescent="0.3">
      <c r="A104" s="319" t="s">
        <v>1124</v>
      </c>
      <c r="B104" s="318">
        <v>0.05</v>
      </c>
      <c r="C104" s="317" t="s">
        <v>291</v>
      </c>
    </row>
    <row r="105" spans="1:3" x14ac:dyDescent="0.3">
      <c r="A105" s="319" t="s">
        <v>3020</v>
      </c>
      <c r="B105" s="318">
        <v>0.05</v>
      </c>
      <c r="C105" s="317" t="s">
        <v>291</v>
      </c>
    </row>
    <row r="106" spans="1:3" x14ac:dyDescent="0.3">
      <c r="A106" s="319" t="s">
        <v>2633</v>
      </c>
      <c r="B106" s="318">
        <v>0.05</v>
      </c>
      <c r="C106" s="317" t="s">
        <v>291</v>
      </c>
    </row>
    <row r="107" spans="1:3" x14ac:dyDescent="0.3">
      <c r="A107" s="319" t="s">
        <v>3336</v>
      </c>
      <c r="B107" s="318">
        <v>0.05</v>
      </c>
      <c r="C107" s="317" t="s">
        <v>291</v>
      </c>
    </row>
    <row r="108" spans="1:3" x14ac:dyDescent="0.3">
      <c r="A108" s="319" t="s">
        <v>2643</v>
      </c>
      <c r="B108" s="318">
        <v>0.02</v>
      </c>
      <c r="C108" s="317" t="s">
        <v>291</v>
      </c>
    </row>
    <row r="109" spans="1:3" x14ac:dyDescent="0.3">
      <c r="A109" s="319" t="s">
        <v>3341</v>
      </c>
      <c r="B109" s="318">
        <v>0.02</v>
      </c>
      <c r="C109" s="317" t="s">
        <v>291</v>
      </c>
    </row>
    <row r="110" spans="1:3" x14ac:dyDescent="0.3">
      <c r="A110" s="319" t="s">
        <v>2026</v>
      </c>
      <c r="B110" s="318">
        <v>0.1</v>
      </c>
      <c r="C110" s="317" t="s">
        <v>291</v>
      </c>
    </row>
    <row r="111" spans="1:3" x14ac:dyDescent="0.3">
      <c r="A111" s="319" t="s">
        <v>1093</v>
      </c>
      <c r="B111" s="318">
        <v>0.1</v>
      </c>
      <c r="C111" s="317" t="s">
        <v>291</v>
      </c>
    </row>
    <row r="112" spans="1:3" x14ac:dyDescent="0.3">
      <c r="A112" s="319" t="s">
        <v>2031</v>
      </c>
      <c r="B112" s="318">
        <v>0.1</v>
      </c>
      <c r="C112" s="317" t="s">
        <v>291</v>
      </c>
    </row>
    <row r="113" spans="1:3" x14ac:dyDescent="0.3">
      <c r="A113" s="319" t="s">
        <v>1100</v>
      </c>
      <c r="B113" s="318">
        <v>0.1</v>
      </c>
      <c r="C113" s="317" t="s">
        <v>291</v>
      </c>
    </row>
    <row r="114" spans="1:3" x14ac:dyDescent="0.3">
      <c r="A114" s="319" t="s">
        <v>3010</v>
      </c>
      <c r="B114" s="318">
        <v>0.1</v>
      </c>
      <c r="C114" s="317" t="s">
        <v>291</v>
      </c>
    </row>
    <row r="115" spans="1:3" x14ac:dyDescent="0.3">
      <c r="A115" s="319" t="s">
        <v>2036</v>
      </c>
      <c r="B115" s="318">
        <v>0.1</v>
      </c>
      <c r="C115" s="317" t="s">
        <v>291</v>
      </c>
    </row>
    <row r="116" spans="1:3" x14ac:dyDescent="0.3">
      <c r="A116" s="319" t="s">
        <v>2613</v>
      </c>
      <c r="B116" s="318">
        <v>0.1</v>
      </c>
      <c r="C116" s="317" t="s">
        <v>291</v>
      </c>
    </row>
    <row r="117" spans="1:3" x14ac:dyDescent="0.3">
      <c r="A117" s="319" t="s">
        <v>1105</v>
      </c>
      <c r="B117" s="318">
        <v>0.1</v>
      </c>
      <c r="C117" s="317" t="s">
        <v>291</v>
      </c>
    </row>
    <row r="118" spans="1:3" x14ac:dyDescent="0.3">
      <c r="A118" s="319" t="s">
        <v>3326</v>
      </c>
      <c r="B118" s="323">
        <v>0.1</v>
      </c>
      <c r="C118" s="317" t="s">
        <v>291</v>
      </c>
    </row>
    <row r="119" spans="1:3" x14ac:dyDescent="0.3">
      <c r="A119" s="319" t="s">
        <v>3011</v>
      </c>
      <c r="B119" s="318">
        <v>0.1</v>
      </c>
      <c r="C119" s="317" t="s">
        <v>291</v>
      </c>
    </row>
    <row r="120" spans="1:3" x14ac:dyDescent="0.3">
      <c r="A120" s="319" t="s">
        <v>2615</v>
      </c>
      <c r="B120" s="318">
        <v>0.1</v>
      </c>
      <c r="C120" s="317" t="s">
        <v>291</v>
      </c>
    </row>
    <row r="121" spans="1:3" x14ac:dyDescent="0.3">
      <c r="A121" s="319" t="s">
        <v>3327</v>
      </c>
      <c r="B121" s="323">
        <v>0.1</v>
      </c>
      <c r="C121" s="317" t="s">
        <v>291</v>
      </c>
    </row>
    <row r="122" spans="1:3" x14ac:dyDescent="0.3">
      <c r="A122" s="321" t="s">
        <v>782</v>
      </c>
      <c r="B122" s="318">
        <v>0.1</v>
      </c>
      <c r="C122" s="321" t="s">
        <v>291</v>
      </c>
    </row>
    <row r="123" spans="1:3" x14ac:dyDescent="0.3">
      <c r="A123" s="317" t="s">
        <v>2202</v>
      </c>
      <c r="B123" s="318" t="e">
        <f>(EXP((-1/0.1)*DEPTHdrain.s1C)*(1/0.1)*DEPTH.s1C/(1-EXP((-1/0.1)*DEPTH.s1C)))</f>
        <v>#NAME?</v>
      </c>
      <c r="C123" s="321" t="s">
        <v>291</v>
      </c>
    </row>
    <row r="124" spans="1:3" x14ac:dyDescent="0.3">
      <c r="A124" s="317" t="s">
        <v>1378</v>
      </c>
      <c r="B124" s="318" t="e">
        <f>(EXP((-1/0.1)*DEPTHdrain.s1R)*(1/0.1)*DEPTH.s1R/(1-EXP((-1/0.1)*DEPTH.s1R)))</f>
        <v>#NAME?</v>
      </c>
      <c r="C124" s="321" t="s">
        <v>291</v>
      </c>
    </row>
    <row r="125" spans="1:3" x14ac:dyDescent="0.3">
      <c r="A125" s="317" t="s">
        <v>2203</v>
      </c>
      <c r="B125" s="318" t="e">
        <f>(EXP((-1/0.1)*DEPTHdrain.s2C)*(1/0.1)*DEPTH.s2C/(1-EXP((-1/0.1)*DEPTH.s2C)))</f>
        <v>#NAME?</v>
      </c>
      <c r="C125" s="321" t="s">
        <v>291</v>
      </c>
    </row>
    <row r="126" spans="1:3" x14ac:dyDescent="0.3">
      <c r="A126" s="317" t="s">
        <v>1379</v>
      </c>
      <c r="B126" s="318" t="e">
        <f>(EXP((-1/0.1)*DEPTHdrain.s2R)*(1/0.1)*DEPTH.s2R/(1-EXP((-1/0.1)*DEPTH.s2R)))</f>
        <v>#NAME?</v>
      </c>
      <c r="C126" s="321" t="s">
        <v>291</v>
      </c>
    </row>
    <row r="127" spans="1:3" x14ac:dyDescent="0.3">
      <c r="A127" s="317" t="s">
        <v>2204</v>
      </c>
      <c r="B127" s="318" t="e">
        <f>(EXP((-1/0.1)*DEPTHdrain.s3C)*(1/0.1)*DEPTH.s3C/(1-EXP((-1/0.1)*DEPTH.s3C)))</f>
        <v>#NAME?</v>
      </c>
      <c r="C127" s="321" t="s">
        <v>291</v>
      </c>
    </row>
    <row r="128" spans="1:3" x14ac:dyDescent="0.3">
      <c r="A128" s="317" t="s">
        <v>1380</v>
      </c>
      <c r="B128" s="318" t="e">
        <f>(EXP((-1/0.1)*DEPTHdrain.s3R)*(1/0.1)*DEPTH.s3R/(1-EXP((-1/0.1)*DEPTH.s3R)))</f>
        <v>#NAME?</v>
      </c>
      <c r="C128" s="321" t="s">
        <v>291</v>
      </c>
    </row>
    <row r="129" spans="1:3" x14ac:dyDescent="0.3">
      <c r="A129" s="317" t="s">
        <v>3092</v>
      </c>
      <c r="B129" s="318">
        <f>CORRvolat.sA*EXP((-1/0.1)*DEPTH.sA)</f>
        <v>0.77074704126839921</v>
      </c>
      <c r="C129" s="321" t="s">
        <v>291</v>
      </c>
    </row>
    <row r="130" spans="1:3" x14ac:dyDescent="0.3">
      <c r="A130" s="317" t="s">
        <v>2740</v>
      </c>
      <c r="B130" s="318">
        <f>CORRvolat.sM*EXP((-1/0.1)*DEPTH.sM)</f>
        <v>0.77074704126839921</v>
      </c>
      <c r="C130" s="321" t="s">
        <v>291</v>
      </c>
    </row>
    <row r="131" spans="1:3" x14ac:dyDescent="0.3">
      <c r="A131" s="317" t="s">
        <v>3402</v>
      </c>
      <c r="B131" s="318">
        <f>CORRvolat.sT*EXP((-1/0.1)*DEPTH.sT)</f>
        <v>0.77074704126839921</v>
      </c>
      <c r="C131" s="321" t="s">
        <v>291</v>
      </c>
    </row>
    <row r="132" spans="1:3" ht="65" x14ac:dyDescent="0.3">
      <c r="A132" s="317" t="s">
        <v>2166</v>
      </c>
      <c r="B132" s="324" t="s">
        <v>4365</v>
      </c>
      <c r="C132" s="321" t="s">
        <v>291</v>
      </c>
    </row>
    <row r="133" spans="1:3" ht="65" x14ac:dyDescent="0.3">
      <c r="A133" s="317" t="s">
        <v>1311</v>
      </c>
      <c r="B133" s="324" t="s">
        <v>4366</v>
      </c>
      <c r="C133" s="321" t="s">
        <v>291</v>
      </c>
    </row>
    <row r="134" spans="1:3" ht="65" x14ac:dyDescent="0.3">
      <c r="A134" s="317" t="s">
        <v>2167</v>
      </c>
      <c r="B134" s="324" t="s">
        <v>4367</v>
      </c>
      <c r="C134" s="321" t="s">
        <v>291</v>
      </c>
    </row>
    <row r="135" spans="1:3" ht="65" x14ac:dyDescent="0.3">
      <c r="A135" s="317" t="s">
        <v>1312</v>
      </c>
      <c r="B135" s="324" t="s">
        <v>4368</v>
      </c>
      <c r="C135" s="321" t="s">
        <v>291</v>
      </c>
    </row>
    <row r="136" spans="1:3" ht="65" x14ac:dyDescent="0.3">
      <c r="A136" s="317" t="s">
        <v>2168</v>
      </c>
      <c r="B136" s="324" t="s">
        <v>4369</v>
      </c>
      <c r="C136" s="321" t="s">
        <v>291</v>
      </c>
    </row>
    <row r="137" spans="1:3" ht="65" x14ac:dyDescent="0.3">
      <c r="A137" s="317" t="s">
        <v>1313</v>
      </c>
      <c r="B137" s="324" t="s">
        <v>4370</v>
      </c>
      <c r="C137" s="321" t="s">
        <v>291</v>
      </c>
    </row>
    <row r="138" spans="1:3" x14ac:dyDescent="0.3">
      <c r="A138" s="317" t="s">
        <v>3072</v>
      </c>
      <c r="B138" s="318" t="e">
        <f>SURFfrac.sA*CORRvolat.sA+SUBSURFfrac.sA*(EXP((-1/FRACs.sdA)*DEPTHsubsurf.sA*(1/FRACs.sdA)*DEPTH.sA)/(1-EXP((-1/0.1)*DEPTH.sA)))</f>
        <v>#NAME?</v>
      </c>
      <c r="C138" s="321" t="s">
        <v>291</v>
      </c>
    </row>
    <row r="139" spans="1:3" x14ac:dyDescent="0.3">
      <c r="A139" s="317" t="s">
        <v>2710</v>
      </c>
      <c r="B139" s="318" t="e">
        <f>SURFfrac.sM*CORRvolat.sM+SUBSURFfrac.sM*(EXP((-1/FRACs.sdM)*DEPTHsubsurf.sM*(1/FRACs.sdM)*DEPTH.sM)/(1-EXP((-1/0.1)*DEPTH.sM)))</f>
        <v>#NAME?</v>
      </c>
      <c r="C139" s="321" t="s">
        <v>291</v>
      </c>
    </row>
    <row r="140" spans="1:3" x14ac:dyDescent="0.3">
      <c r="A140" s="317" t="s">
        <v>3383</v>
      </c>
      <c r="B140" s="318" t="e">
        <f>SURFfrac.sT*CORRvolat.sT+SUBSURFfrac.sT*(EXP((-1/FRACs.sdT)*DEPTHsubsurf.sT*(1/FRACs.sdT)*DEPTH.sT)/(1-EXP((-1/0.1)*DEPTH.sT)))</f>
        <v>#NAME?</v>
      </c>
      <c r="C140" s="321" t="s">
        <v>291</v>
      </c>
    </row>
    <row r="141" spans="1:3" x14ac:dyDescent="0.3">
      <c r="A141" s="317" t="s">
        <v>2124</v>
      </c>
      <c r="B141" s="318">
        <f>(1/0.1)*DEPTH.s1C/(1-EXP((-1/0.1)*DEPTH.s1C))</f>
        <v>1.2707470412683992</v>
      </c>
      <c r="C141" s="321" t="s">
        <v>291</v>
      </c>
    </row>
    <row r="142" spans="1:3" x14ac:dyDescent="0.3">
      <c r="A142" s="317" t="s">
        <v>1230</v>
      </c>
      <c r="B142" s="318">
        <f>(1/0.1)*DEPTH.s1R/(1-EXP((-1/0.1)*DEPTH.s1R))</f>
        <v>1.2707470412683992</v>
      </c>
      <c r="C142" s="321" t="s">
        <v>291</v>
      </c>
    </row>
    <row r="143" spans="1:3" x14ac:dyDescent="0.3">
      <c r="A143" s="317" t="s">
        <v>2125</v>
      </c>
      <c r="B143" s="318">
        <f>(1/0.1)*DEPTH.s2C/(1-EXP((-1/0.1)*DEPTH.s2C))</f>
        <v>2.3130352854993315</v>
      </c>
      <c r="C143" s="321" t="s">
        <v>291</v>
      </c>
    </row>
    <row r="144" spans="1:3" x14ac:dyDescent="0.3">
      <c r="A144" s="317" t="s">
        <v>1232</v>
      </c>
      <c r="B144" s="318">
        <f>(1/0.1)*DEPTH.s2R/(1-EXP((-1/0.1)*DEPTH.s2R))</f>
        <v>2.3130352854993315</v>
      </c>
      <c r="C144" s="321" t="s">
        <v>291</v>
      </c>
    </row>
    <row r="145" spans="1:3" x14ac:dyDescent="0.3">
      <c r="A145" s="317" t="s">
        <v>2126</v>
      </c>
      <c r="B145" s="318">
        <f>(1/0.1)*DEPTH.s3C/(1-EXP((-1/0.1)*DEPTH.s3C))</f>
        <v>1.2707470412683992</v>
      </c>
      <c r="C145" s="321" t="s">
        <v>291</v>
      </c>
    </row>
    <row r="146" spans="1:3" x14ac:dyDescent="0.3">
      <c r="A146" s="317" t="s">
        <v>1233</v>
      </c>
      <c r="B146" s="318">
        <f>(1/0.1)*DEPTH.s3R/(1-EXP((-1/0.1)*DEPTH.s3R))</f>
        <v>1.2707470412683992</v>
      </c>
      <c r="C146" s="321" t="s">
        <v>291</v>
      </c>
    </row>
    <row r="147" spans="1:3" x14ac:dyDescent="0.3">
      <c r="A147" s="317" t="s">
        <v>3054</v>
      </c>
      <c r="B147" s="318">
        <f>(1/0.1)*DEPTH.sA/(1-EXP((-1/0.1)*DEPTH.sA))</f>
        <v>1.2707470412683992</v>
      </c>
      <c r="C147" s="321" t="s">
        <v>291</v>
      </c>
    </row>
    <row r="148" spans="1:3" x14ac:dyDescent="0.3">
      <c r="A148" s="317" t="s">
        <v>2682</v>
      </c>
      <c r="B148" s="318">
        <f>(1/0.1)*DEPTH.sM/(1-EXP((-1/0.1)*DEPTH.sM))</f>
        <v>1.2707470412683992</v>
      </c>
      <c r="C148" s="321" t="s">
        <v>291</v>
      </c>
    </row>
    <row r="149" spans="1:3" x14ac:dyDescent="0.3">
      <c r="A149" s="317" t="s">
        <v>3367</v>
      </c>
      <c r="B149" s="318">
        <f>(1/0.1)*DEPTH.sT/(1-EXP((-1/0.1)*DEPTH.sT))</f>
        <v>1.2707470412683992</v>
      </c>
      <c r="C149" s="321" t="s">
        <v>291</v>
      </c>
    </row>
    <row r="150" spans="1:3" ht="52" x14ac:dyDescent="0.3">
      <c r="A150" s="317" t="s">
        <v>543</v>
      </c>
      <c r="B150" s="324" t="s">
        <v>4371</v>
      </c>
      <c r="C150" s="317" t="s">
        <v>291</v>
      </c>
    </row>
    <row r="151" spans="1:3" ht="14.5" x14ac:dyDescent="0.3">
      <c r="A151" s="317" t="s">
        <v>4372</v>
      </c>
      <c r="B151" s="318">
        <f>(KDEPmean.A*HEIGHT.aA)*(SYSTEMAREA.A*AREAFRAC.sA)</f>
        <v>136287023657.60262</v>
      </c>
      <c r="C151" s="321" t="s">
        <v>1058</v>
      </c>
    </row>
    <row r="152" spans="1:3" ht="14.5" x14ac:dyDescent="0.3">
      <c r="A152" s="317" t="s">
        <v>4373</v>
      </c>
      <c r="B152" s="318">
        <f>(KDEPmean.A*HEIGHT.aA)*(SYSTEMAREA.A*AREAFRAC.wA)</f>
        <v>204430535486.40393</v>
      </c>
      <c r="C152" s="321" t="s">
        <v>1058</v>
      </c>
    </row>
    <row r="153" spans="1:3" ht="14.5" x14ac:dyDescent="0.3">
      <c r="A153" s="317" t="s">
        <v>4374</v>
      </c>
      <c r="B153" s="318" t="e">
        <f>(KDEPmean.C*HEIGHT.aC)*(SYSTEMAREA.C*AREAFRAC.s1C)</f>
        <v>#NAME?</v>
      </c>
      <c r="C153" s="317" t="s">
        <v>1058</v>
      </c>
    </row>
    <row r="154" spans="1:3" ht="14.5" x14ac:dyDescent="0.3">
      <c r="A154" s="317" t="s">
        <v>4375</v>
      </c>
      <c r="B154" s="318" t="e">
        <f>(KDEPmean.C*HEIGHT.aC)*(SYSTEMAREA.C*AREAFRAC.s2C)</f>
        <v>#NAME?</v>
      </c>
      <c r="C154" s="317" t="s">
        <v>1058</v>
      </c>
    </row>
    <row r="155" spans="1:3" ht="14.5" x14ac:dyDescent="0.3">
      <c r="A155" s="317" t="s">
        <v>4376</v>
      </c>
      <c r="B155" s="318" t="e">
        <f>(KDEPmean.C*HEIGHT.aC)*(SYSTEMAREA.C*AREAFRAC.s3C)</f>
        <v>#NAME?</v>
      </c>
      <c r="C155" s="317" t="s">
        <v>1058</v>
      </c>
    </row>
    <row r="156" spans="1:3" ht="14.5" x14ac:dyDescent="0.3">
      <c r="A156" s="317" t="s">
        <v>4377</v>
      </c>
      <c r="B156" s="318" t="e">
        <f>(KDEPmean.C*HEIGHT.aC)*(SYSTEMAREA.C*AREAFRAC.w0C)</f>
        <v>#NAME?</v>
      </c>
      <c r="C156" s="317" t="s">
        <v>1058</v>
      </c>
    </row>
    <row r="157" spans="1:3" ht="14.5" x14ac:dyDescent="0.3">
      <c r="A157" s="317" t="s">
        <v>4378</v>
      </c>
      <c r="B157" s="318" t="e">
        <f>(KDEPmean.C*HEIGHT.aC)*(SYSTEMAREA.C*AREAFRAC.w1C)</f>
        <v>#NAME?</v>
      </c>
      <c r="C157" s="317" t="s">
        <v>1058</v>
      </c>
    </row>
    <row r="158" spans="1:3" ht="14.5" x14ac:dyDescent="0.3">
      <c r="A158" s="317" t="s">
        <v>4379</v>
      </c>
      <c r="B158" s="318" t="e">
        <f>(KDEPmean.C*HEIGHT.aC)*(SYSTEMAREA.C*AREAFRAC.w2C)</f>
        <v>#NAME?</v>
      </c>
      <c r="C158" s="317" t="s">
        <v>1058</v>
      </c>
    </row>
    <row r="159" spans="1:3" ht="14.5" x14ac:dyDescent="0.3">
      <c r="A159" s="317" t="s">
        <v>4380</v>
      </c>
      <c r="B159" s="318">
        <f>(KDEPmean.M*HEIGHT.aM)*(SYSTEMAREA.M*AREAFRAC.sM)</f>
        <v>306734653218.52057</v>
      </c>
      <c r="C159" s="321" t="s">
        <v>1058</v>
      </c>
    </row>
    <row r="160" spans="1:3" ht="14.5" x14ac:dyDescent="0.3">
      <c r="A160" s="317" t="s">
        <v>4381</v>
      </c>
      <c r="B160" s="318">
        <f>(KDEPmean.M*HEIGHT.aM)*(SYSTEMAREA.M*AREAFRAC.wM)</f>
        <v>306734653218.52057</v>
      </c>
      <c r="C160" s="321" t="s">
        <v>1058</v>
      </c>
    </row>
    <row r="161" spans="1:3" ht="14.5" x14ac:dyDescent="0.3">
      <c r="A161" s="317" t="s">
        <v>4382</v>
      </c>
      <c r="B161" s="325" t="e">
        <f>(KDEPmean.R*HEIGHT.aR)*(SYSTEMAREA.R*AREAFRAC.s1R)</f>
        <v>#NAME?</v>
      </c>
      <c r="C161" s="317" t="s">
        <v>1058</v>
      </c>
    </row>
    <row r="162" spans="1:3" ht="14.5" x14ac:dyDescent="0.3">
      <c r="A162" s="317" t="s">
        <v>4383</v>
      </c>
      <c r="B162" s="325" t="e">
        <f>(KDEPmean.R*HEIGHT.aR)*(SYSTEMAREA.R*AREAFRAC.s2R)</f>
        <v>#NAME?</v>
      </c>
      <c r="C162" s="317" t="s">
        <v>1058</v>
      </c>
    </row>
    <row r="163" spans="1:3" ht="14.5" x14ac:dyDescent="0.3">
      <c r="A163" s="317" t="s">
        <v>4384</v>
      </c>
      <c r="B163" s="325" t="e">
        <f>(KDEPmean.R*HEIGHT.aR)*(SYSTEMAREA.R*AREAFRAC.s3R)</f>
        <v>#NAME?</v>
      </c>
      <c r="C163" s="317" t="s">
        <v>1058</v>
      </c>
    </row>
    <row r="164" spans="1:3" ht="14.5" x14ac:dyDescent="0.3">
      <c r="A164" s="317" t="s">
        <v>4385</v>
      </c>
      <c r="B164" s="325" t="e">
        <f>(KDEPmean.R*HEIGHT.aR)*(SYSTEMAREA.R*AREAFRAC.w0R)</f>
        <v>#NAME?</v>
      </c>
      <c r="C164" s="317" t="s">
        <v>1058</v>
      </c>
    </row>
    <row r="165" spans="1:3" ht="14.5" x14ac:dyDescent="0.3">
      <c r="A165" s="317" t="s">
        <v>4386</v>
      </c>
      <c r="B165" s="325" t="e">
        <f>(KDEPmean.R*HEIGHT.aR)*(SYSTEMAREA.R*AREAFRAC.w1R)</f>
        <v>#NAME?</v>
      </c>
      <c r="C165" s="317" t="s">
        <v>1058</v>
      </c>
    </row>
    <row r="166" spans="1:3" ht="14.5" x14ac:dyDescent="0.3">
      <c r="A166" s="317" t="s">
        <v>4387</v>
      </c>
      <c r="B166" s="325" t="e">
        <f>(KDEPmean.R*HEIGHT.aR)*(SYSTEMAREA.R*AREAFRAC.w2R)</f>
        <v>#NAME?</v>
      </c>
      <c r="C166" s="317" t="s">
        <v>1058</v>
      </c>
    </row>
    <row r="167" spans="1:3" ht="14.5" x14ac:dyDescent="0.3">
      <c r="A167" s="317" t="s">
        <v>4388</v>
      </c>
      <c r="B167" s="318">
        <f>(KDEPmean.T*HEIGHT.aT)*(SYSTEMAREA.T*AREAFRAC.sT)</f>
        <v>309305706614.83704</v>
      </c>
      <c r="C167" s="321" t="s">
        <v>1058</v>
      </c>
    </row>
    <row r="168" spans="1:3" ht="14.5" x14ac:dyDescent="0.3">
      <c r="A168" s="317" t="s">
        <v>4389</v>
      </c>
      <c r="B168" s="318">
        <f>(KDEPmean.T*HEIGHT.aT)*(SYSTEMAREA.T*AREAFRAC.wT)</f>
        <v>721713315434.61963</v>
      </c>
      <c r="C168" s="321" t="s">
        <v>1058</v>
      </c>
    </row>
    <row r="169" spans="1:3" x14ac:dyDescent="0.3">
      <c r="A169" s="319" t="s">
        <v>1956</v>
      </c>
      <c r="B169" s="318">
        <v>0.05</v>
      </c>
      <c r="C169" s="321" t="s">
        <v>813</v>
      </c>
    </row>
    <row r="170" spans="1:3" x14ac:dyDescent="0.3">
      <c r="A170" s="319" t="s">
        <v>1003</v>
      </c>
      <c r="B170" s="321">
        <v>0.05</v>
      </c>
      <c r="C170" s="317" t="s">
        <v>813</v>
      </c>
    </row>
    <row r="171" spans="1:3" x14ac:dyDescent="0.3">
      <c r="A171" s="319" t="s">
        <v>1958</v>
      </c>
      <c r="B171" s="318">
        <v>0.2</v>
      </c>
      <c r="C171" s="321" t="s">
        <v>813</v>
      </c>
    </row>
    <row r="172" spans="1:3" x14ac:dyDescent="0.3">
      <c r="A172" s="319" t="s">
        <v>1005</v>
      </c>
      <c r="B172" s="321">
        <v>0.2</v>
      </c>
      <c r="C172" s="317" t="s">
        <v>813</v>
      </c>
    </row>
    <row r="173" spans="1:3" x14ac:dyDescent="0.3">
      <c r="A173" s="319" t="s">
        <v>1959</v>
      </c>
      <c r="B173" s="318">
        <v>0.05</v>
      </c>
      <c r="C173" s="321" t="s">
        <v>813</v>
      </c>
    </row>
    <row r="174" spans="1:3" x14ac:dyDescent="0.3">
      <c r="A174" s="319" t="s">
        <v>1007</v>
      </c>
      <c r="B174" s="321">
        <v>0.05</v>
      </c>
      <c r="C174" s="317" t="s">
        <v>813</v>
      </c>
    </row>
    <row r="175" spans="1:3" x14ac:dyDescent="0.3">
      <c r="A175" s="319" t="s">
        <v>2972</v>
      </c>
      <c r="B175" s="318">
        <v>0.05</v>
      </c>
      <c r="C175" s="317" t="s">
        <v>813</v>
      </c>
    </row>
    <row r="176" spans="1:3" x14ac:dyDescent="0.3">
      <c r="A176" s="319" t="s">
        <v>1954</v>
      </c>
      <c r="B176" s="318">
        <v>3</v>
      </c>
      <c r="C176" s="321" t="s">
        <v>997</v>
      </c>
    </row>
    <row r="177" spans="1:3" x14ac:dyDescent="0.3">
      <c r="A177" s="319" t="s">
        <v>999</v>
      </c>
      <c r="B177" s="318">
        <v>3</v>
      </c>
      <c r="C177" s="317" t="s">
        <v>997</v>
      </c>
    </row>
    <row r="178" spans="1:3" x14ac:dyDescent="0.3">
      <c r="A178" s="319" t="s">
        <v>1955</v>
      </c>
      <c r="B178" s="318">
        <v>3</v>
      </c>
      <c r="C178" s="321" t="s">
        <v>997</v>
      </c>
    </row>
    <row r="179" spans="1:3" x14ac:dyDescent="0.3">
      <c r="A179" s="319" t="s">
        <v>1001</v>
      </c>
      <c r="B179" s="318">
        <v>3</v>
      </c>
      <c r="C179" s="317" t="s">
        <v>997</v>
      </c>
    </row>
    <row r="180" spans="1:3" x14ac:dyDescent="0.3">
      <c r="A180" s="319" t="s">
        <v>2971</v>
      </c>
      <c r="B180" s="318">
        <v>3</v>
      </c>
      <c r="C180" s="317" t="s">
        <v>997</v>
      </c>
    </row>
    <row r="181" spans="1:3" x14ac:dyDescent="0.3">
      <c r="A181" s="319" t="s">
        <v>2547</v>
      </c>
      <c r="B181" s="318">
        <v>3</v>
      </c>
      <c r="C181" s="317" t="s">
        <v>997</v>
      </c>
    </row>
    <row r="182" spans="1:3" x14ac:dyDescent="0.3">
      <c r="A182" s="319" t="s">
        <v>3290</v>
      </c>
      <c r="B182" s="321">
        <v>3</v>
      </c>
      <c r="C182" s="317" t="s">
        <v>997</v>
      </c>
    </row>
    <row r="183" spans="1:3" x14ac:dyDescent="0.3">
      <c r="A183" s="319" t="s">
        <v>2549</v>
      </c>
      <c r="B183" s="318">
        <v>0.05</v>
      </c>
      <c r="C183" s="317" t="s">
        <v>813</v>
      </c>
    </row>
    <row r="184" spans="1:3" x14ac:dyDescent="0.3">
      <c r="A184" s="319" t="s">
        <v>3291</v>
      </c>
      <c r="B184" s="318">
        <v>0.05</v>
      </c>
      <c r="C184" s="317" t="s">
        <v>813</v>
      </c>
    </row>
    <row r="185" spans="1:3" x14ac:dyDescent="0.3">
      <c r="A185" s="319" t="s">
        <v>1949</v>
      </c>
      <c r="B185" s="318">
        <f>DEPTHlake.C</f>
        <v>100</v>
      </c>
      <c r="C185" s="317" t="s">
        <v>813</v>
      </c>
    </row>
    <row r="186" spans="1:3" x14ac:dyDescent="0.3">
      <c r="A186" s="319" t="s">
        <v>990</v>
      </c>
      <c r="B186" s="318">
        <f>DEPTHlake.R</f>
        <v>100</v>
      </c>
      <c r="C186" s="317" t="s">
        <v>813</v>
      </c>
    </row>
    <row r="187" spans="1:3" x14ac:dyDescent="0.3">
      <c r="A187" s="319" t="s">
        <v>1950</v>
      </c>
      <c r="B187" s="318">
        <f>DEPTHfreshwater.C</f>
        <v>3</v>
      </c>
      <c r="C187" s="321" t="s">
        <v>813</v>
      </c>
    </row>
    <row r="188" spans="1:3" x14ac:dyDescent="0.3">
      <c r="A188" s="319" t="s">
        <v>992</v>
      </c>
      <c r="B188" s="318">
        <f>DEPTHfreshwater.R</f>
        <v>3</v>
      </c>
      <c r="C188" s="317" t="s">
        <v>813</v>
      </c>
    </row>
    <row r="189" spans="1:3" x14ac:dyDescent="0.3">
      <c r="A189" s="319" t="s">
        <v>2968</v>
      </c>
      <c r="B189" s="318">
        <v>100</v>
      </c>
      <c r="C189" s="317" t="s">
        <v>813</v>
      </c>
    </row>
    <row r="190" spans="1:3" x14ac:dyDescent="0.3">
      <c r="A190" s="319" t="s">
        <v>1951</v>
      </c>
      <c r="B190" s="318">
        <v>100</v>
      </c>
      <c r="C190" s="321" t="s">
        <v>813</v>
      </c>
    </row>
    <row r="191" spans="1:3" x14ac:dyDescent="0.3">
      <c r="A191" s="319" t="s">
        <v>2543</v>
      </c>
      <c r="B191" s="318">
        <v>100</v>
      </c>
      <c r="C191" s="317" t="s">
        <v>813</v>
      </c>
    </row>
    <row r="192" spans="1:3" x14ac:dyDescent="0.3">
      <c r="A192" s="319" t="s">
        <v>994</v>
      </c>
      <c r="B192" s="318">
        <v>10</v>
      </c>
      <c r="C192" s="317" t="s">
        <v>813</v>
      </c>
    </row>
    <row r="193" spans="1:3" x14ac:dyDescent="0.3">
      <c r="A193" s="319" t="s">
        <v>3288</v>
      </c>
      <c r="B193" s="321">
        <v>100</v>
      </c>
      <c r="C193" s="317" t="s">
        <v>813</v>
      </c>
    </row>
    <row r="194" spans="1:3" x14ac:dyDescent="0.3">
      <c r="A194" s="319" t="s">
        <v>2970</v>
      </c>
      <c r="B194" s="318">
        <v>3000</v>
      </c>
      <c r="C194" s="317" t="s">
        <v>813</v>
      </c>
    </row>
    <row r="195" spans="1:3" x14ac:dyDescent="0.3">
      <c r="A195" s="319" t="s">
        <v>2545</v>
      </c>
      <c r="B195" s="318">
        <v>3000</v>
      </c>
      <c r="C195" s="317" t="s">
        <v>813</v>
      </c>
    </row>
    <row r="196" spans="1:3" x14ac:dyDescent="0.3">
      <c r="A196" s="319" t="s">
        <v>3289</v>
      </c>
      <c r="B196" s="318">
        <v>3000</v>
      </c>
      <c r="C196" s="317" t="s">
        <v>813</v>
      </c>
    </row>
    <row r="197" spans="1:3" x14ac:dyDescent="0.3">
      <c r="A197" s="317" t="s">
        <v>4390</v>
      </c>
      <c r="B197" s="318">
        <v>0.5</v>
      </c>
      <c r="C197" s="319" t="s">
        <v>813</v>
      </c>
    </row>
    <row r="198" spans="1:3" x14ac:dyDescent="0.3">
      <c r="A198" s="317" t="s">
        <v>4391</v>
      </c>
      <c r="B198" s="318">
        <v>0.5</v>
      </c>
      <c r="C198" s="319" t="s">
        <v>813</v>
      </c>
    </row>
    <row r="199" spans="1:3" x14ac:dyDescent="0.3">
      <c r="A199" s="317" t="s">
        <v>4392</v>
      </c>
      <c r="B199" s="318">
        <v>0.5</v>
      </c>
      <c r="C199" s="319" t="s">
        <v>813</v>
      </c>
    </row>
    <row r="200" spans="1:3" x14ac:dyDescent="0.3">
      <c r="A200" s="317" t="s">
        <v>4393</v>
      </c>
      <c r="B200" s="318">
        <v>0.5</v>
      </c>
      <c r="C200" s="319" t="s">
        <v>813</v>
      </c>
    </row>
    <row r="201" spans="1:3" x14ac:dyDescent="0.3">
      <c r="A201" s="317" t="s">
        <v>4394</v>
      </c>
      <c r="B201" s="318">
        <v>0.5</v>
      </c>
      <c r="C201" s="319" t="s">
        <v>813</v>
      </c>
    </row>
    <row r="202" spans="1:3" x14ac:dyDescent="0.3">
      <c r="A202" s="317" t="s">
        <v>4395</v>
      </c>
      <c r="B202" s="318">
        <v>0.5</v>
      </c>
      <c r="C202" s="319" t="s">
        <v>813</v>
      </c>
    </row>
    <row r="203" spans="1:3" x14ac:dyDescent="0.3">
      <c r="A203" s="321" t="s">
        <v>743</v>
      </c>
      <c r="B203" s="321">
        <v>3</v>
      </c>
      <c r="C203" s="321" t="s">
        <v>279</v>
      </c>
    </row>
    <row r="204" spans="1:3" x14ac:dyDescent="0.3">
      <c r="A204" s="321" t="s">
        <v>697</v>
      </c>
      <c r="B204" s="321">
        <v>3</v>
      </c>
      <c r="C204" s="321" t="s">
        <v>279</v>
      </c>
    </row>
    <row r="205" spans="1:3" x14ac:dyDescent="0.3">
      <c r="A205" s="321" t="s">
        <v>742</v>
      </c>
      <c r="B205" s="321">
        <v>100</v>
      </c>
      <c r="C205" s="321" t="s">
        <v>279</v>
      </c>
    </row>
    <row r="206" spans="1:3" x14ac:dyDescent="0.3">
      <c r="A206" s="321" t="s">
        <v>695</v>
      </c>
      <c r="B206" s="321">
        <v>100</v>
      </c>
      <c r="C206" s="321" t="s">
        <v>279</v>
      </c>
    </row>
    <row r="207" spans="1:3" x14ac:dyDescent="0.3">
      <c r="A207" s="317" t="s">
        <v>4396</v>
      </c>
      <c r="B207" s="318">
        <v>0.1</v>
      </c>
      <c r="C207" s="319" t="s">
        <v>813</v>
      </c>
    </row>
    <row r="208" spans="1:3" x14ac:dyDescent="0.3">
      <c r="A208" s="317" t="s">
        <v>4397</v>
      </c>
      <c r="B208" s="318">
        <v>0.1</v>
      </c>
      <c r="C208" s="319" t="s">
        <v>813</v>
      </c>
    </row>
    <row r="209" spans="1:3" x14ac:dyDescent="0.3">
      <c r="A209" s="317" t="s">
        <v>4398</v>
      </c>
      <c r="B209" s="318">
        <v>0.1</v>
      </c>
      <c r="C209" s="319" t="s">
        <v>813</v>
      </c>
    </row>
    <row r="210" spans="1:3" x14ac:dyDescent="0.3">
      <c r="A210" s="317" t="s">
        <v>4399</v>
      </c>
      <c r="B210" s="318">
        <v>0.1</v>
      </c>
      <c r="C210" s="319" t="s">
        <v>813</v>
      </c>
    </row>
    <row r="211" spans="1:3" x14ac:dyDescent="0.3">
      <c r="A211" s="317" t="s">
        <v>4400</v>
      </c>
      <c r="B211" s="318">
        <v>0.1</v>
      </c>
      <c r="C211" s="319" t="s">
        <v>813</v>
      </c>
    </row>
    <row r="212" spans="1:3" x14ac:dyDescent="0.3">
      <c r="A212" s="317" t="s">
        <v>4401</v>
      </c>
      <c r="B212" s="318">
        <v>0.1</v>
      </c>
      <c r="C212" s="319" t="s">
        <v>813</v>
      </c>
    </row>
    <row r="213" spans="1:3" x14ac:dyDescent="0.3">
      <c r="A213" s="317" t="s">
        <v>4402</v>
      </c>
      <c r="B213" s="318">
        <v>0.1</v>
      </c>
      <c r="C213" s="317" t="s">
        <v>291</v>
      </c>
    </row>
    <row r="214" spans="1:3" x14ac:dyDescent="0.3">
      <c r="A214" s="317" t="s">
        <v>4403</v>
      </c>
      <c r="B214" s="318">
        <v>0.1</v>
      </c>
      <c r="C214" s="317" t="s">
        <v>291</v>
      </c>
    </row>
    <row r="215" spans="1:3" x14ac:dyDescent="0.3">
      <c r="A215" s="317" t="s">
        <v>4404</v>
      </c>
      <c r="B215" s="318">
        <v>0.1</v>
      </c>
      <c r="C215" s="317" t="s">
        <v>291</v>
      </c>
    </row>
    <row r="216" spans="1:3" ht="14.5" x14ac:dyDescent="0.3">
      <c r="A216" s="317" t="s">
        <v>4405</v>
      </c>
      <c r="B216" s="318">
        <f>((kwsd.water.wC*kwsd.sed.sdC)/(kwsd.water.wC+kwsd.sed.sdC))/Ksdw1.C*(SYSTEMAREA.C*AREAFRAC.w1C)</f>
        <v>0.11101272619978034</v>
      </c>
      <c r="C216" s="317" t="s">
        <v>1058</v>
      </c>
    </row>
    <row r="217" spans="1:3" ht="14.5" x14ac:dyDescent="0.3">
      <c r="A217" s="317" t="s">
        <v>4406</v>
      </c>
      <c r="B217" s="318">
        <f>((kwsd.water.wR*kwsd.sed.sdR)/(kwsd.water.wR+kwsd.sed.sdR))/Ksdw1.R*(SYSTEMAREA.R*AREAFRAC.w1R)</f>
        <v>7.279215003409163E-3</v>
      </c>
      <c r="C217" s="317" t="s">
        <v>1058</v>
      </c>
    </row>
    <row r="218" spans="1:3" ht="14.5" x14ac:dyDescent="0.3">
      <c r="A218" s="317" t="s">
        <v>4407</v>
      </c>
      <c r="B218" s="318">
        <f>((kwsd.water.wC*kwsd.sed.sdC)/(kwsd.water.wC+kwsd.sed.sdC))/Ksdw2.C*(SYSTEMAREA.C*AREAFRAC.w2C)</f>
        <v>4.3003670704911752</v>
      </c>
      <c r="C218" s="317" t="s">
        <v>1058</v>
      </c>
    </row>
    <row r="219" spans="1:3" ht="14.5" x14ac:dyDescent="0.3">
      <c r="A219" s="317" t="s">
        <v>4408</v>
      </c>
      <c r="B219" s="318">
        <f>((kwsd.water.wR*kwsd.sed.sdR)/(kwsd.water.wR+kwsd.sed.sdR))/Ksdw2.R*(SYSTEMAREA.R*AREAFRAC.w2R)</f>
        <v>1.1580641702616139E-3</v>
      </c>
      <c r="C219" s="317" t="s">
        <v>1058</v>
      </c>
    </row>
    <row r="220" spans="1:3" ht="14.5" x14ac:dyDescent="0.3">
      <c r="A220" s="317" t="s">
        <v>4409</v>
      </c>
      <c r="B220" s="318">
        <f>((kwsd.water.wA*kwsd.sed.sdA)/(kwsd.water.wA+kwsd.sed.sdA))/Ksdw.A*(SYSTEMAREA.A*AREAFRAC.wA)</f>
        <v>29.530636341671119</v>
      </c>
      <c r="C220" s="321" t="s">
        <v>1058</v>
      </c>
    </row>
    <row r="221" spans="1:3" ht="14.5" x14ac:dyDescent="0.3">
      <c r="A221" s="317" t="s">
        <v>4410</v>
      </c>
      <c r="B221" s="318">
        <f>((kwsd.water.wM*kwsd.sed.sdM)/(kwsd.water.wM+kwsd.sed.sdM))/Ksdw.M*(SYSTEMAREA.M*AREAFRAC.wM)</f>
        <v>44.916202101457095</v>
      </c>
      <c r="C221" s="321" t="s">
        <v>1058</v>
      </c>
    </row>
    <row r="222" spans="1:3" ht="14.5" x14ac:dyDescent="0.3">
      <c r="A222" s="317" t="s">
        <v>4411</v>
      </c>
      <c r="B222" s="318">
        <f>((kwsd.water.wT*kwsd.sed.sdT)/(kwsd.water.wT+kwsd.sed.sdT))/Ksdw.T*(SYSTEMAREA.T*AREAFRAC.wT)</f>
        <v>103.35722719584892</v>
      </c>
      <c r="C222" s="321" t="s">
        <v>1058</v>
      </c>
    </row>
    <row r="223" spans="1:3" ht="14.5" x14ac:dyDescent="0.3">
      <c r="A223" s="317" t="s">
        <v>776</v>
      </c>
      <c r="B223" s="321">
        <f>0.0000257*SQRT(18)/SQRT(Molweight*1000)</f>
        <v>1.0498301389576135E-5</v>
      </c>
      <c r="C223" s="319" t="s">
        <v>777</v>
      </c>
    </row>
    <row r="224" spans="1:3" ht="14.5" x14ac:dyDescent="0.3">
      <c r="A224" s="317" t="s">
        <v>780</v>
      </c>
      <c r="B224" s="321">
        <f>0.000000002*SQRT(32)/SQRT(Molweight*1000)</f>
        <v>1.0893179133152929E-9</v>
      </c>
      <c r="C224" s="319" t="s">
        <v>777</v>
      </c>
    </row>
    <row r="225" spans="1:3" x14ac:dyDescent="0.3">
      <c r="A225" s="317" t="s">
        <v>4412</v>
      </c>
      <c r="B225" s="318">
        <v>0.25</v>
      </c>
      <c r="C225" s="317" t="s">
        <v>291</v>
      </c>
    </row>
    <row r="226" spans="1:3" x14ac:dyDescent="0.3">
      <c r="A226" s="317" t="s">
        <v>4413</v>
      </c>
      <c r="B226" s="318">
        <v>0.25</v>
      </c>
      <c r="C226" s="317" t="s">
        <v>291</v>
      </c>
    </row>
    <row r="227" spans="1:3" x14ac:dyDescent="0.3">
      <c r="A227" s="317" t="s">
        <v>4414</v>
      </c>
      <c r="B227" s="318">
        <v>0.25</v>
      </c>
      <c r="C227" s="317" t="s">
        <v>291</v>
      </c>
    </row>
    <row r="228" spans="1:3" x14ac:dyDescent="0.3">
      <c r="A228" s="317" t="s">
        <v>4415</v>
      </c>
      <c r="B228" s="318">
        <v>0.25</v>
      </c>
      <c r="C228" s="317" t="s">
        <v>291</v>
      </c>
    </row>
    <row r="229" spans="1:3" x14ac:dyDescent="0.3">
      <c r="A229" s="317" t="s">
        <v>4416</v>
      </c>
      <c r="B229" s="318">
        <v>0.25</v>
      </c>
      <c r="C229" s="317" t="s">
        <v>291</v>
      </c>
    </row>
    <row r="230" spans="1:3" x14ac:dyDescent="0.3">
      <c r="A230" s="317" t="s">
        <v>4417</v>
      </c>
      <c r="B230" s="318">
        <v>0.25</v>
      </c>
      <c r="C230" s="317" t="s">
        <v>291</v>
      </c>
    </row>
    <row r="231" spans="1:3" ht="14.5" x14ac:dyDescent="0.3">
      <c r="A231" s="319" t="s">
        <v>3039</v>
      </c>
      <c r="B231" s="318">
        <f>AEROSOLdeprate.A*(FRaerw.aA+FRaers.aA)</f>
        <v>1E-3</v>
      </c>
      <c r="C231" s="320" t="s">
        <v>1195</v>
      </c>
    </row>
    <row r="232" spans="1:3" ht="14.5" x14ac:dyDescent="0.3">
      <c r="A232" s="319" t="s">
        <v>2101</v>
      </c>
      <c r="B232" s="318">
        <f>AEROSOLdeprate.C*(FRaerw.aC+FRaers.aC)</f>
        <v>9.9999999999957675E-4</v>
      </c>
      <c r="C232" s="319" t="s">
        <v>1195</v>
      </c>
    </row>
    <row r="233" spans="1:3" ht="14.5" x14ac:dyDescent="0.3">
      <c r="A233" s="319" t="s">
        <v>2662</v>
      </c>
      <c r="B233" s="318">
        <f>AEROSOLdeprate.M*(FRaerw.aM+FRaers.aM)</f>
        <v>9.9999999999957675E-4</v>
      </c>
      <c r="C233" s="320" t="s">
        <v>1195</v>
      </c>
    </row>
    <row r="234" spans="1:3" ht="14.5" x14ac:dyDescent="0.3">
      <c r="A234" s="319" t="s">
        <v>1194</v>
      </c>
      <c r="B234" s="318">
        <f>AEROSOLdeprate.R*(FRaerw.aR+FRaers.aR)</f>
        <v>9.9999999999957675E-4</v>
      </c>
      <c r="C234" s="319" t="s">
        <v>1195</v>
      </c>
    </row>
    <row r="235" spans="1:3" ht="14.5" x14ac:dyDescent="0.3">
      <c r="A235" s="319" t="s">
        <v>3352</v>
      </c>
      <c r="B235" s="318">
        <f>AEROSOLdeprate.T*(FRaerw.aT+FRaers.aT)</f>
        <v>9.9999999999832211E-4</v>
      </c>
      <c r="C235" s="320" t="s">
        <v>1195</v>
      </c>
    </row>
    <row r="236" spans="1:3" ht="14.5" x14ac:dyDescent="0.3">
      <c r="A236" s="317" t="s">
        <v>4418</v>
      </c>
      <c r="B236" s="321">
        <v>0</v>
      </c>
      <c r="C236" s="317" t="s">
        <v>487</v>
      </c>
    </row>
    <row r="237" spans="1:3" ht="14.5" x14ac:dyDescent="0.3">
      <c r="A237" s="317" t="s">
        <v>4419</v>
      </c>
      <c r="B237" s="321">
        <v>0</v>
      </c>
      <c r="C237" s="317" t="s">
        <v>487</v>
      </c>
    </row>
    <row r="238" spans="1:3" ht="14.5" x14ac:dyDescent="0.3">
      <c r="A238" s="317" t="s">
        <v>4420</v>
      </c>
      <c r="B238" s="321">
        <v>0</v>
      </c>
      <c r="C238" s="317" t="s">
        <v>487</v>
      </c>
    </row>
    <row r="239" spans="1:3" ht="14.5" x14ac:dyDescent="0.3">
      <c r="A239" s="317" t="s">
        <v>4421</v>
      </c>
      <c r="B239" s="321">
        <v>10000</v>
      </c>
      <c r="C239" s="317" t="s">
        <v>487</v>
      </c>
    </row>
    <row r="240" spans="1:3" ht="14.5" x14ac:dyDescent="0.3">
      <c r="A240" s="317" t="s">
        <v>4422</v>
      </c>
      <c r="B240" s="321">
        <v>0</v>
      </c>
      <c r="C240" s="317" t="s">
        <v>487</v>
      </c>
    </row>
    <row r="241" spans="1:3" ht="14.5" x14ac:dyDescent="0.3">
      <c r="A241" s="317" t="s">
        <v>4423</v>
      </c>
      <c r="B241" s="321">
        <v>0</v>
      </c>
      <c r="C241" s="317" t="s">
        <v>487</v>
      </c>
    </row>
    <row r="242" spans="1:3" ht="14.5" x14ac:dyDescent="0.3">
      <c r="A242" s="317" t="s">
        <v>4424</v>
      </c>
      <c r="B242" s="321">
        <v>0</v>
      </c>
      <c r="C242" s="317" t="s">
        <v>487</v>
      </c>
    </row>
    <row r="243" spans="1:3" ht="14.5" x14ac:dyDescent="0.3">
      <c r="A243" s="317" t="s">
        <v>4425</v>
      </c>
      <c r="B243" s="321">
        <v>0</v>
      </c>
      <c r="C243" s="317" t="s">
        <v>487</v>
      </c>
    </row>
    <row r="244" spans="1:3" ht="14.5" x14ac:dyDescent="0.3">
      <c r="A244" s="317" t="s">
        <v>4426</v>
      </c>
      <c r="B244" s="321">
        <v>10000</v>
      </c>
      <c r="C244" s="317" t="s">
        <v>487</v>
      </c>
    </row>
    <row r="245" spans="1:3" ht="14.5" x14ac:dyDescent="0.3">
      <c r="A245" s="317" t="s">
        <v>4427</v>
      </c>
      <c r="B245" s="321">
        <v>0</v>
      </c>
      <c r="C245" s="317" t="s">
        <v>487</v>
      </c>
    </row>
    <row r="246" spans="1:3" ht="14.5" x14ac:dyDescent="0.3">
      <c r="A246" s="317" t="s">
        <v>4428</v>
      </c>
      <c r="B246" s="321">
        <v>0</v>
      </c>
      <c r="C246" s="317" t="s">
        <v>487</v>
      </c>
    </row>
    <row r="247" spans="1:3" ht="14.5" x14ac:dyDescent="0.3">
      <c r="A247" s="317" t="s">
        <v>4429</v>
      </c>
      <c r="B247" s="321">
        <v>0</v>
      </c>
      <c r="C247" s="317" t="s">
        <v>487</v>
      </c>
    </row>
    <row r="248" spans="1:3" ht="14.5" x14ac:dyDescent="0.3">
      <c r="A248" s="317" t="s">
        <v>4430</v>
      </c>
      <c r="B248" s="321">
        <v>0</v>
      </c>
      <c r="C248" s="317" t="s">
        <v>487</v>
      </c>
    </row>
    <row r="249" spans="1:3" ht="14.5" x14ac:dyDescent="0.3">
      <c r="A249" s="317" t="s">
        <v>4431</v>
      </c>
      <c r="B249" s="321">
        <v>0</v>
      </c>
      <c r="C249" s="317" t="s">
        <v>487</v>
      </c>
    </row>
    <row r="250" spans="1:3" ht="14.5" x14ac:dyDescent="0.3">
      <c r="A250" s="317" t="s">
        <v>4432</v>
      </c>
      <c r="B250" s="321">
        <v>0</v>
      </c>
      <c r="C250" s="317" t="s">
        <v>487</v>
      </c>
    </row>
    <row r="251" spans="1:3" ht="14.5" x14ac:dyDescent="0.3">
      <c r="A251" s="317" t="s">
        <v>4433</v>
      </c>
      <c r="B251" s="321">
        <v>10000</v>
      </c>
      <c r="C251" s="317" t="s">
        <v>487</v>
      </c>
    </row>
    <row r="252" spans="1:3" ht="14.5" x14ac:dyDescent="0.3">
      <c r="A252" s="317" t="s">
        <v>4434</v>
      </c>
      <c r="B252" s="321">
        <v>0</v>
      </c>
      <c r="C252" s="317" t="s">
        <v>487</v>
      </c>
    </row>
    <row r="253" spans="1:3" ht="14.5" x14ac:dyDescent="0.3">
      <c r="A253" s="317" t="s">
        <v>4435</v>
      </c>
      <c r="B253" s="321">
        <v>0</v>
      </c>
      <c r="C253" s="317" t="s">
        <v>487</v>
      </c>
    </row>
    <row r="254" spans="1:3" ht="14.5" x14ac:dyDescent="0.3">
      <c r="A254" s="317" t="s">
        <v>4436</v>
      </c>
      <c r="B254" s="321">
        <v>0</v>
      </c>
      <c r="C254" s="317" t="s">
        <v>487</v>
      </c>
    </row>
    <row r="255" spans="1:3" ht="14.5" x14ac:dyDescent="0.3">
      <c r="A255" s="317" t="s">
        <v>4437</v>
      </c>
      <c r="B255" s="321">
        <v>0</v>
      </c>
      <c r="C255" s="317" t="s">
        <v>487</v>
      </c>
    </row>
    <row r="256" spans="1:3" ht="14.5" x14ac:dyDescent="0.3">
      <c r="A256" s="317" t="s">
        <v>4438</v>
      </c>
      <c r="B256" s="321">
        <v>0</v>
      </c>
      <c r="C256" s="317" t="s">
        <v>487</v>
      </c>
    </row>
    <row r="257" spans="1:3" x14ac:dyDescent="0.3">
      <c r="A257" s="317" t="s">
        <v>627</v>
      </c>
      <c r="B257" s="321">
        <v>6</v>
      </c>
      <c r="C257" s="317" t="s">
        <v>628</v>
      </c>
    </row>
    <row r="258" spans="1:3" ht="14.5" x14ac:dyDescent="0.3">
      <c r="A258" s="321" t="s">
        <v>748</v>
      </c>
      <c r="B258" s="321">
        <v>0.03</v>
      </c>
      <c r="C258" s="321" t="s">
        <v>693</v>
      </c>
    </row>
    <row r="259" spans="1:3" ht="14.5" x14ac:dyDescent="0.3">
      <c r="A259" s="321" t="s">
        <v>705</v>
      </c>
      <c r="B259" s="321">
        <v>0.03</v>
      </c>
      <c r="C259" s="321" t="s">
        <v>693</v>
      </c>
    </row>
    <row r="260" spans="1:3" ht="14.5" x14ac:dyDescent="0.3">
      <c r="A260" s="319" t="s">
        <v>2160</v>
      </c>
      <c r="B260" s="318">
        <v>0.03</v>
      </c>
      <c r="C260" s="319" t="s">
        <v>2668</v>
      </c>
    </row>
    <row r="261" spans="1:3" ht="14.5" x14ac:dyDescent="0.3">
      <c r="A261" s="319" t="s">
        <v>1300</v>
      </c>
      <c r="B261" s="318">
        <v>0.03</v>
      </c>
      <c r="C261" s="319" t="s">
        <v>2668</v>
      </c>
    </row>
    <row r="262" spans="1:3" ht="14.5" x14ac:dyDescent="0.3">
      <c r="A262" s="319" t="s">
        <v>2161</v>
      </c>
      <c r="B262" s="318">
        <v>0.03</v>
      </c>
      <c r="C262" s="319" t="s">
        <v>2668</v>
      </c>
    </row>
    <row r="263" spans="1:3" ht="14.5" x14ac:dyDescent="0.3">
      <c r="A263" s="319" t="s">
        <v>1302</v>
      </c>
      <c r="B263" s="318">
        <v>0.03</v>
      </c>
      <c r="C263" s="319" t="s">
        <v>2668</v>
      </c>
    </row>
    <row r="264" spans="1:3" ht="14.5" x14ac:dyDescent="0.3">
      <c r="A264" s="319" t="s">
        <v>2162</v>
      </c>
      <c r="B264" s="318">
        <v>0.03</v>
      </c>
      <c r="C264" s="319" t="s">
        <v>2668</v>
      </c>
    </row>
    <row r="265" spans="1:3" ht="14.5" x14ac:dyDescent="0.3">
      <c r="A265" s="319" t="s">
        <v>1304</v>
      </c>
      <c r="B265" s="318">
        <v>0.03</v>
      </c>
      <c r="C265" s="319" t="s">
        <v>2668</v>
      </c>
    </row>
    <row r="266" spans="1:3" ht="14.5" x14ac:dyDescent="0.3">
      <c r="A266" s="319" t="s">
        <v>3070</v>
      </c>
      <c r="B266" s="318">
        <v>0.03</v>
      </c>
      <c r="C266" s="319" t="s">
        <v>2668</v>
      </c>
    </row>
    <row r="267" spans="1:3" ht="14.5" x14ac:dyDescent="0.3">
      <c r="A267" s="319" t="s">
        <v>2707</v>
      </c>
      <c r="B267" s="318">
        <v>0.03</v>
      </c>
      <c r="C267" s="319" t="s">
        <v>2668</v>
      </c>
    </row>
    <row r="268" spans="1:3" ht="14.5" x14ac:dyDescent="0.3">
      <c r="A268" s="319" t="s">
        <v>3381</v>
      </c>
      <c r="B268" s="321">
        <v>0.03</v>
      </c>
      <c r="C268" s="319" t="s">
        <v>2668</v>
      </c>
    </row>
    <row r="269" spans="1:3" x14ac:dyDescent="0.3">
      <c r="A269" s="321" t="s">
        <v>745</v>
      </c>
      <c r="B269" s="321">
        <v>0</v>
      </c>
      <c r="C269" s="321" t="s">
        <v>292</v>
      </c>
    </row>
    <row r="270" spans="1:3" x14ac:dyDescent="0.3">
      <c r="A270" s="321" t="s">
        <v>699</v>
      </c>
      <c r="B270" s="321">
        <v>0</v>
      </c>
      <c r="C270" s="321" t="s">
        <v>292</v>
      </c>
    </row>
    <row r="271" spans="1:3" x14ac:dyDescent="0.3">
      <c r="A271" s="319" t="s">
        <v>1963</v>
      </c>
      <c r="B271" s="318">
        <v>0.2</v>
      </c>
      <c r="C271" s="321" t="s">
        <v>1010</v>
      </c>
    </row>
    <row r="272" spans="1:3" x14ac:dyDescent="0.3">
      <c r="A272" s="319" t="s">
        <v>1018</v>
      </c>
      <c r="B272" s="318">
        <v>0.2</v>
      </c>
      <c r="C272" s="317" t="s">
        <v>1010</v>
      </c>
    </row>
    <row r="273" spans="1:3" x14ac:dyDescent="0.3">
      <c r="A273" s="319" t="s">
        <v>1966</v>
      </c>
      <c r="B273" s="318">
        <v>0.2</v>
      </c>
      <c r="C273" s="321" t="s">
        <v>1010</v>
      </c>
    </row>
    <row r="274" spans="1:3" x14ac:dyDescent="0.3">
      <c r="A274" s="319" t="s">
        <v>1024</v>
      </c>
      <c r="B274" s="318">
        <v>0.2</v>
      </c>
      <c r="C274" s="317" t="s">
        <v>1010</v>
      </c>
    </row>
    <row r="275" spans="1:3" x14ac:dyDescent="0.3">
      <c r="A275" s="319" t="s">
        <v>1969</v>
      </c>
      <c r="B275" s="318">
        <v>0.2</v>
      </c>
      <c r="C275" s="321" t="s">
        <v>1010</v>
      </c>
    </row>
    <row r="276" spans="1:3" x14ac:dyDescent="0.3">
      <c r="A276" s="319" t="s">
        <v>1030</v>
      </c>
      <c r="B276" s="318">
        <v>0.2</v>
      </c>
      <c r="C276" s="317" t="s">
        <v>1010</v>
      </c>
    </row>
    <row r="277" spans="1:3" x14ac:dyDescent="0.3">
      <c r="A277" s="319" t="s">
        <v>2976</v>
      </c>
      <c r="B277" s="318">
        <v>0.2</v>
      </c>
      <c r="C277" s="317" t="s">
        <v>1010</v>
      </c>
    </row>
    <row r="278" spans="1:3" x14ac:dyDescent="0.3">
      <c r="A278" s="319" t="s">
        <v>2554</v>
      </c>
      <c r="B278" s="318">
        <v>0.2</v>
      </c>
      <c r="C278" s="317" t="s">
        <v>1010</v>
      </c>
    </row>
    <row r="279" spans="1:3" x14ac:dyDescent="0.3">
      <c r="A279" s="319" t="s">
        <v>3295</v>
      </c>
      <c r="B279" s="321">
        <v>0.2</v>
      </c>
      <c r="C279" s="317" t="s">
        <v>1010</v>
      </c>
    </row>
    <row r="280" spans="1:3" x14ac:dyDescent="0.3">
      <c r="A280" s="317" t="s">
        <v>2974</v>
      </c>
      <c r="B280" s="318">
        <v>1.9999999999999999E-11</v>
      </c>
      <c r="C280" s="317" t="s">
        <v>1010</v>
      </c>
    </row>
    <row r="281" spans="1:3" x14ac:dyDescent="0.3">
      <c r="A281" s="317" t="s">
        <v>1961</v>
      </c>
      <c r="B281" s="318">
        <v>1.9999999999999999E-11</v>
      </c>
      <c r="C281" s="317" t="s">
        <v>1010</v>
      </c>
    </row>
    <row r="282" spans="1:3" x14ac:dyDescent="0.3">
      <c r="A282" s="317" t="s">
        <v>2551</v>
      </c>
      <c r="B282" s="318">
        <v>1.9999999999999999E-11</v>
      </c>
      <c r="C282" s="317" t="s">
        <v>1010</v>
      </c>
    </row>
    <row r="283" spans="1:3" x14ac:dyDescent="0.3">
      <c r="A283" s="317" t="s">
        <v>4439</v>
      </c>
      <c r="B283" s="318">
        <v>1.9999999999999999E-11</v>
      </c>
      <c r="C283" s="317" t="s">
        <v>1010</v>
      </c>
    </row>
    <row r="284" spans="1:3" x14ac:dyDescent="0.3">
      <c r="A284" s="317" t="s">
        <v>3293</v>
      </c>
      <c r="B284" s="318">
        <v>1.9999999999999999E-11</v>
      </c>
      <c r="C284" s="317" t="s">
        <v>1010</v>
      </c>
    </row>
    <row r="285" spans="1:3" x14ac:dyDescent="0.3">
      <c r="A285" s="317" t="s">
        <v>2975</v>
      </c>
      <c r="B285" s="318">
        <v>1.9999999999999999E-11</v>
      </c>
      <c r="C285" s="317" t="s">
        <v>1010</v>
      </c>
    </row>
    <row r="286" spans="1:3" x14ac:dyDescent="0.3">
      <c r="A286" s="317" t="s">
        <v>1962</v>
      </c>
      <c r="B286" s="318">
        <v>1.9999999999999999E-11</v>
      </c>
      <c r="C286" s="317" t="s">
        <v>1010</v>
      </c>
    </row>
    <row r="287" spans="1:3" x14ac:dyDescent="0.3">
      <c r="A287" s="317" t="s">
        <v>2552</v>
      </c>
      <c r="B287" s="318">
        <v>1.9999999999999999E-11</v>
      </c>
      <c r="C287" s="317" t="s">
        <v>1010</v>
      </c>
    </row>
    <row r="288" spans="1:3" x14ac:dyDescent="0.3">
      <c r="A288" s="317" t="s">
        <v>1016</v>
      </c>
      <c r="B288" s="318">
        <v>1.9999999999999999E-11</v>
      </c>
      <c r="C288" s="317" t="s">
        <v>1010</v>
      </c>
    </row>
    <row r="289" spans="1:3" x14ac:dyDescent="0.3">
      <c r="A289" s="317" t="s">
        <v>3294</v>
      </c>
      <c r="B289" s="318">
        <v>1.9999999999999999E-11</v>
      </c>
      <c r="C289" s="317" t="s">
        <v>1010</v>
      </c>
    </row>
    <row r="290" spans="1:3" x14ac:dyDescent="0.3">
      <c r="A290" s="321" t="s">
        <v>737</v>
      </c>
      <c r="B290" s="321">
        <v>0.6</v>
      </c>
      <c r="C290" s="321" t="s">
        <v>292</v>
      </c>
    </row>
    <row r="291" spans="1:3" x14ac:dyDescent="0.3">
      <c r="A291" s="321" t="s">
        <v>683</v>
      </c>
      <c r="B291" s="321">
        <v>0.6</v>
      </c>
      <c r="C291" s="321" t="s">
        <v>292</v>
      </c>
    </row>
    <row r="292" spans="1:3" x14ac:dyDescent="0.3">
      <c r="A292" s="317" t="s">
        <v>2973</v>
      </c>
      <c r="B292" s="318">
        <v>2.9999999999999999E-7</v>
      </c>
      <c r="C292" s="317" t="s">
        <v>1010</v>
      </c>
    </row>
    <row r="293" spans="1:3" x14ac:dyDescent="0.3">
      <c r="A293" s="317" t="s">
        <v>1960</v>
      </c>
      <c r="B293" s="318">
        <v>2.9999999999999999E-7</v>
      </c>
      <c r="C293" s="317" t="s">
        <v>1010</v>
      </c>
    </row>
    <row r="294" spans="1:3" x14ac:dyDescent="0.3">
      <c r="A294" s="317" t="s">
        <v>2550</v>
      </c>
      <c r="B294" s="318">
        <v>2.9999999999999999E-7</v>
      </c>
      <c r="C294" s="317" t="s">
        <v>1010</v>
      </c>
    </row>
    <row r="295" spans="1:3" x14ac:dyDescent="0.3">
      <c r="A295" s="317" t="s">
        <v>1009</v>
      </c>
      <c r="B295" s="318">
        <v>2.9999999999999999E-7</v>
      </c>
      <c r="C295" s="317" t="s">
        <v>1010</v>
      </c>
    </row>
    <row r="296" spans="1:3" x14ac:dyDescent="0.3">
      <c r="A296" s="317" t="s">
        <v>3292</v>
      </c>
      <c r="B296" s="318">
        <v>2.9999999999999999E-7</v>
      </c>
      <c r="C296" s="317" t="s">
        <v>1010</v>
      </c>
    </row>
    <row r="297" spans="1:3" x14ac:dyDescent="0.3">
      <c r="A297" s="321" t="s">
        <v>735</v>
      </c>
      <c r="B297" s="321">
        <v>2.75E-2</v>
      </c>
      <c r="C297" s="321" t="s">
        <v>292</v>
      </c>
    </row>
    <row r="298" spans="1:3" x14ac:dyDescent="0.3">
      <c r="A298" s="321" t="s">
        <v>679</v>
      </c>
      <c r="B298" s="321">
        <v>2.75E-2</v>
      </c>
      <c r="C298" s="321" t="s">
        <v>292</v>
      </c>
    </row>
    <row r="299" spans="1:3" x14ac:dyDescent="0.3">
      <c r="A299" s="321" t="s">
        <v>746</v>
      </c>
      <c r="B299" s="321">
        <v>0.25</v>
      </c>
      <c r="C299" s="321" t="s">
        <v>292</v>
      </c>
    </row>
    <row r="300" spans="1:3" x14ac:dyDescent="0.3">
      <c r="A300" s="321" t="s">
        <v>703</v>
      </c>
      <c r="B300" s="321">
        <v>0.25</v>
      </c>
      <c r="C300" s="321" t="s">
        <v>292</v>
      </c>
    </row>
    <row r="301" spans="1:3" x14ac:dyDescent="0.3">
      <c r="A301" s="319" t="s">
        <v>2199</v>
      </c>
      <c r="B301" s="318">
        <f>FRACinf.C</f>
        <v>0.25</v>
      </c>
      <c r="C301" s="317" t="s">
        <v>291</v>
      </c>
    </row>
    <row r="302" spans="1:3" x14ac:dyDescent="0.3">
      <c r="A302" s="319" t="s">
        <v>1373</v>
      </c>
      <c r="B302" s="318">
        <f>FRACinf.R</f>
        <v>0.25</v>
      </c>
      <c r="C302" s="317" t="s">
        <v>291</v>
      </c>
    </row>
    <row r="303" spans="1:3" x14ac:dyDescent="0.3">
      <c r="A303" s="319" t="s">
        <v>2200</v>
      </c>
      <c r="B303" s="318">
        <f>FRACinf.C</f>
        <v>0.25</v>
      </c>
      <c r="C303" s="317" t="s">
        <v>291</v>
      </c>
    </row>
    <row r="304" spans="1:3" x14ac:dyDescent="0.3">
      <c r="A304" s="319" t="s">
        <v>1375</v>
      </c>
      <c r="B304" s="318">
        <f>FRACinf.R</f>
        <v>0.25</v>
      </c>
      <c r="C304" s="317" t="s">
        <v>291</v>
      </c>
    </row>
    <row r="305" spans="1:3" x14ac:dyDescent="0.3">
      <c r="A305" s="319" t="s">
        <v>2201</v>
      </c>
      <c r="B305" s="318">
        <f>FRACinf.C</f>
        <v>0.25</v>
      </c>
      <c r="C305" s="317" t="s">
        <v>291</v>
      </c>
    </row>
    <row r="306" spans="1:3" x14ac:dyDescent="0.3">
      <c r="A306" s="319" t="s">
        <v>1377</v>
      </c>
      <c r="B306" s="318">
        <f>FRACinf.R</f>
        <v>0.25</v>
      </c>
      <c r="C306" s="317" t="s">
        <v>291</v>
      </c>
    </row>
    <row r="307" spans="1:3" x14ac:dyDescent="0.3">
      <c r="A307" s="319" t="s">
        <v>3091</v>
      </c>
      <c r="B307" s="318">
        <v>0.25</v>
      </c>
      <c r="C307" s="317" t="s">
        <v>291</v>
      </c>
    </row>
    <row r="308" spans="1:3" x14ac:dyDescent="0.3">
      <c r="A308" s="319" t="s">
        <v>2739</v>
      </c>
      <c r="B308" s="318">
        <v>0.25</v>
      </c>
      <c r="C308" s="317" t="s">
        <v>291</v>
      </c>
    </row>
    <row r="309" spans="1:3" x14ac:dyDescent="0.3">
      <c r="A309" s="319" t="s">
        <v>3401</v>
      </c>
      <c r="B309" s="321">
        <v>0.25</v>
      </c>
      <c r="C309" s="317" t="s">
        <v>291</v>
      </c>
    </row>
    <row r="310" spans="1:3" x14ac:dyDescent="0.3">
      <c r="A310" s="321" t="s">
        <v>734</v>
      </c>
      <c r="B310" s="321">
        <v>2.5000000000000001E-3</v>
      </c>
      <c r="C310" s="321" t="s">
        <v>292</v>
      </c>
    </row>
    <row r="311" spans="1:3" x14ac:dyDescent="0.3">
      <c r="A311" s="321" t="s">
        <v>677</v>
      </c>
      <c r="B311" s="321">
        <v>2.5000000000000001E-3</v>
      </c>
      <c r="C311" s="321" t="s">
        <v>292</v>
      </c>
    </row>
    <row r="312" spans="1:3" x14ac:dyDescent="0.3">
      <c r="A312" s="321" t="s">
        <v>736</v>
      </c>
      <c r="B312" s="321">
        <v>0.27</v>
      </c>
      <c r="C312" s="321" t="s">
        <v>292</v>
      </c>
    </row>
    <row r="313" spans="1:3" x14ac:dyDescent="0.3">
      <c r="A313" s="321" t="s">
        <v>681</v>
      </c>
      <c r="B313" s="321">
        <v>0.27</v>
      </c>
      <c r="C313" s="321" t="s">
        <v>292</v>
      </c>
    </row>
    <row r="314" spans="1:3" x14ac:dyDescent="0.3">
      <c r="A314" s="321" t="s">
        <v>738</v>
      </c>
      <c r="B314" s="321">
        <v>0.1</v>
      </c>
      <c r="C314" s="321" t="s">
        <v>292</v>
      </c>
    </row>
    <row r="315" spans="1:3" x14ac:dyDescent="0.3">
      <c r="A315" s="321" t="s">
        <v>685</v>
      </c>
      <c r="B315" s="321">
        <v>0.1</v>
      </c>
      <c r="C315" s="321" t="s">
        <v>292</v>
      </c>
    </row>
    <row r="316" spans="1:3" x14ac:dyDescent="0.3">
      <c r="A316" s="321" t="s">
        <v>747</v>
      </c>
      <c r="B316" s="321">
        <v>0.25</v>
      </c>
      <c r="C316" s="321" t="s">
        <v>292</v>
      </c>
    </row>
    <row r="317" spans="1:3" x14ac:dyDescent="0.3">
      <c r="A317" s="321" t="s">
        <v>701</v>
      </c>
      <c r="B317" s="321">
        <v>0.25</v>
      </c>
      <c r="C317" s="321" t="s">
        <v>292</v>
      </c>
    </row>
    <row r="318" spans="1:3" x14ac:dyDescent="0.3">
      <c r="A318" s="319" t="s">
        <v>2163</v>
      </c>
      <c r="B318" s="318">
        <f>FRACrun.C</f>
        <v>0.25</v>
      </c>
      <c r="C318" s="317" t="s">
        <v>291</v>
      </c>
    </row>
    <row r="319" spans="1:3" x14ac:dyDescent="0.3">
      <c r="A319" s="319" t="s">
        <v>1306</v>
      </c>
      <c r="B319" s="318">
        <f>FRACrun.R</f>
        <v>0.25</v>
      </c>
      <c r="C319" s="317" t="s">
        <v>291</v>
      </c>
    </row>
    <row r="320" spans="1:3" x14ac:dyDescent="0.3">
      <c r="A320" s="319" t="s">
        <v>2164</v>
      </c>
      <c r="B320" s="318">
        <f>FRACrun.C</f>
        <v>0.25</v>
      </c>
      <c r="C320" s="317" t="s">
        <v>291</v>
      </c>
    </row>
    <row r="321" spans="1:3" x14ac:dyDescent="0.3">
      <c r="A321" s="319" t="s">
        <v>1308</v>
      </c>
      <c r="B321" s="318">
        <f>FRACrun.R</f>
        <v>0.25</v>
      </c>
      <c r="C321" s="317" t="s">
        <v>291</v>
      </c>
    </row>
    <row r="322" spans="1:3" x14ac:dyDescent="0.3">
      <c r="A322" s="319" t="s">
        <v>2165</v>
      </c>
      <c r="B322" s="318">
        <f>FRACrun.C</f>
        <v>0.25</v>
      </c>
      <c r="C322" s="317" t="s">
        <v>291</v>
      </c>
    </row>
    <row r="323" spans="1:3" x14ac:dyDescent="0.3">
      <c r="A323" s="319" t="s">
        <v>1310</v>
      </c>
      <c r="B323" s="318">
        <f>FRACrun.R</f>
        <v>0.25</v>
      </c>
      <c r="C323" s="317" t="s">
        <v>291</v>
      </c>
    </row>
    <row r="324" spans="1:3" x14ac:dyDescent="0.3">
      <c r="A324" s="319" t="s">
        <v>3071</v>
      </c>
      <c r="B324" s="318">
        <v>0.25</v>
      </c>
      <c r="C324" s="317" t="s">
        <v>291</v>
      </c>
    </row>
    <row r="325" spans="1:3" x14ac:dyDescent="0.3">
      <c r="A325" s="319" t="s">
        <v>2709</v>
      </c>
      <c r="B325" s="318">
        <v>0.25</v>
      </c>
      <c r="C325" s="317" t="s">
        <v>291</v>
      </c>
    </row>
    <row r="326" spans="1:3" x14ac:dyDescent="0.3">
      <c r="A326" s="319" t="s">
        <v>3382</v>
      </c>
      <c r="B326" s="321">
        <v>0.25</v>
      </c>
      <c r="C326" s="317" t="s">
        <v>291</v>
      </c>
    </row>
    <row r="327" spans="1:3" x14ac:dyDescent="0.3">
      <c r="A327" s="319" t="s">
        <v>1965</v>
      </c>
      <c r="B327" s="318">
        <f>1-FRACa.s1C-FRACw.s1C</f>
        <v>0.60000000000000009</v>
      </c>
      <c r="C327" s="321" t="s">
        <v>1010</v>
      </c>
    </row>
    <row r="328" spans="1:3" x14ac:dyDescent="0.3">
      <c r="A328" s="319" t="s">
        <v>1022</v>
      </c>
      <c r="B328" s="318">
        <f>1-FRACa.s1R-FRACw.s1R</f>
        <v>0.60000000000000009</v>
      </c>
      <c r="C328" s="317" t="s">
        <v>1010</v>
      </c>
    </row>
    <row r="329" spans="1:3" x14ac:dyDescent="0.3">
      <c r="A329" s="319" t="s">
        <v>1968</v>
      </c>
      <c r="B329" s="318">
        <f>1-FRACa.s2C-FRACw.s2C</f>
        <v>0.60000000000000009</v>
      </c>
      <c r="C329" s="321" t="s">
        <v>1010</v>
      </c>
    </row>
    <row r="330" spans="1:3" x14ac:dyDescent="0.3">
      <c r="A330" s="319" t="s">
        <v>1028</v>
      </c>
      <c r="B330" s="318">
        <f>1-FRACa.s2R-FRACw.s2R</f>
        <v>0.60000000000000009</v>
      </c>
      <c r="C330" s="317" t="s">
        <v>1010</v>
      </c>
    </row>
    <row r="331" spans="1:3" x14ac:dyDescent="0.3">
      <c r="A331" s="319" t="s">
        <v>1971</v>
      </c>
      <c r="B331" s="318">
        <f>1-FRACa.s3C-FRACw.s3C</f>
        <v>0.60000000000000009</v>
      </c>
      <c r="C331" s="321" t="s">
        <v>1010</v>
      </c>
    </row>
    <row r="332" spans="1:3" x14ac:dyDescent="0.3">
      <c r="A332" s="319" t="s">
        <v>1034</v>
      </c>
      <c r="B332" s="318">
        <f>1-FRACa.s3R-FRACw.s3R</f>
        <v>0.60000000000000009</v>
      </c>
      <c r="C332" s="317" t="s">
        <v>1010</v>
      </c>
    </row>
    <row r="333" spans="1:3" x14ac:dyDescent="0.3">
      <c r="A333" s="319" t="s">
        <v>2978</v>
      </c>
      <c r="B333" s="318">
        <f>1-FRACa.sA-FRACw.sA</f>
        <v>0.60000000000000009</v>
      </c>
      <c r="C333" s="317" t="s">
        <v>1010</v>
      </c>
    </row>
    <row r="334" spans="1:3" x14ac:dyDescent="0.3">
      <c r="A334" s="319" t="s">
        <v>2981</v>
      </c>
      <c r="B334" s="318">
        <f>1-FRACw.sdA</f>
        <v>0.19999999999999996</v>
      </c>
      <c r="C334" s="317" t="s">
        <v>1010</v>
      </c>
    </row>
    <row r="335" spans="1:3" x14ac:dyDescent="0.3">
      <c r="A335" s="319" t="s">
        <v>1973</v>
      </c>
      <c r="B335" s="318">
        <f>1-FRACw.sdC</f>
        <v>0.19999999999999996</v>
      </c>
      <c r="C335" s="321" t="s">
        <v>1010</v>
      </c>
    </row>
    <row r="336" spans="1:3" x14ac:dyDescent="0.3">
      <c r="A336" s="319" t="s">
        <v>2560</v>
      </c>
      <c r="B336" s="321">
        <f>1-FRACw.sdM</f>
        <v>0.19999999999999996</v>
      </c>
      <c r="C336" s="317" t="s">
        <v>1010</v>
      </c>
    </row>
    <row r="337" spans="1:3" x14ac:dyDescent="0.3">
      <c r="A337" s="319" t="s">
        <v>1038</v>
      </c>
      <c r="B337" s="318">
        <f>1-FRACw.sdR</f>
        <v>0.19999999999999996</v>
      </c>
      <c r="C337" s="317" t="s">
        <v>1010</v>
      </c>
    </row>
    <row r="338" spans="1:3" x14ac:dyDescent="0.3">
      <c r="A338" s="319" t="s">
        <v>3299</v>
      </c>
      <c r="B338" s="318">
        <f>1-FRACw.sdT</f>
        <v>0.19999999999999996</v>
      </c>
      <c r="C338" s="317" t="s">
        <v>1010</v>
      </c>
    </row>
    <row r="339" spans="1:3" x14ac:dyDescent="0.3">
      <c r="A339" s="319" t="s">
        <v>2558</v>
      </c>
      <c r="B339" s="318">
        <f>1-FRACa.sM-FRACw.sM</f>
        <v>0.60000000000000009</v>
      </c>
      <c r="C339" s="317" t="s">
        <v>1010</v>
      </c>
    </row>
    <row r="340" spans="1:3" x14ac:dyDescent="0.3">
      <c r="A340" s="319" t="s">
        <v>3297</v>
      </c>
      <c r="B340" s="318">
        <f>1-FRACa.sT-FRACw.sT</f>
        <v>0.60000000000000009</v>
      </c>
      <c r="C340" s="317" t="s">
        <v>1010</v>
      </c>
    </row>
    <row r="341" spans="1:3" x14ac:dyDescent="0.3">
      <c r="A341" s="319" t="s">
        <v>1964</v>
      </c>
      <c r="B341" s="318">
        <v>0.2</v>
      </c>
      <c r="C341" s="321" t="s">
        <v>1010</v>
      </c>
    </row>
    <row r="342" spans="1:3" x14ac:dyDescent="0.3">
      <c r="A342" s="319" t="s">
        <v>1020</v>
      </c>
      <c r="B342" s="318">
        <v>0.2</v>
      </c>
      <c r="C342" s="317" t="s">
        <v>1010</v>
      </c>
    </row>
    <row r="343" spans="1:3" x14ac:dyDescent="0.3">
      <c r="A343" s="319" t="s">
        <v>1967</v>
      </c>
      <c r="B343" s="318">
        <v>0.2</v>
      </c>
      <c r="C343" s="321" t="s">
        <v>1010</v>
      </c>
    </row>
    <row r="344" spans="1:3" x14ac:dyDescent="0.3">
      <c r="A344" s="319" t="s">
        <v>1026</v>
      </c>
      <c r="B344" s="318">
        <v>0.2</v>
      </c>
      <c r="C344" s="317" t="s">
        <v>1010</v>
      </c>
    </row>
    <row r="345" spans="1:3" x14ac:dyDescent="0.3">
      <c r="A345" s="319" t="s">
        <v>1970</v>
      </c>
      <c r="B345" s="318">
        <v>0.2</v>
      </c>
      <c r="C345" s="321" t="s">
        <v>1010</v>
      </c>
    </row>
    <row r="346" spans="1:3" x14ac:dyDescent="0.3">
      <c r="A346" s="319" t="s">
        <v>1032</v>
      </c>
      <c r="B346" s="318">
        <v>0.2</v>
      </c>
      <c r="C346" s="317" t="s">
        <v>1010</v>
      </c>
    </row>
    <row r="347" spans="1:3" x14ac:dyDescent="0.3">
      <c r="A347" s="319" t="s">
        <v>2977</v>
      </c>
      <c r="B347" s="318">
        <v>0.2</v>
      </c>
      <c r="C347" s="317" t="s">
        <v>1010</v>
      </c>
    </row>
    <row r="348" spans="1:3" x14ac:dyDescent="0.3">
      <c r="A348" s="319" t="s">
        <v>2979</v>
      </c>
      <c r="B348" s="318">
        <v>0.8</v>
      </c>
      <c r="C348" s="317" t="s">
        <v>1010</v>
      </c>
    </row>
    <row r="349" spans="1:3" x14ac:dyDescent="0.3">
      <c r="A349" s="319" t="s">
        <v>1972</v>
      </c>
      <c r="B349" s="318">
        <v>0.8</v>
      </c>
      <c r="C349" s="321" t="s">
        <v>1010</v>
      </c>
    </row>
    <row r="350" spans="1:3" x14ac:dyDescent="0.3">
      <c r="A350" s="319" t="s">
        <v>2559</v>
      </c>
      <c r="B350" s="318">
        <v>0.8</v>
      </c>
      <c r="C350" s="317" t="s">
        <v>1010</v>
      </c>
    </row>
    <row r="351" spans="1:3" x14ac:dyDescent="0.3">
      <c r="A351" s="319" t="s">
        <v>1036</v>
      </c>
      <c r="B351" s="318">
        <v>0.8</v>
      </c>
      <c r="C351" s="317" t="s">
        <v>1010</v>
      </c>
    </row>
    <row r="352" spans="1:3" x14ac:dyDescent="0.3">
      <c r="A352" s="319" t="s">
        <v>3298</v>
      </c>
      <c r="B352" s="321">
        <v>0.8</v>
      </c>
      <c r="C352" s="317" t="s">
        <v>1010</v>
      </c>
    </row>
    <row r="353" spans="1:3" x14ac:dyDescent="0.3">
      <c r="A353" s="319" t="s">
        <v>2556</v>
      </c>
      <c r="B353" s="318">
        <v>0.2</v>
      </c>
      <c r="C353" s="317" t="s">
        <v>1010</v>
      </c>
    </row>
    <row r="354" spans="1:3" x14ac:dyDescent="0.3">
      <c r="A354" s="319" t="s">
        <v>3296</v>
      </c>
      <c r="B354" s="321">
        <v>0.2</v>
      </c>
      <c r="C354" s="317" t="s">
        <v>1010</v>
      </c>
    </row>
    <row r="355" spans="1:3" ht="65" x14ac:dyDescent="0.3">
      <c r="A355" s="321" t="s">
        <v>3000</v>
      </c>
      <c r="B355" s="329" t="s">
        <v>4440</v>
      </c>
      <c r="C355" s="321" t="s">
        <v>291</v>
      </c>
    </row>
    <row r="356" spans="1:3" ht="65" x14ac:dyDescent="0.3">
      <c r="A356" s="321" t="s">
        <v>2016</v>
      </c>
      <c r="B356" s="329" t="s">
        <v>4441</v>
      </c>
      <c r="C356" s="321" t="s">
        <v>291</v>
      </c>
    </row>
    <row r="357" spans="1:3" ht="65" x14ac:dyDescent="0.3">
      <c r="A357" s="321" t="s">
        <v>2596</v>
      </c>
      <c r="B357" s="329" t="s">
        <v>4442</v>
      </c>
      <c r="C357" s="321" t="s">
        <v>291</v>
      </c>
    </row>
    <row r="358" spans="1:3" ht="52" x14ac:dyDescent="0.3">
      <c r="A358" s="321" t="s">
        <v>1075</v>
      </c>
      <c r="B358" s="329" t="s">
        <v>4443</v>
      </c>
      <c r="C358" s="321" t="s">
        <v>291</v>
      </c>
    </row>
    <row r="359" spans="1:3" ht="65" x14ac:dyDescent="0.3">
      <c r="A359" s="321" t="s">
        <v>3316</v>
      </c>
      <c r="B359" s="329" t="s">
        <v>4444</v>
      </c>
      <c r="C359" s="321" t="s">
        <v>291</v>
      </c>
    </row>
    <row r="360" spans="1:3" x14ac:dyDescent="0.3">
      <c r="A360" s="321" t="s">
        <v>2999</v>
      </c>
      <c r="B360" s="323" t="e">
        <f>IF(ChemClass="neutral", 0, FRACaerw.aA*Kaerw.aA/(1+FRACaerw.aA*Kaerw.aA+FRACaers.aA*Kaers.aA+FRACcldw.aA*Kcldw.aA))</f>
        <v>#NAME?</v>
      </c>
      <c r="C360" s="321" t="s">
        <v>291</v>
      </c>
    </row>
    <row r="361" spans="1:3" x14ac:dyDescent="0.3">
      <c r="A361" s="321" t="s">
        <v>2014</v>
      </c>
      <c r="B361" s="323" t="e">
        <f>IF(ChemClass="neutral", 0, FRACaerw.aC*Kaerw.aC/(1+FRACaerw.aC*Kaerw.aC+FRACaers.aC*Kaers.aC+FRACcldw.aC*Kcldw.aC))</f>
        <v>#NAME?</v>
      </c>
      <c r="C361" s="321" t="s">
        <v>291</v>
      </c>
    </row>
    <row r="362" spans="1:3" x14ac:dyDescent="0.3">
      <c r="A362" s="321" t="s">
        <v>2595</v>
      </c>
      <c r="B362" s="323" t="e">
        <f>IF(ChemClass="neutral", 0, FRACaerw.aM*Kaerw.aM/(1+FRACaerw.aM*Kaerw.aM+FRACaers.aM*Kaers.aM+FRACcldw.aM*Kcldw.aM))</f>
        <v>#NAME?</v>
      </c>
      <c r="C362" s="321" t="s">
        <v>291</v>
      </c>
    </row>
    <row r="363" spans="1:3" x14ac:dyDescent="0.3">
      <c r="A363" s="321" t="s">
        <v>1072</v>
      </c>
      <c r="B363" s="323" t="e">
        <f>IF(ChemClass="neutral", 0, FRACaerw.aR*Kaerw.aR/(1+FRACaerw.aR*Kaerw.aR+FRACaers.aR*Kaers.aR+FRACcldw.aR*Kcldw.aR))</f>
        <v>#NAME?</v>
      </c>
      <c r="C363" s="321" t="s">
        <v>291</v>
      </c>
    </row>
    <row r="364" spans="1:3" x14ac:dyDescent="0.3">
      <c r="A364" s="321" t="s">
        <v>3315</v>
      </c>
      <c r="B364" s="323" t="e">
        <f>IF(ChemClass="neutral", 0, FRACaerw.aT*Kaerw.aT/(1+FRACaerw.aT*Kaerw.aT+FRACaers.aT*Kaers.aT+FRACcldw.aT*Kcldw.aT))</f>
        <v>#NAME?</v>
      </c>
      <c r="C364" s="321" t="s">
        <v>291</v>
      </c>
    </row>
    <row r="365" spans="1:3" x14ac:dyDescent="0.3">
      <c r="A365" s="321" t="s">
        <v>4445</v>
      </c>
      <c r="B365" s="323" t="e">
        <f>IF(ChemClass="neutral", 0, FRACcldw.aA *Kcldw.aA/(1+FRACaerw.aA*Kaerw.aA+FRACaers.aA*Kaers.aA+FRACcldw.aA*Kcldw.aA))</f>
        <v>#NAME?</v>
      </c>
      <c r="C365" s="321" t="s">
        <v>291</v>
      </c>
    </row>
    <row r="366" spans="1:3" x14ac:dyDescent="0.3">
      <c r="A366" s="321" t="s">
        <v>4446</v>
      </c>
      <c r="B366" s="323" t="e">
        <f>IF(ChemClass="neutral", 0, FRACcldw.aC *Kcldw.aC/(1+FRACaerw.aC*Kaerw.aC+FRACaers.aC*Kaers.aC+FRACcldw.aC*Kcldw.aC))</f>
        <v>#NAME?</v>
      </c>
      <c r="C366" s="321" t="s">
        <v>291</v>
      </c>
    </row>
    <row r="367" spans="1:3" x14ac:dyDescent="0.3">
      <c r="A367" s="321" t="s">
        <v>4447</v>
      </c>
      <c r="B367" s="323" t="e">
        <f>IF(ChemClass="neutral", 0, FRACcldw.aM *Kcldw.aM/(1+FRACaerw.aM*Kaerw.aM+FRACaers.aM*Kaers.aM+FRACcldw.aM*Kcldw.aM))</f>
        <v>#NAME?</v>
      </c>
      <c r="C367" s="321" t="s">
        <v>291</v>
      </c>
    </row>
    <row r="368" spans="1:3" x14ac:dyDescent="0.3">
      <c r="A368" s="321" t="s">
        <v>4448</v>
      </c>
      <c r="B368" s="323" t="e">
        <f>IF(ChemClass="neutral", 0, FRACcldw.aR*Kcldw.aR/(1+FRACaerw.aR*Kaerw.aR+FRACaers.aR*Kaers.aR+FRACcldw.aR*Kcldw.aR))</f>
        <v>#NAME?</v>
      </c>
      <c r="C368" s="321" t="s">
        <v>291</v>
      </c>
    </row>
    <row r="369" spans="1:3" x14ac:dyDescent="0.3">
      <c r="A369" s="321" t="s">
        <v>4449</v>
      </c>
      <c r="B369" s="323" t="e">
        <f>IF(ChemClass="neutral", 0, FRACcldw.aT *Kcldw.aT/(1+FRACaerw.aT*Kaerw.aT+FRACaers.aT*Kaers.aT+FRACcldw.aT*Kcldw.aT))</f>
        <v>#NAME?</v>
      </c>
      <c r="C369" s="321" t="s">
        <v>291</v>
      </c>
    </row>
    <row r="370" spans="1:3" x14ac:dyDescent="0.3">
      <c r="A370" s="317" t="s">
        <v>2998</v>
      </c>
      <c r="B370" s="323" t="e">
        <f>1-FRaerw.aA-FRaers.aA-FRcldw.aA</f>
        <v>#NAME?</v>
      </c>
      <c r="C370" s="317" t="s">
        <v>291</v>
      </c>
    </row>
    <row r="371" spans="1:3" x14ac:dyDescent="0.3">
      <c r="A371" s="317" t="s">
        <v>2012</v>
      </c>
      <c r="B371" s="323" t="e">
        <f>1-FRaerw.aC-FRaers.aC-FRcldw.aC</f>
        <v>#NAME?</v>
      </c>
      <c r="C371" s="317" t="s">
        <v>291</v>
      </c>
    </row>
    <row r="372" spans="1:3" x14ac:dyDescent="0.3">
      <c r="A372" s="317" t="s">
        <v>2594</v>
      </c>
      <c r="B372" s="323" t="e">
        <f>1-FRaerw.aM-FRaers.aM-FRcldw.aM</f>
        <v>#NAME?</v>
      </c>
      <c r="C372" s="317" t="s">
        <v>291</v>
      </c>
    </row>
    <row r="373" spans="1:3" x14ac:dyDescent="0.3">
      <c r="A373" s="321" t="s">
        <v>1070</v>
      </c>
      <c r="B373" s="323" t="e">
        <f>1-FRaerw.aR-FRaers.aR-FRcldw.aR</f>
        <v>#NAME?</v>
      </c>
      <c r="C373" s="321" t="s">
        <v>291</v>
      </c>
    </row>
    <row r="374" spans="1:3" x14ac:dyDescent="0.3">
      <c r="A374" s="317" t="s">
        <v>3314</v>
      </c>
      <c r="B374" s="323" t="e">
        <f>1-FRaerw.aT-FRaers.aT-FRcldw.aT</f>
        <v>#NAME?</v>
      </c>
      <c r="C374" s="317" t="s">
        <v>291</v>
      </c>
    </row>
    <row r="375" spans="1:3" x14ac:dyDescent="0.3">
      <c r="A375" s="317" t="s">
        <v>548</v>
      </c>
      <c r="B375" s="318">
        <f>IF(ChemClass="Acid",1/(1+10^(pH.aerw-pKa)),IF(ChemClass="Base",1/(1+10^(pKa-pH.aerw)),1))</f>
        <v>1</v>
      </c>
      <c r="C375" s="317" t="s">
        <v>291</v>
      </c>
    </row>
    <row r="376" spans="1:3" x14ac:dyDescent="0.3">
      <c r="A376" s="317" t="s">
        <v>546</v>
      </c>
      <c r="B376" s="318">
        <f>IF(ChemClass="Acid",1/(1+10^(pH.cldw-pKa)),IF(ChemClass="Base",1/(1+10^(pKa-pH.cldw)),1))</f>
        <v>1</v>
      </c>
      <c r="C376" s="317" t="s">
        <v>291</v>
      </c>
    </row>
    <row r="377" spans="1:3" x14ac:dyDescent="0.3">
      <c r="A377" s="317" t="s">
        <v>558</v>
      </c>
      <c r="B377" s="318">
        <f>IF(ChemClass="Acid",1/(1+10^(pH.s1-0.6-pKa)),IF(ChemClass="Base",1/(1+10^(pKa-4.5)),1))</f>
        <v>1</v>
      </c>
      <c r="C377" s="317" t="s">
        <v>291</v>
      </c>
    </row>
    <row r="378" spans="1:3" x14ac:dyDescent="0.3">
      <c r="A378" s="317" t="s">
        <v>560</v>
      </c>
      <c r="B378" s="318">
        <f>IF(ChemClass="Acid",1/(1+10^(pH.s1-pKa)),IF(ChemClass="Base",1/(1+10^(pKa-pH.s1)),1))</f>
        <v>1</v>
      </c>
      <c r="C378" s="317" t="s">
        <v>291</v>
      </c>
    </row>
    <row r="379" spans="1:3" x14ac:dyDescent="0.3">
      <c r="A379" s="317" t="s">
        <v>562</v>
      </c>
      <c r="B379" s="318">
        <f>IF(ChemClass="Acid",1/(1+10^(pH.s2-0.6-pKa)),IF(ChemClass="Base",1/(1+10^(pKa-4.5)),1))</f>
        <v>1</v>
      </c>
      <c r="C379" s="317" t="s">
        <v>291</v>
      </c>
    </row>
    <row r="380" spans="1:3" x14ac:dyDescent="0.3">
      <c r="A380" s="317" t="s">
        <v>564</v>
      </c>
      <c r="B380" s="318">
        <f>IF(ChemClass="Acid",1/(1+10^(pH.s2-pKa)),IF(ChemClass="Base",1/(1+10^(pKa-pH.s2)),1))</f>
        <v>1</v>
      </c>
      <c r="C380" s="317" t="s">
        <v>291</v>
      </c>
    </row>
    <row r="381" spans="1:3" x14ac:dyDescent="0.3">
      <c r="A381" s="317" t="s">
        <v>566</v>
      </c>
      <c r="B381" s="318">
        <f>IF(ChemClass="Acid",1/(1+10^(pH.s3-0.6-pKa)),IF(ChemClass="Base",1/(1+10^(pKa-4.5)),1))</f>
        <v>1</v>
      </c>
      <c r="C381" s="317" t="s">
        <v>291</v>
      </c>
    </row>
    <row r="382" spans="1:3" x14ac:dyDescent="0.3">
      <c r="A382" s="317" t="s">
        <v>568</v>
      </c>
      <c r="B382" s="318">
        <f>IF(ChemClass="Acid",1/(1+10^(pH.s3-pKa)),IF(ChemClass="Base",1/(1+10^(pKa-pH.s3)),1))</f>
        <v>1</v>
      </c>
      <c r="C382" s="317" t="s">
        <v>291</v>
      </c>
    </row>
    <row r="383" spans="1:3" x14ac:dyDescent="0.3">
      <c r="A383" s="317" t="s">
        <v>552</v>
      </c>
      <c r="B383" s="318">
        <f>IF(ChemClass="Acid",1/(1+10^(pH.w1-0.6-pKa)),IF(ChemClass="Base",1/(1+10^(pKa-4.5)),1))</f>
        <v>1</v>
      </c>
      <c r="C383" s="317" t="s">
        <v>291</v>
      </c>
    </row>
    <row r="384" spans="1:3" x14ac:dyDescent="0.3">
      <c r="A384" s="317" t="s">
        <v>556</v>
      </c>
      <c r="B384" s="318">
        <f>IF(ChemClass="Acid",1/(1+10^(pH.w2-0.6-pKa)),IF(ChemClass="Base",1/(1+10^(pKa-4.5)),1))</f>
        <v>1</v>
      </c>
      <c r="C384" s="317"/>
    </row>
    <row r="385" spans="1:3" x14ac:dyDescent="0.3">
      <c r="A385" s="317" t="s">
        <v>550</v>
      </c>
      <c r="B385" s="318">
        <f>IF(ChemClass="Acid",1/(1+10^(pH.w1-pKa)),IF(ChemClass="Base",1/(1+10^(pKa-pH.w1)),1))</f>
        <v>1</v>
      </c>
      <c r="C385" s="317" t="s">
        <v>291</v>
      </c>
    </row>
    <row r="386" spans="1:3" x14ac:dyDescent="0.3">
      <c r="A386" s="317" t="s">
        <v>554</v>
      </c>
      <c r="B386" s="318">
        <f>IF(ChemClass="Acid",1/(1+10^(pH.w2-pKa)),IF(ChemClass="Base",1/(1+10^(pKa-pH.w2)),1))</f>
        <v>1</v>
      </c>
      <c r="C386" s="317" t="s">
        <v>291</v>
      </c>
    </row>
    <row r="387" spans="1:3" x14ac:dyDescent="0.3">
      <c r="A387" s="319" t="s">
        <v>2051</v>
      </c>
      <c r="B387" s="318">
        <f>FRACs.s1C / (FRACa.s1C*Kaw.C*FRorig.s1w/(Kp.s1C*RHOsolid/1000)+FRACw.s1C /(Kp.s1C*RHOsolid/1000)+FRACs.s1C )</f>
        <v>0.99999298250538582</v>
      </c>
      <c r="C387" s="317" t="s">
        <v>291</v>
      </c>
    </row>
    <row r="388" spans="1:3" x14ac:dyDescent="0.3">
      <c r="A388" s="319" t="s">
        <v>1130</v>
      </c>
      <c r="B388" s="323">
        <v>0.99999298250538582</v>
      </c>
      <c r="C388" s="317" t="s">
        <v>291</v>
      </c>
    </row>
    <row r="389" spans="1:3" x14ac:dyDescent="0.3">
      <c r="A389" s="319" t="s">
        <v>2058</v>
      </c>
      <c r="B389" s="318">
        <f>FRACs.s2C / (FRACa.s2C*Kaw.C*FRorig.s2w/(Kp.s2C*RHOsolid/1000)+FRACw.s2C /(Kp.s2C*RHOsolid/1000)+FRACs.s2C )</f>
        <v>0.99999298250538582</v>
      </c>
      <c r="C389" s="317" t="s">
        <v>291</v>
      </c>
    </row>
    <row r="390" spans="1:3" x14ac:dyDescent="0.3">
      <c r="A390" s="319" t="s">
        <v>1140</v>
      </c>
      <c r="B390" s="323">
        <v>0.99999298250538582</v>
      </c>
      <c r="C390" s="317" t="s">
        <v>291</v>
      </c>
    </row>
    <row r="391" spans="1:3" x14ac:dyDescent="0.3">
      <c r="A391" s="319" t="s">
        <v>2065</v>
      </c>
      <c r="B391" s="318">
        <f>FRACs.s3C / (FRACa.s3C*Kaw.C*FRorig.s3w/(Kp.s3C*RHOsolid/1000)+FRACw.s3C /(Kp.s3C*RHOsolid/1000)+FRACs.s3C )</f>
        <v>0.99999298250538582</v>
      </c>
      <c r="C391" s="317" t="s">
        <v>291</v>
      </c>
    </row>
    <row r="392" spans="1:3" x14ac:dyDescent="0.3">
      <c r="A392" s="319" t="s">
        <v>1150</v>
      </c>
      <c r="B392" s="323">
        <v>0.99999298250538582</v>
      </c>
      <c r="C392" s="317" t="s">
        <v>291</v>
      </c>
    </row>
    <row r="393" spans="1:3" x14ac:dyDescent="0.3">
      <c r="A393" s="319" t="s">
        <v>3023</v>
      </c>
      <c r="B393" s="318">
        <f>FRACs.sA/ (FRACa.sA*Kaw.A*FRorig.s1w/(Kp.sA*RHOsolid/1000)+FRACw.sA/(Kp.sA*RHOsolid/1000)+FRACs.sA )</f>
        <v>0.99999298250538582</v>
      </c>
      <c r="C393" s="317" t="s">
        <v>291</v>
      </c>
    </row>
    <row r="394" spans="1:3" x14ac:dyDescent="0.3">
      <c r="A394" s="319" t="s">
        <v>2639</v>
      </c>
      <c r="B394" s="318">
        <f>FRACs.sM / (FRACa.sM*Kaw.M*FRorig.s1w/(Kp.sM*RHOsolid/1000)+FRACw.sM/(Kp.sM*RHOsolid/1000)+FRACs.sM )</f>
        <v>0.99999298250538582</v>
      </c>
      <c r="C394" s="317" t="s">
        <v>291</v>
      </c>
    </row>
    <row r="395" spans="1:3" x14ac:dyDescent="0.3">
      <c r="A395" s="319" t="s">
        <v>3339</v>
      </c>
      <c r="B395" s="318">
        <f>FRACs.sT/ (FRACa.sT*Kaw.T*FRorig.s1w/(Kp.sT*RHOsolid/1000)+FRACw.sT/(Kp.sT*RHOsolid/1000)+FRACs.sT )</f>
        <v>0.99999298250538582</v>
      </c>
      <c r="C395" s="317" t="s">
        <v>291</v>
      </c>
    </row>
    <row r="396" spans="1:3" x14ac:dyDescent="0.3">
      <c r="A396" s="319" t="s">
        <v>2049</v>
      </c>
      <c r="B396" s="318">
        <f>FRACw.s1C/(FRACa.s1C*(Kaw.C*FRorig.s1w)+FRACw.s1C+FRACs.s1C*Kp.s1C*RHOsolid/1000)</f>
        <v>7.0174946140728833E-6</v>
      </c>
      <c r="C396" s="317" t="s">
        <v>291</v>
      </c>
    </row>
    <row r="397" spans="1:3" x14ac:dyDescent="0.3">
      <c r="A397" s="319" t="s">
        <v>4450</v>
      </c>
      <c r="B397" s="323">
        <v>7.0174946140728833E-6</v>
      </c>
      <c r="C397" s="317" t="s">
        <v>291</v>
      </c>
    </row>
    <row r="398" spans="1:3" x14ac:dyDescent="0.3">
      <c r="A398" s="319" t="s">
        <v>2056</v>
      </c>
      <c r="B398" s="318">
        <f>FRACw.s2C/(FRACa.s2C*(Kaw.C*FRorig.s2w)+FRACw.s2C+FRACs.s2C*Kp.s2C*RHOsolid/1000)</f>
        <v>7.0174946140728833E-6</v>
      </c>
      <c r="C398" s="317" t="s">
        <v>291</v>
      </c>
    </row>
    <row r="399" spans="1:3" x14ac:dyDescent="0.3">
      <c r="A399" s="319" t="s">
        <v>4451</v>
      </c>
      <c r="B399" s="323">
        <v>7.0174946140728833E-6</v>
      </c>
      <c r="C399" s="317" t="s">
        <v>291</v>
      </c>
    </row>
    <row r="400" spans="1:3" x14ac:dyDescent="0.3">
      <c r="A400" s="319" t="s">
        <v>2063</v>
      </c>
      <c r="B400" s="318">
        <f>FRACw.s3C/(FRACa.s3C*(Kaw.C*FRorig.s3w)+FRACw.s3C+FRACs.s3C*Kp.s3C*RHOsolid/1000)</f>
        <v>7.0174946140728833E-6</v>
      </c>
      <c r="C400" s="317" t="s">
        <v>291</v>
      </c>
    </row>
    <row r="401" spans="1:3" x14ac:dyDescent="0.3">
      <c r="A401" s="319" t="s">
        <v>4452</v>
      </c>
      <c r="B401" s="323">
        <v>7.0174946140728833E-6</v>
      </c>
      <c r="C401" s="317" t="s">
        <v>291</v>
      </c>
    </row>
    <row r="402" spans="1:3" x14ac:dyDescent="0.3">
      <c r="A402" s="319" t="s">
        <v>3022</v>
      </c>
      <c r="B402" s="318">
        <f>FRACw.sA/(FRACa.sA*(Kaw.A*FRorig.s1w)+FRACw.sA+FRACs.sA*Kp.sA*RHOsolid/1000)</f>
        <v>7.0174946140728833E-6</v>
      </c>
      <c r="C402" s="317" t="s">
        <v>291</v>
      </c>
    </row>
    <row r="403" spans="1:3" x14ac:dyDescent="0.3">
      <c r="A403" s="319" t="s">
        <v>2637</v>
      </c>
      <c r="B403" s="318">
        <f>FRACw.sM/(FRACa.sM*(Kaw.M*FRorig.s1w)+FRACw.sM+FRACs.sM*Kp.sM*RHOsolid/1000)</f>
        <v>7.0174946140728833E-6</v>
      </c>
      <c r="C403" s="317" t="s">
        <v>291</v>
      </c>
    </row>
    <row r="404" spans="1:3" x14ac:dyDescent="0.3">
      <c r="A404" s="319" t="s">
        <v>3338</v>
      </c>
      <c r="B404" s="318">
        <f>FRACw.sT/(FRACa.sT*(Kaw.T*FRorig.s1w)+FRACw.sT+FRACs.sT*Kp.sT*RHOsolid/1000)</f>
        <v>7.0174946140728833E-6</v>
      </c>
      <c r="C404" s="317" t="s">
        <v>291</v>
      </c>
    </row>
    <row r="405" spans="1:3" x14ac:dyDescent="0.3">
      <c r="A405" s="319" t="s">
        <v>2024</v>
      </c>
      <c r="B405" s="323">
        <f>1/(1+Kp.susp0C*SUSP.w0C/1000+Kp.col0C*COL.w0C/1000)</f>
        <v>0.95445347993738772</v>
      </c>
      <c r="C405" s="317" t="s">
        <v>291</v>
      </c>
    </row>
    <row r="406" spans="1:3" x14ac:dyDescent="0.3">
      <c r="A406" s="319" t="s">
        <v>4453</v>
      </c>
      <c r="B406" s="323">
        <f>1/(1+Kp.susp0R*SUSP.w0R/1000+Kp.col0R*COL.w0R/1000)</f>
        <v>0.95445347993738772</v>
      </c>
      <c r="C406" s="317" t="s">
        <v>291</v>
      </c>
    </row>
    <row r="407" spans="1:3" x14ac:dyDescent="0.3">
      <c r="A407" s="319" t="s">
        <v>2029</v>
      </c>
      <c r="B407" s="323">
        <f>1/(1+Kp.susp1C*SUSP.w1C/1000+Kp.col1C*COL.w1C/1000)</f>
        <v>0.41233372642481919</v>
      </c>
      <c r="C407" s="317" t="s">
        <v>291</v>
      </c>
    </row>
    <row r="408" spans="1:3" x14ac:dyDescent="0.3">
      <c r="A408" s="319" t="s">
        <v>4454</v>
      </c>
      <c r="B408" s="323">
        <f>1/(1+Kp.susp1R*SUSP.w1R/1000+Kp.col1R*COL.w1R/1000)</f>
        <v>0.41233372642481919</v>
      </c>
      <c r="C408" s="317" t="s">
        <v>291</v>
      </c>
    </row>
    <row r="409" spans="1:3" x14ac:dyDescent="0.3">
      <c r="A409" s="317" t="s">
        <v>3006</v>
      </c>
      <c r="B409" s="318">
        <f>1/(1+Kp.susp2A*SUSP.w2A/1000+Kp.col2A*COL.w2A/1000)</f>
        <v>0.67786499640731546</v>
      </c>
      <c r="C409" s="317" t="s">
        <v>291</v>
      </c>
    </row>
    <row r="410" spans="1:3" x14ac:dyDescent="0.3">
      <c r="A410" s="319" t="s">
        <v>2034</v>
      </c>
      <c r="B410" s="323">
        <f>1/(1+Kp.susp2C*SUSP.w2C/1000+Kp.col2C*COL.w2C/1000)</f>
        <v>0.67786499640731546</v>
      </c>
      <c r="C410" s="317" t="s">
        <v>291</v>
      </c>
    </row>
    <row r="411" spans="1:3" x14ac:dyDescent="0.3">
      <c r="A411" s="317" t="s">
        <v>2605</v>
      </c>
      <c r="B411" s="318">
        <f>1/(1+Kp.susp2M*SUSP.w2M/1000+Kp.col2M*COL.w2M/1000)</f>
        <v>0.67786499640731546</v>
      </c>
      <c r="C411" s="317" t="s">
        <v>291</v>
      </c>
    </row>
    <row r="412" spans="1:3" x14ac:dyDescent="0.3">
      <c r="A412" s="319" t="s">
        <v>4455</v>
      </c>
      <c r="B412" s="318">
        <f>1/(1+Kp.susp2R*SUSP.w2R/1000+Kp.col2R*COL.w2R/1000)</f>
        <v>0.67786499640731546</v>
      </c>
      <c r="C412" s="317" t="s">
        <v>291</v>
      </c>
    </row>
    <row r="413" spans="1:3" x14ac:dyDescent="0.3">
      <c r="A413" s="317" t="s">
        <v>3322</v>
      </c>
      <c r="B413" s="323">
        <f>1/(1+Kp.susp2T*SUSP.w2T/1000+Kp.col2T*COL.w2T/1000)</f>
        <v>0.67786499640731546</v>
      </c>
      <c r="C413" s="317" t="s">
        <v>291</v>
      </c>
    </row>
    <row r="414" spans="1:3" x14ac:dyDescent="0.3">
      <c r="A414" s="317" t="s">
        <v>3007</v>
      </c>
      <c r="B414" s="318">
        <f>1/(1+Kp.susp3A*SUSP.w3A/1000+Kp.col3A*COL.w3A/1000)</f>
        <v>0.67786499640731546</v>
      </c>
      <c r="C414" s="317" t="s">
        <v>291</v>
      </c>
    </row>
    <row r="415" spans="1:3" x14ac:dyDescent="0.3">
      <c r="A415" s="317" t="s">
        <v>2607</v>
      </c>
      <c r="B415" s="318">
        <f>1/(1+Kp.susp3M*SUSP.w3M/1000+Kp.col3M*COL.w3M/1000)</f>
        <v>0.67786499640731546</v>
      </c>
      <c r="C415" s="317" t="s">
        <v>291</v>
      </c>
    </row>
    <row r="416" spans="1:3" x14ac:dyDescent="0.3">
      <c r="A416" s="317" t="s">
        <v>3323</v>
      </c>
      <c r="B416" s="323">
        <f>1/(1+Kp.susp3T*SUSP.w3T/1000+Kp.col3T*COL.w3T/1000)</f>
        <v>0.67786499640731546</v>
      </c>
      <c r="C416" s="317" t="s">
        <v>291</v>
      </c>
    </row>
    <row r="417" spans="1:3" ht="14.5" x14ac:dyDescent="0.3">
      <c r="A417" s="317" t="s">
        <v>4456</v>
      </c>
      <c r="B417" s="318">
        <f>FRgas.aA*(MTCas.air.aA*MTCas.soil.sA/(FRorig.s1*MTCas.air.aA*Kaw.A+MTCas.soil.sA))*SYSTEMAREA.A*AREAFRAC.sA</f>
        <v>3.91878335286377E-7</v>
      </c>
      <c r="C417" s="321" t="s">
        <v>1058</v>
      </c>
    </row>
    <row r="418" spans="1:3" ht="14.5" x14ac:dyDescent="0.3">
      <c r="A418" s="317" t="s">
        <v>4457</v>
      </c>
      <c r="B418" s="318">
        <f>FRgas.aA*(MTCaw.air.aA*MTCaw.water.wA/(FRorig.w1*MTCaw.air.aA*Kaw.A+MTCaw.water.wA))*SYSTEMAREA.A*AREAFRAC.wA</f>
        <v>2.7715229645670876E-6</v>
      </c>
      <c r="C418" s="321" t="s">
        <v>1058</v>
      </c>
    </row>
    <row r="419" spans="1:3" ht="14.5" x14ac:dyDescent="0.3">
      <c r="A419" s="317" t="s">
        <v>4458</v>
      </c>
      <c r="B419" s="318">
        <f>FRgas.aC*(MTCas.air.aC*MTCas.soil.sC)/(MTCas.air.aC*((Kaw.C*FRorig.s1w)/Ks1w.C)+MTCas.soil.sC)*(SYSTEMAREA.C*AREAFRAC.s1C)</f>
        <v>4.1739995554558726E-4</v>
      </c>
      <c r="C419" s="317" t="s">
        <v>1058</v>
      </c>
    </row>
    <row r="420" spans="1:3" ht="14.5" x14ac:dyDescent="0.3">
      <c r="A420" s="317" t="s">
        <v>4459</v>
      </c>
      <c r="B420" s="318">
        <f>FRgas.aC*(MTCas.air.aC*MTCas.soil.sC)/(MTCas.air.aC*((Kaw.C*FRorig.s2w)/Ks2w.C)+MTCas.soil.sC)*(SYSTEMAREA.C*AREAFRAC.s2C)</f>
        <v>9.2755545676797158E-4</v>
      </c>
      <c r="C420" s="317" t="s">
        <v>1058</v>
      </c>
    </row>
    <row r="421" spans="1:3" ht="14.5" x14ac:dyDescent="0.3">
      <c r="A421" s="317" t="s">
        <v>4460</v>
      </c>
      <c r="B421" s="318">
        <f>FRgas.aC*(MTCas.air.aC*MTCas.soil.sC)/(MTCas.air.aC*((Kaw.C*FRorig.s3w)/Ks3w.C)+MTCas.soil.sC)*(SYSTEMAREA.C*AREAFRAC.s3C)</f>
        <v>1.5459257612799525E-4</v>
      </c>
      <c r="C421" s="317" t="s">
        <v>1058</v>
      </c>
    </row>
    <row r="422" spans="1:3" ht="14.5" x14ac:dyDescent="0.3">
      <c r="A422" s="317" t="s">
        <v>4461</v>
      </c>
      <c r="B422" s="318">
        <f>FRgas.aC*(MTCaw.air.aC*MTCaw.water.wC/(FRorig.w1*MTCaw.air.aC*Kaw.C+MTCaw.water.wC))*SYSTEMAREA.C*AREAFRAC.w0C</f>
        <v>1.8222359536153602E-5</v>
      </c>
      <c r="C422" s="317" t="s">
        <v>1058</v>
      </c>
    </row>
    <row r="423" spans="1:3" ht="14.5" x14ac:dyDescent="0.3">
      <c r="A423" s="317" t="s">
        <v>4462</v>
      </c>
      <c r="B423" s="318">
        <f>FRgas.aC*(MTCaw.air.aC*MTCaw.water.wC/(FRorig.w1*MTCaw.air.aC*Kaw.C+MTCaw.water.wC))*SYSTEMAREA.C*AREAFRAC.w1C</f>
        <v>2.0044595489768962E-4</v>
      </c>
      <c r="C423" s="317" t="s">
        <v>1058</v>
      </c>
    </row>
    <row r="424" spans="1:3" ht="14.5" x14ac:dyDescent="0.3">
      <c r="A424" s="317" t="s">
        <v>4463</v>
      </c>
      <c r="B424" s="318">
        <f>FRgas.aC*(MTCaw.air.aC*MTCaw.water.wC/(FRorig.w2*MTCaw.air.aC*Kaw.C+MTCaw.water.wC))*SYSTEMAREA.C*AREAFRAC.w2C</f>
        <v>7.7647961036821141E-3</v>
      </c>
      <c r="C424" s="317" t="s">
        <v>1058</v>
      </c>
    </row>
    <row r="425" spans="1:3" ht="14.5" x14ac:dyDescent="0.3">
      <c r="A425" s="317" t="s">
        <v>4464</v>
      </c>
      <c r="B425" s="318">
        <f>FRgas.aM*(MTCas.air.aM*MTCas.soil.sM/(FRorig.s1*MTCas.air.aM*Kaw.M+MTCas.soil.sM))*SYSTEMAREA.M*AREAFRAC.sM</f>
        <v>1.7200414601785306E-2</v>
      </c>
      <c r="C425" s="321" t="s">
        <v>1058</v>
      </c>
    </row>
    <row r="426" spans="1:3" ht="14.5" x14ac:dyDescent="0.3">
      <c r="A426" s="317" t="s">
        <v>4465</v>
      </c>
      <c r="B426" s="318">
        <f>FRgas.aM*(MTCaw.air.aM*MTCaw.water.wM/(FRorig.w1*MTCaw.air.aM*Kaw.M+MTCaw.water.wM))*SYSTEMAREA.M*AREAFRAC.wM</f>
        <v>8.1101251440323568E-2</v>
      </c>
      <c r="C426" s="321" t="s">
        <v>1058</v>
      </c>
    </row>
    <row r="427" spans="1:3" ht="14.5" x14ac:dyDescent="0.3">
      <c r="A427" s="317" t="s">
        <v>4466</v>
      </c>
      <c r="B427" s="318">
        <v>7.8792811842481737E-5</v>
      </c>
      <c r="C427" s="317" t="s">
        <v>1058</v>
      </c>
    </row>
    <row r="428" spans="1:3" ht="14.5" x14ac:dyDescent="0.3">
      <c r="A428" s="317" t="s">
        <v>4467</v>
      </c>
      <c r="B428" s="318">
        <v>1.7509513742773714E-4</v>
      </c>
      <c r="C428" s="317" t="s">
        <v>1058</v>
      </c>
    </row>
    <row r="429" spans="1:3" ht="14.5" x14ac:dyDescent="0.3">
      <c r="A429" s="317" t="s">
        <v>4468</v>
      </c>
      <c r="B429" s="318">
        <v>2.918252290462286E-5</v>
      </c>
      <c r="C429" s="317" t="s">
        <v>1058</v>
      </c>
    </row>
    <row r="430" spans="1:3" ht="14.5" x14ac:dyDescent="0.3">
      <c r="A430" s="317" t="s">
        <v>4469</v>
      </c>
      <c r="B430" s="318">
        <v>3.4399598469625707E-6</v>
      </c>
      <c r="C430" s="317" t="s">
        <v>1058</v>
      </c>
    </row>
    <row r="431" spans="1:3" ht="14.5" x14ac:dyDescent="0.3">
      <c r="A431" s="317" t="s">
        <v>4470</v>
      </c>
      <c r="B431" s="318">
        <v>3.7839558316588276E-5</v>
      </c>
      <c r="C431" s="317" t="s">
        <v>1058</v>
      </c>
    </row>
    <row r="432" spans="1:3" ht="14.5" x14ac:dyDescent="0.3">
      <c r="A432" s="317" t="s">
        <v>4471</v>
      </c>
      <c r="B432" s="318">
        <v>6.0199673569804861E-6</v>
      </c>
      <c r="C432" s="317" t="s">
        <v>1058</v>
      </c>
    </row>
    <row r="433" spans="1:3" ht="14.5" x14ac:dyDescent="0.3">
      <c r="A433" s="317" t="s">
        <v>4472</v>
      </c>
      <c r="B433" s="318">
        <f>FRgas.aT*(MTCas.air.aT*MTCas.soil.sT/(FRorig.s1*MTCas.air.aT*Kaw.T+MTCas.soil.sT))*SYSTEMAREA.T*AREAFRAC.sT</f>
        <v>6.6546737977852433E-2</v>
      </c>
      <c r="C433" s="321" t="s">
        <v>1058</v>
      </c>
    </row>
    <row r="434" spans="1:3" ht="14.5" x14ac:dyDescent="0.3">
      <c r="A434" s="317" t="s">
        <v>4473</v>
      </c>
      <c r="B434" s="318">
        <f>FRgas.aT*(MTCaw.air.aT*MTCaw.water.wT/(FRorig.w1*MTCaw.air.aT*Kaw.T+MTCaw.water.wT))*SYSTEMAREA.T*AREAFRAC.wT</f>
        <v>0.73978617020053028</v>
      </c>
      <c r="C434" s="321" t="s">
        <v>1058</v>
      </c>
    </row>
    <row r="435" spans="1:3" ht="14.5" x14ac:dyDescent="0.3">
      <c r="A435" s="317" t="s">
        <v>3041</v>
      </c>
      <c r="B435" s="318">
        <f>FRgas.aA*(tdry.A+twet.A)/twet.A*RAINrate.A/((Kaw.A*FRorig.cldw)+0.0000000555)</f>
        <v>5.2375767251035293E-17</v>
      </c>
      <c r="C435" s="319" t="s">
        <v>1195</v>
      </c>
    </row>
    <row r="436" spans="1:3" ht="14.5" x14ac:dyDescent="0.3">
      <c r="A436" s="317" t="s">
        <v>2104</v>
      </c>
      <c r="B436" s="318">
        <f>FRgas.aC*(tdry.C+twet.C)/twet.C*RAINrate.C/((Kaw.C*FRorig.cldw)+0.0000000555)</f>
        <v>2.8214170191580335E-12</v>
      </c>
      <c r="C436" s="319" t="s">
        <v>1195</v>
      </c>
    </row>
    <row r="437" spans="1:3" ht="14.5" x14ac:dyDescent="0.3">
      <c r="A437" s="317" t="s">
        <v>2664</v>
      </c>
      <c r="B437" s="318">
        <f>FRgas.aM*(tdry.M+twet.M)/twet.M*RAINrate.M/((Kaw.M*FRorig.cldw)+0.0000000555)</f>
        <v>2.8214170191580335E-12</v>
      </c>
      <c r="C437" s="319" t="s">
        <v>1195</v>
      </c>
    </row>
    <row r="438" spans="1:3" ht="14.5" x14ac:dyDescent="0.3">
      <c r="A438" s="317" t="s">
        <v>4474</v>
      </c>
      <c r="B438" s="318">
        <v>7.928709494231241E-12</v>
      </c>
      <c r="C438" s="319" t="s">
        <v>1195</v>
      </c>
    </row>
    <row r="439" spans="1:3" ht="14.5" x14ac:dyDescent="0.3">
      <c r="A439" s="317" t="s">
        <v>3354</v>
      </c>
      <c r="B439" s="318">
        <f>FRgas.aT*(tdry.T+twet.T)/twet.T*RAINrate.T/((Kaw.T*FRorig.cldw)+0.0000000555)</f>
        <v>2.0770809567657515E-11</v>
      </c>
      <c r="C439" s="319" t="s">
        <v>1195</v>
      </c>
    </row>
    <row r="440" spans="1:3" ht="14.5" x14ac:dyDescent="0.3">
      <c r="A440" s="319" t="s">
        <v>2140</v>
      </c>
      <c r="B440" s="318">
        <f>IF(SETTLvelocity.C*SUSP.w1C/(FRACs.sdC*RHOsolid)&gt;NETsedrate.w1C,SETTLvelocity.C*SUSP.w1C/(FRACs.sdC*RHOsolid),NETsedrate.w1C)</f>
        <v>8.6805555555555575E-10</v>
      </c>
      <c r="C440" s="319" t="s">
        <v>1195</v>
      </c>
    </row>
    <row r="441" spans="1:3" ht="14.5" x14ac:dyDescent="0.3">
      <c r="A441" s="319" t="s">
        <v>1262</v>
      </c>
      <c r="B441" s="318">
        <f>IF(SETTLvelocity.R*SUSP.w1R/(FRACs.sdR*RHOsolid)&gt;NETsedrate.w1R,SETTLvelocity.R*SUSP.w1R/(FRACs.sdR*RHOsolid),NETsedrate.w1R)</f>
        <v>8.8231257485029977E-10</v>
      </c>
      <c r="C441" s="319" t="s">
        <v>1195</v>
      </c>
    </row>
    <row r="442" spans="1:3" ht="14.5" x14ac:dyDescent="0.3">
      <c r="A442" s="319" t="s">
        <v>2141</v>
      </c>
      <c r="B442" s="318">
        <f>IF(SETTLvelocity.C*SUSP.w2C/(FRACs.sdC*RHOsolid)&gt;NETsedrate.w2C,SETTLvelocity.C*SUSP.w2C/(FRACs.sdC*RHOsolid),NETsedrate.w2C)</f>
        <v>2.893518518518519E-10</v>
      </c>
      <c r="C442" s="319" t="s">
        <v>1195</v>
      </c>
    </row>
    <row r="443" spans="1:3" ht="14.5" x14ac:dyDescent="0.3">
      <c r="A443" s="319" t="s">
        <v>1264</v>
      </c>
      <c r="B443" s="318">
        <f>IF(SETTLvelocity.R*SUSP.w2R/(FRACs.sdR*RHOsolid)&gt;NETsedrate.w2R,SETTLvelocity.R*SUSP.w2R/(FRACs.sdR*RHOsolid),NETsedrate.w2R)</f>
        <v>2.9410419161676659E-10</v>
      </c>
      <c r="C443" s="319" t="s">
        <v>1195</v>
      </c>
    </row>
    <row r="444" spans="1:3" ht="14.5" x14ac:dyDescent="0.3">
      <c r="A444" s="319" t="s">
        <v>3059</v>
      </c>
      <c r="B444" s="318">
        <f>IF(SETTLvelocity.A*SUSP.w3A/(FRACs.sdA*RHOsolid)&gt;NETsedrate.wA,SETTLvelocity.A*SUSP.w3A/(FRACs.sdA*RHOsolid),NETsedrate.wA)</f>
        <v>2.893518518518519E-10</v>
      </c>
      <c r="C444" s="320" t="s">
        <v>1195</v>
      </c>
    </row>
    <row r="445" spans="1:3" ht="14.5" x14ac:dyDescent="0.3">
      <c r="A445" s="319" t="s">
        <v>2691</v>
      </c>
      <c r="B445" s="318">
        <f>IF(SETTLvelocity.M*SUSP.w3M/(FRACs.sdM*RHOsolid)&gt;NETsedrate.wM,SETTLvelocity.M*SUSP.w3M/(FRACs.sdM*RHOsolid),NETsedrate.wM)</f>
        <v>2.893518518518519E-10</v>
      </c>
      <c r="C445" s="320" t="s">
        <v>1195</v>
      </c>
    </row>
    <row r="446" spans="1:3" ht="14.5" x14ac:dyDescent="0.3">
      <c r="A446" s="319" t="s">
        <v>3372</v>
      </c>
      <c r="B446" s="318">
        <f>IF(SETTLvelocity.T*SUSP.w3T/(FRACs.sdT*RHOsolid)&gt;NETsedrate.wT,SETTLvelocity.T*SUSP.w3T/(FRACs.sdT*RHOsolid),NETsedrate.wT)</f>
        <v>2.893518518518519E-10</v>
      </c>
      <c r="C446" s="320" t="s">
        <v>1195</v>
      </c>
    </row>
    <row r="447" spans="1:3" ht="14.5" x14ac:dyDescent="0.3">
      <c r="A447" s="317" t="s">
        <v>582</v>
      </c>
      <c r="B447" s="321">
        <v>10</v>
      </c>
      <c r="C447" s="317" t="s">
        <v>575</v>
      </c>
    </row>
    <row r="448" spans="1:3" ht="14.5" x14ac:dyDescent="0.3">
      <c r="A448" s="317" t="s">
        <v>574</v>
      </c>
      <c r="B448" s="321">
        <f>-3.82*LN(IF(Tm&gt;298,Pvap25*EXP(-6.79*(1-Tm/298)),Pvap25))+70</f>
        <v>380.93506746535149</v>
      </c>
      <c r="C448" s="317" t="s">
        <v>575</v>
      </c>
    </row>
    <row r="449" spans="1:3" x14ac:dyDescent="0.3">
      <c r="A449" s="319" t="s">
        <v>2966</v>
      </c>
      <c r="B449" s="318">
        <v>1000</v>
      </c>
      <c r="C449" s="317" t="s">
        <v>813</v>
      </c>
    </row>
    <row r="450" spans="1:3" x14ac:dyDescent="0.3">
      <c r="A450" s="319" t="s">
        <v>1948</v>
      </c>
      <c r="B450" s="318">
        <v>1000</v>
      </c>
      <c r="C450" s="321" t="s">
        <v>813</v>
      </c>
    </row>
    <row r="451" spans="1:3" x14ac:dyDescent="0.3">
      <c r="A451" s="319" t="s">
        <v>2541</v>
      </c>
      <c r="B451" s="318">
        <v>1000</v>
      </c>
      <c r="C451" s="317" t="s">
        <v>813</v>
      </c>
    </row>
    <row r="452" spans="1:3" x14ac:dyDescent="0.3">
      <c r="A452" s="319" t="s">
        <v>988</v>
      </c>
      <c r="B452" s="318">
        <v>1000</v>
      </c>
      <c r="C452" s="317" t="s">
        <v>813</v>
      </c>
    </row>
    <row r="453" spans="1:3" x14ac:dyDescent="0.3">
      <c r="A453" s="319" t="s">
        <v>3287</v>
      </c>
      <c r="B453" s="321">
        <v>1000</v>
      </c>
      <c r="C453" s="317" t="s">
        <v>813</v>
      </c>
    </row>
    <row r="454" spans="1:3" x14ac:dyDescent="0.3">
      <c r="A454" s="321" t="s">
        <v>4475</v>
      </c>
      <c r="B454" s="321">
        <v>0.17199999999999999</v>
      </c>
      <c r="C454" s="317" t="s">
        <v>4476</v>
      </c>
    </row>
    <row r="455" spans="1:3" ht="14.5" x14ac:dyDescent="0.3">
      <c r="A455" s="317" t="s">
        <v>4477</v>
      </c>
      <c r="B455" s="318">
        <f>kesc.aA+FRgas.aA*kdegG.air*(C.OHrad.aA/C.OHrad)*Tempfactor.aA</f>
        <v>3.663258818281463E-10</v>
      </c>
      <c r="C455" s="317" t="s">
        <v>617</v>
      </c>
    </row>
    <row r="456" spans="1:3" ht="14.5" x14ac:dyDescent="0.3">
      <c r="A456" s="317" t="s">
        <v>2983</v>
      </c>
      <c r="B456" s="318">
        <f>1/TAU.aA</f>
        <v>6.9234185224561193E-7</v>
      </c>
      <c r="C456" s="317" t="s">
        <v>617</v>
      </c>
    </row>
    <row r="457" spans="1:3" ht="14.5" x14ac:dyDescent="0.3">
      <c r="A457" s="317" t="s">
        <v>4478</v>
      </c>
      <c r="B457" s="318" t="e">
        <f>(DEPflow.aA.sA+GASABSflow.aA.sA)/VOLUME.aA</f>
        <v>#NAME?</v>
      </c>
      <c r="C457" s="317" t="s">
        <v>617</v>
      </c>
    </row>
    <row r="458" spans="1:3" ht="14.5" x14ac:dyDescent="0.3">
      <c r="A458" s="317" t="s">
        <v>4479</v>
      </c>
      <c r="B458" s="318" t="e">
        <f>(DEPflow.aA.w2A+GASABSflow.aA.w2A)/VOLUME.aA</f>
        <v>#NAME?</v>
      </c>
      <c r="C458" s="317" t="s">
        <v>617</v>
      </c>
    </row>
    <row r="459" spans="1:3" ht="14.5" x14ac:dyDescent="0.3">
      <c r="A459" s="317" t="s">
        <v>2169</v>
      </c>
      <c r="B459" s="318">
        <f>kesc.aC+FRgas.aC*kdegG.air*(C.OHrad.aC/C.OHrad)*Tempfactor.aC</f>
        <v>3.663258818281463E-10</v>
      </c>
      <c r="C459" s="317" t="s">
        <v>617</v>
      </c>
    </row>
    <row r="460" spans="1:3" ht="14.5" x14ac:dyDescent="0.3">
      <c r="A460" s="317" t="s">
        <v>1977</v>
      </c>
      <c r="B460" s="318" t="e">
        <f>1/TAU.aC-AIRflow.aC.aR /VOLUME.aC</f>
        <v>#NAME?</v>
      </c>
      <c r="C460" s="317" t="s">
        <v>617</v>
      </c>
    </row>
    <row r="461" spans="1:3" ht="14.5" x14ac:dyDescent="0.3">
      <c r="A461" s="317" t="s">
        <v>1975</v>
      </c>
      <c r="B461" s="318" t="e">
        <f>AIRflow.aR.aC/VOLUME.aC</f>
        <v>#NAME?</v>
      </c>
      <c r="C461" s="317" t="s">
        <v>617</v>
      </c>
    </row>
    <row r="462" spans="1:3" ht="14.5" x14ac:dyDescent="0.3">
      <c r="A462" s="317" t="s">
        <v>4480</v>
      </c>
      <c r="B462" s="318" t="e">
        <f>(DEPflow.aC.s1C+GASABSflow.aC.s1C)/VOLUME.aC</f>
        <v>#NAME?</v>
      </c>
      <c r="C462" s="317" t="s">
        <v>617</v>
      </c>
    </row>
    <row r="463" spans="1:3" ht="14.5" x14ac:dyDescent="0.3">
      <c r="A463" s="317" t="s">
        <v>4481</v>
      </c>
      <c r="B463" s="318" t="e">
        <f>(DEPflow.aC.s2C+GASABSflow.aC.s2C)/VOLUME.aC</f>
        <v>#NAME?</v>
      </c>
      <c r="C463" s="317" t="s">
        <v>617</v>
      </c>
    </row>
    <row r="464" spans="1:3" ht="14.5" x14ac:dyDescent="0.3">
      <c r="A464" s="317" t="s">
        <v>4482</v>
      </c>
      <c r="B464" s="318" t="e">
        <f>(DEPflow.aC.s3C+GASABSflow.aC.s3C)/VOLUME.aC</f>
        <v>#NAME?</v>
      </c>
      <c r="C464" s="317" t="s">
        <v>617</v>
      </c>
    </row>
    <row r="465" spans="1:3" ht="14.5" x14ac:dyDescent="0.3">
      <c r="A465" s="317" t="s">
        <v>4483</v>
      </c>
      <c r="B465" s="318" t="e">
        <f>(DEPflow.aC.w0C+GASABSflow.aC.w0C)/VOLUME.aC</f>
        <v>#NAME?</v>
      </c>
      <c r="C465" s="317" t="s">
        <v>617</v>
      </c>
    </row>
    <row r="466" spans="1:3" ht="14.5" x14ac:dyDescent="0.3">
      <c r="A466" s="317" t="s">
        <v>4484</v>
      </c>
      <c r="B466" s="318" t="e">
        <f>(DEPflow.aC.w1C+GASABSflow.aC.w1C)/VOLUME.aC</f>
        <v>#NAME?</v>
      </c>
      <c r="C466" s="317" t="s">
        <v>617</v>
      </c>
    </row>
    <row r="467" spans="1:3" ht="14.5" x14ac:dyDescent="0.3">
      <c r="A467" s="317" t="s">
        <v>4485</v>
      </c>
      <c r="B467" s="318" t="e">
        <f>(DEPflow.aC.w2C+GASABSflow.aC.w2C)/VOLUME.aC</f>
        <v>#NAME?</v>
      </c>
      <c r="C467" s="317" t="s">
        <v>617</v>
      </c>
    </row>
    <row r="468" spans="1:3" ht="14.5" x14ac:dyDescent="0.3">
      <c r="A468" s="317" t="s">
        <v>4486</v>
      </c>
      <c r="B468" s="318">
        <f>kesc.aM+FRgas.aM*kdegG.air*(C.OHrad.aM/C.OHrad)*Tempfactor.aM</f>
        <v>3.663258818281463E-10</v>
      </c>
      <c r="C468" s="317" t="s">
        <v>617</v>
      </c>
    </row>
    <row r="469" spans="1:3" ht="14.5" x14ac:dyDescent="0.3">
      <c r="A469" s="317" t="s">
        <v>2564</v>
      </c>
      <c r="B469" s="318" t="e">
        <f>AIRflow.aA.aM/VOLUME.aM</f>
        <v>#NAME?</v>
      </c>
      <c r="C469" s="317" t="s">
        <v>617</v>
      </c>
    </row>
    <row r="470" spans="1:3" ht="14.5" x14ac:dyDescent="0.3">
      <c r="A470" s="317" t="s">
        <v>2562</v>
      </c>
      <c r="B470" s="318" t="e">
        <f>AIRflow.aC.aM/VOLUME.aM</f>
        <v>#NAME?</v>
      </c>
      <c r="C470" s="317" t="s">
        <v>617</v>
      </c>
    </row>
    <row r="471" spans="1:3" ht="14.5" x14ac:dyDescent="0.3">
      <c r="A471" s="317" t="s">
        <v>2566</v>
      </c>
      <c r="B471" s="318" t="e">
        <f>AIRflow.aT.aM/VOLUME.aM</f>
        <v>#NAME?</v>
      </c>
      <c r="C471" s="317" t="s">
        <v>617</v>
      </c>
    </row>
    <row r="472" spans="1:3" ht="14.5" x14ac:dyDescent="0.3">
      <c r="A472" s="317" t="s">
        <v>4487</v>
      </c>
      <c r="B472" s="318" t="e">
        <f>(DEPflow.aM.sM+GASABSflow.aM.sM)/VOLUME.aM</f>
        <v>#NAME?</v>
      </c>
      <c r="C472" s="317" t="s">
        <v>617</v>
      </c>
    </row>
    <row r="473" spans="1:3" ht="14.5" x14ac:dyDescent="0.3">
      <c r="A473" s="317" t="s">
        <v>4488</v>
      </c>
      <c r="B473" s="318" t="e">
        <f>(DEPflow.aM.w2M+GASABSflow.aM.w2M)/VOLUME.aM</f>
        <v>#NAME?</v>
      </c>
      <c r="C473" s="317" t="s">
        <v>617</v>
      </c>
    </row>
    <row r="474" spans="1:3" ht="14.5" x14ac:dyDescent="0.3">
      <c r="A474" s="317" t="s">
        <v>4489</v>
      </c>
      <c r="B474" s="318">
        <f>kesc.aR+FRgas.aR*kdegG.air*(C.OHrad.aR/C.OHrad)*Tempfactor.aR</f>
        <v>3.663258818281463E-10</v>
      </c>
      <c r="C474" s="317" t="s">
        <v>617</v>
      </c>
    </row>
    <row r="475" spans="1:3" ht="14.5" x14ac:dyDescent="0.3">
      <c r="A475" s="317" t="s">
        <v>1040</v>
      </c>
      <c r="B475" s="318">
        <f>1/TAU.aR</f>
        <v>9.4201427396491372E-6</v>
      </c>
      <c r="C475" s="317" t="s">
        <v>617</v>
      </c>
    </row>
    <row r="476" spans="1:3" ht="14.5" x14ac:dyDescent="0.3">
      <c r="A476" s="317" t="s">
        <v>4490</v>
      </c>
      <c r="B476" s="325" t="e">
        <f>(DEPflow.aR.s1R+GASABSflow.aR.s1R)/VOLUME.aR</f>
        <v>#NAME?</v>
      </c>
      <c r="C476" s="317" t="s">
        <v>617</v>
      </c>
    </row>
    <row r="477" spans="1:3" ht="14.5" x14ac:dyDescent="0.3">
      <c r="A477" s="317" t="s">
        <v>4491</v>
      </c>
      <c r="B477" s="325" t="e">
        <f>(DEPflow.aR.s2R+GASABSflow.aR.s2R)/VOLUME.aR</f>
        <v>#NAME?</v>
      </c>
      <c r="C477" s="317" t="s">
        <v>617</v>
      </c>
    </row>
    <row r="478" spans="1:3" ht="14.5" x14ac:dyDescent="0.3">
      <c r="A478" s="317" t="s">
        <v>4492</v>
      </c>
      <c r="B478" s="325" t="e">
        <f>(DEPflow.aR.s3R+GASABSflow.aR.s3R)/VOLUME.aR</f>
        <v>#NAME?</v>
      </c>
      <c r="C478" s="317" t="s">
        <v>617</v>
      </c>
    </row>
    <row r="479" spans="1:3" ht="14.5" x14ac:dyDescent="0.3">
      <c r="A479" s="317" t="s">
        <v>4493</v>
      </c>
      <c r="B479" s="325" t="e">
        <f>(DEPflow.aR.w0R+GASABSflow.aR.w0R)/VOLUME.aR</f>
        <v>#NAME?</v>
      </c>
      <c r="C479" s="317" t="s">
        <v>617</v>
      </c>
    </row>
    <row r="480" spans="1:3" ht="14.5" x14ac:dyDescent="0.3">
      <c r="A480" s="317" t="s">
        <v>4494</v>
      </c>
      <c r="B480" s="325" t="e">
        <f>(DEPflow.aR.w1R+GASABSflow.aR.w1R)/VOLUME.aR</f>
        <v>#NAME?</v>
      </c>
      <c r="C480" s="317" t="s">
        <v>617</v>
      </c>
    </row>
    <row r="481" spans="1:3" ht="14.5" x14ac:dyDescent="0.3">
      <c r="A481" s="317" t="s">
        <v>4495</v>
      </c>
      <c r="B481" s="325" t="e">
        <f>(DEPflow.aR.w2R+GASABSflow.aR.w2R)/VOLUME.aR</f>
        <v>#NAME?</v>
      </c>
      <c r="C481" s="317" t="s">
        <v>617</v>
      </c>
    </row>
    <row r="482" spans="1:3" ht="14.5" x14ac:dyDescent="0.3">
      <c r="A482" s="317" t="s">
        <v>4496</v>
      </c>
      <c r="B482" s="325">
        <f>kesc.aT+FRgas.aT*kdegG.air*(C.OHrad.aT/C.OHrad)*Tempfactor.aT</f>
        <v>3.663258818281463E-10</v>
      </c>
      <c r="C482" s="317" t="s">
        <v>617</v>
      </c>
    </row>
    <row r="483" spans="1:3" ht="14.5" x14ac:dyDescent="0.3">
      <c r="A483" s="317" t="s">
        <v>3301</v>
      </c>
      <c r="B483" s="318">
        <f>1/TAU.aT</f>
        <v>3.9972375476524815E-7</v>
      </c>
      <c r="C483" s="317" t="s">
        <v>617</v>
      </c>
    </row>
    <row r="484" spans="1:3" ht="14.5" x14ac:dyDescent="0.3">
      <c r="A484" s="317" t="s">
        <v>4497</v>
      </c>
      <c r="B484" s="318" t="e">
        <f>(DEPflow.aT.sT+GASABSflow.aT.sT)/VOLUME.aT</f>
        <v>#NAME?</v>
      </c>
      <c r="C484" s="317" t="s">
        <v>617</v>
      </c>
    </row>
    <row r="485" spans="1:3" ht="14.5" x14ac:dyDescent="0.3">
      <c r="A485" s="317" t="s">
        <v>4498</v>
      </c>
      <c r="B485" s="318" t="e">
        <f>(DEPflow.aT.w2T+GASABSflow.aT.w2T)/VOLUME.aT</f>
        <v>#NAME?</v>
      </c>
      <c r="C485" s="317" t="s">
        <v>617</v>
      </c>
    </row>
    <row r="486" spans="1:3" ht="14.5" x14ac:dyDescent="0.3">
      <c r="A486" s="317" t="s">
        <v>2176</v>
      </c>
      <c r="B486" s="318">
        <f>Tempfactor.wsdsC*kdeg.soil+FRACinf.s1C*RAINrate.C/Ks1w.C*CORRleach.s1C*SYSTEMAREA.C*AREAFRAC.s1C/VOLUME.s1C</f>
        <v>3.3342662796888909E-14</v>
      </c>
      <c r="C486" s="317" t="s">
        <v>617</v>
      </c>
    </row>
    <row r="487" spans="1:3" ht="14.5" x14ac:dyDescent="0.3">
      <c r="A487" s="317" t="s">
        <v>4499</v>
      </c>
      <c r="B487" s="318" t="e">
        <f>VOLATflow.s1C.aC/VOLUME.s1C</f>
        <v>#NAME?</v>
      </c>
      <c r="C487" s="317" t="s">
        <v>617</v>
      </c>
    </row>
    <row r="488" spans="1:3" ht="14.5" x14ac:dyDescent="0.3">
      <c r="A488" s="317" t="s">
        <v>2155</v>
      </c>
      <c r="B488" s="318">
        <f>(RAINrate.C*FRACrun.s1C/Ks1w.C+EROSION.s1C)*CORRrunoff.s1C * (SYSTEMAREA.C*AREAFRAC.s1C/VOLUME.s1C)</f>
        <v>2.912556392139667E-11</v>
      </c>
      <c r="C488" s="317" t="s">
        <v>617</v>
      </c>
    </row>
    <row r="489" spans="1:3" ht="14.5" x14ac:dyDescent="0.3">
      <c r="A489" s="317" t="s">
        <v>4500</v>
      </c>
      <c r="B489" s="318">
        <f>Tempfactor.wsdsR*kdeg.soil+FRACinf.s1R*RAINrate.R/Ks1w.R*CORRleach.s1R*SYSTEMAREA.R*AREAFRAC.s1R/VOLUME.s1R</f>
        <v>3.3342662796888916E-14</v>
      </c>
      <c r="C489" s="317" t="s">
        <v>617</v>
      </c>
    </row>
    <row r="490" spans="1:3" ht="14.5" x14ac:dyDescent="0.3">
      <c r="A490" s="317" t="s">
        <v>4501</v>
      </c>
      <c r="B490" s="318" t="e">
        <f>VOLATflow.s1R.aR/VOLUME.s1R</f>
        <v>#NAME?</v>
      </c>
      <c r="C490" s="317" t="s">
        <v>617</v>
      </c>
    </row>
    <row r="491" spans="1:3" ht="14.5" x14ac:dyDescent="0.3">
      <c r="A491" s="317" t="s">
        <v>4502</v>
      </c>
      <c r="B491" s="318">
        <f>(RAINrate.R*FRACrun.s1R/Ks1w.R+EROSION.s1R)*CORRrunoff.s1R * (SYSTEMAREA.R*AREAFRAC.s1R/VOLUME.s1R)</f>
        <v>2.912556392139667E-11</v>
      </c>
      <c r="C491" s="317" t="s">
        <v>617</v>
      </c>
    </row>
    <row r="492" spans="1:3" ht="14.5" x14ac:dyDescent="0.3">
      <c r="A492" s="317" t="s">
        <v>2177</v>
      </c>
      <c r="B492" s="318">
        <f>Tempfactor.wsdsC*kdeg.soil+FRACinf.s2C*RAINrate.C/Ks2w.C*CORRleach.s2C*SYSTEMAREA.C*AREAFRAC.s2C/VOLUME.s2C</f>
        <v>1.5172722089172429E-14</v>
      </c>
      <c r="C492" s="317" t="s">
        <v>617</v>
      </c>
    </row>
    <row r="493" spans="1:3" ht="14.5" x14ac:dyDescent="0.3">
      <c r="A493" s="317" t="s">
        <v>4503</v>
      </c>
      <c r="B493" s="318" t="e">
        <f>VOLATflow.s2C.aC/VOLUME.s2C</f>
        <v>#NAME?</v>
      </c>
      <c r="C493" s="317" t="s">
        <v>617</v>
      </c>
    </row>
    <row r="494" spans="1:3" ht="14.5" x14ac:dyDescent="0.3">
      <c r="A494" s="317" t="s">
        <v>2157</v>
      </c>
      <c r="B494" s="318">
        <f>(RAINrate.C*FRACrun.s2C/Ks2w.C+EROSION.s2C)*CORRrunoff.s2C * (SYSTEMAREA.C*AREAFRAC.s2C/VOLUME.s2C)</f>
        <v>1.3253711177838506E-11</v>
      </c>
      <c r="C494" s="317" t="s">
        <v>617</v>
      </c>
    </row>
    <row r="495" spans="1:3" ht="14.5" x14ac:dyDescent="0.3">
      <c r="A495" s="317" t="s">
        <v>4504</v>
      </c>
      <c r="B495" s="318">
        <f>Tempfactor.wsdsR*kdeg.soil+FRACinf.s2R*RAINrate.R/Ks2w.R*CORRleach.s2R*SYSTEMAREA.R*AREAFRAC.s2R/VOLUME.s2R</f>
        <v>1.5172722089172432E-14</v>
      </c>
      <c r="C495" s="317" t="s">
        <v>617</v>
      </c>
    </row>
    <row r="496" spans="1:3" ht="14.5" x14ac:dyDescent="0.3">
      <c r="A496" s="317" t="s">
        <v>4505</v>
      </c>
      <c r="B496" s="318" t="e">
        <f>VOLATflow.s2R.aR/VOLUME.s2R</f>
        <v>#NAME?</v>
      </c>
      <c r="C496" s="317" t="s">
        <v>617</v>
      </c>
    </row>
    <row r="497" spans="1:3" ht="14.5" x14ac:dyDescent="0.3">
      <c r="A497" s="317" t="s">
        <v>4506</v>
      </c>
      <c r="B497" s="318">
        <f>(RAINrate.R*FRACrun.s2R/Ks2w.R+EROSION.s2R)*CORRrunoff.s2R * (SYSTEMAREA.R*AREAFRAC.s2R/VOLUME.s2R)</f>
        <v>1.3253711177838505E-11</v>
      </c>
      <c r="C497" s="317" t="s">
        <v>617</v>
      </c>
    </row>
    <row r="498" spans="1:3" ht="14.5" x14ac:dyDescent="0.3">
      <c r="A498" s="317" t="s">
        <v>2178</v>
      </c>
      <c r="B498" s="318">
        <f>Tempfactor.wsdsC*kdeg.soil+FRACinf.s3C*RAINrate.C/Ks3w.C*CORRleach.s3C*SYSTEMAREA.C*AREAFRAC.s3C/VOLUME.s3C</f>
        <v>3.3342662796888916E-14</v>
      </c>
      <c r="C498" s="317" t="s">
        <v>617</v>
      </c>
    </row>
    <row r="499" spans="1:3" ht="14.5" x14ac:dyDescent="0.3">
      <c r="A499" s="317" t="s">
        <v>4507</v>
      </c>
      <c r="B499" s="318" t="e">
        <f>VOLATflow.s3C.aC/VOLUME.s3C</f>
        <v>#NAME?</v>
      </c>
      <c r="C499" s="317" t="s">
        <v>617</v>
      </c>
    </row>
    <row r="500" spans="1:3" ht="14.5" x14ac:dyDescent="0.3">
      <c r="A500" s="317" t="s">
        <v>2159</v>
      </c>
      <c r="B500" s="318">
        <f>(RAINrate.C*FRACrun.s3C/Ks3w.C+EROSION.s3C)*CORRrunoff.s3C * (SYSTEMAREA.C*AREAFRAC.s3C/VOLUME.s3C)</f>
        <v>2.912556392139667E-11</v>
      </c>
      <c r="C500" s="317" t="s">
        <v>617</v>
      </c>
    </row>
    <row r="501" spans="1:3" ht="14.5" x14ac:dyDescent="0.3">
      <c r="A501" s="317" t="s">
        <v>4508</v>
      </c>
      <c r="B501" s="318">
        <f>Tempfactor.wsdsR*kdeg.soil+FRACinf.s3R*RAINrate.R/Ks3w.R*CORRleach.s3R*SYSTEMAREA.R*AREAFRAC.s3R/VOLUME.s3R</f>
        <v>3.3342662796888922E-14</v>
      </c>
      <c r="C501" s="317" t="s">
        <v>617</v>
      </c>
    </row>
    <row r="502" spans="1:3" ht="14.5" x14ac:dyDescent="0.3">
      <c r="A502" s="317" t="s">
        <v>4509</v>
      </c>
      <c r="B502" s="318" t="e">
        <f>VOLATflow.s3R.aR/VOLUME.s3R</f>
        <v>#NAME?</v>
      </c>
      <c r="C502" s="317" t="s">
        <v>617</v>
      </c>
    </row>
    <row r="503" spans="1:3" ht="14.5" x14ac:dyDescent="0.3">
      <c r="A503" s="317" t="s">
        <v>4510</v>
      </c>
      <c r="B503" s="318">
        <f>(RAINrate.R*FRACrun.s3R/Ks3w.R+EROSION.s3R)*CORRrunoff.s3R * (SYSTEMAREA.R*AREAFRAC.s3R/VOLUME.s3R)</f>
        <v>2.912556392139667E-11</v>
      </c>
      <c r="C503" s="317" t="s">
        <v>617</v>
      </c>
    </row>
    <row r="504" spans="1:3" ht="14.5" x14ac:dyDescent="0.3">
      <c r="A504" s="317" t="s">
        <v>4511</v>
      </c>
      <c r="B504" s="318">
        <f>Tempfactor.wsdsA*kdeg.soil+FRACinf.sA*RAINrate.A/Kslw.A*CORRleach.sA*SYSTEMAREA.A*AREAFRAC.sA/VOLUME.sA</f>
        <v>1.1908093289464524E-14</v>
      </c>
      <c r="C504" s="317" t="s">
        <v>617</v>
      </c>
    </row>
    <row r="505" spans="1:3" ht="14.5" x14ac:dyDescent="0.3">
      <c r="A505" s="317" t="s">
        <v>4512</v>
      </c>
      <c r="B505" s="318" t="e">
        <f>VOLATflow.sA.aA/VOLUME.sA</f>
        <v>#NAME?</v>
      </c>
      <c r="C505" s="317" t="s">
        <v>617</v>
      </c>
    </row>
    <row r="506" spans="1:3" ht="14.5" x14ac:dyDescent="0.3">
      <c r="A506" s="317" t="s">
        <v>4513</v>
      </c>
      <c r="B506" s="318">
        <f>(RAINrate.A*FRACrun.sA/Kslw.A+EROSION.sA)*CORRrunoff.sA * (SYSTEMAREA.A*AREAFRAC.sA/VOLUME.sA)</f>
        <v>2.594439221836083E-11</v>
      </c>
      <c r="C506" s="317" t="s">
        <v>617</v>
      </c>
    </row>
    <row r="507" spans="1:3" ht="14.5" x14ac:dyDescent="0.3">
      <c r="A507" s="317" t="s">
        <v>2174</v>
      </c>
      <c r="B507" s="318">
        <f>Tempfactor.wsdsC*kdeg.sed+NETsedrate.w1C*SYSTEMAREA.C*AREAFRAC.w1C/VOLUME.sd1C</f>
        <v>2.8742283951576204E-9</v>
      </c>
      <c r="C507" s="317" t="s">
        <v>617</v>
      </c>
    </row>
    <row r="508" spans="1:3" ht="14.5" x14ac:dyDescent="0.3">
      <c r="A508" s="317" t="s">
        <v>4514</v>
      </c>
      <c r="B508" s="318" t="e">
        <f>(RESUSPflow.sd1C.w1C+DESORBflow.sd1C.w1C)/VOLUME.sd1C</f>
        <v>#NAME?</v>
      </c>
      <c r="C508" s="317" t="s">
        <v>617</v>
      </c>
    </row>
    <row r="509" spans="1:3" ht="14.5" x14ac:dyDescent="0.3">
      <c r="A509" s="317" t="s">
        <v>4515</v>
      </c>
      <c r="B509" s="318">
        <f>Tempfactor.wsdsR*kdeg.sed+NETsedrate.w1R*(SYSTEMAREA.R*AREAFRAC.w1R/VOLUME.sd1R)</f>
        <v>2.8953682563883014E-9</v>
      </c>
      <c r="C509" s="317" t="s">
        <v>617</v>
      </c>
    </row>
    <row r="510" spans="1:3" ht="14.5" x14ac:dyDescent="0.3">
      <c r="A510" s="317" t="s">
        <v>4516</v>
      </c>
      <c r="B510" s="318">
        <f>(RESUSPflow.sd1R.w1R+DESORBflow.sd1R.w1R)/VOLUME.sd1R</f>
        <v>4.2244712054474879E-18</v>
      </c>
      <c r="C510" s="317" t="s">
        <v>617</v>
      </c>
    </row>
    <row r="511" spans="1:3" ht="14.5" x14ac:dyDescent="0.3">
      <c r="A511" s="317" t="s">
        <v>2175</v>
      </c>
      <c r="B511" s="318">
        <f>Tempfactor.wsdsC*kdeg.sed+NETsedrate.w2C*SYSTEMAREA.C*AREAFRAC.w2C/VOLUME.sd2C</f>
        <v>9.1333333333739474E-10</v>
      </c>
      <c r="C511" s="317" t="s">
        <v>617</v>
      </c>
    </row>
    <row r="512" spans="1:3" ht="14.5" x14ac:dyDescent="0.3">
      <c r="A512" s="317" t="s">
        <v>4517</v>
      </c>
      <c r="B512" s="318" t="e">
        <f>(RESUSPflow.sd2C.w2C+DESORBflow.sd2C.w2C)/VOLUME.sd2C</f>
        <v>#NAME?</v>
      </c>
      <c r="C512" s="317" t="s">
        <v>617</v>
      </c>
    </row>
    <row r="513" spans="1:3" ht="14.5" x14ac:dyDescent="0.3">
      <c r="A513" s="317" t="s">
        <v>4518</v>
      </c>
      <c r="B513" s="318">
        <f>Tempfactor.wsdsR*kdeg.sed+NETsedrate.w2R*(SYSTEMAREA.R*AREAFRAC.w2R/VOLUME.sd2R)</f>
        <v>9.1429324159056473E-10</v>
      </c>
      <c r="C513" s="317" t="s">
        <v>617</v>
      </c>
    </row>
    <row r="514" spans="1:3" ht="14.5" x14ac:dyDescent="0.3">
      <c r="A514" s="317" t="s">
        <v>4519</v>
      </c>
      <c r="B514" s="318">
        <f>(RESUSPflow.sd2R.w2R+DESORBflow.sd2R.w2R)/VOLUME.sd2R</f>
        <v>8.9277819513144284E-18</v>
      </c>
      <c r="C514" s="317" t="s">
        <v>617</v>
      </c>
    </row>
    <row r="515" spans="1:3" ht="14.5" x14ac:dyDescent="0.3">
      <c r="A515" s="317" t="s">
        <v>4520</v>
      </c>
      <c r="B515" s="318">
        <f>Tempfactor.wsdsA*kdeg.sed+NETsedrate.wA*SYSTEMAREA.A*AREAFRAC.wA/VOLUME.sdA</f>
        <v>2.1139861331348332E-12</v>
      </c>
      <c r="C515" s="317" t="s">
        <v>617</v>
      </c>
    </row>
    <row r="516" spans="1:3" ht="14.5" x14ac:dyDescent="0.3">
      <c r="A516" s="317" t="s">
        <v>4521</v>
      </c>
      <c r="B516" s="318" t="e">
        <f>(RESUSPflow.sdA.w3A+DESORBflow.sdA.w3A)/VOLUME.sdA</f>
        <v>#NAME?</v>
      </c>
      <c r="C516" s="317" t="s">
        <v>617</v>
      </c>
    </row>
    <row r="517" spans="1:3" ht="14.5" x14ac:dyDescent="0.3">
      <c r="A517" s="317" t="s">
        <v>4522</v>
      </c>
      <c r="B517" s="318">
        <f>Tempfactor.wsdsM*kdeg.sed+NETsedrate.wM*SYSTEMAREA.M*AREAFRAC.wM/VOLUME.sdM</f>
        <v>2.9839343187174201E-12</v>
      </c>
      <c r="C517" s="317" t="s">
        <v>617</v>
      </c>
    </row>
    <row r="518" spans="1:3" ht="14.5" x14ac:dyDescent="0.3">
      <c r="A518" s="317" t="s">
        <v>4523</v>
      </c>
      <c r="B518" s="318">
        <f>(RESUSPflow.sdM.w3M+DESORBflow.sdM.w3M)/VOLUME.sdM</f>
        <v>2.4959475756560948E-22</v>
      </c>
      <c r="C518" s="317" t="s">
        <v>617</v>
      </c>
    </row>
    <row r="519" spans="1:3" ht="14.5" x14ac:dyDescent="0.3">
      <c r="A519" s="317" t="s">
        <v>4524</v>
      </c>
      <c r="B519" s="318">
        <f>Tempfactor.wsdsT*kdeg.sed+NETsedrate.wT*SYSTEMAREA.T*AREAFRAC.wT/VOLUME.sdT</f>
        <v>2.1139861422509831E-12</v>
      </c>
      <c r="C519" s="317" t="s">
        <v>617</v>
      </c>
    </row>
    <row r="520" spans="1:3" ht="14.5" x14ac:dyDescent="0.3">
      <c r="A520" s="317" t="s">
        <v>4525</v>
      </c>
      <c r="B520" s="318" t="e">
        <f>(RESUSPflow.sdT.w3T+DESORBflow.sdT.w3T)/VOLUME.sdT</f>
        <v>#NAME?</v>
      </c>
      <c r="C520" s="317" t="s">
        <v>617</v>
      </c>
    </row>
    <row r="521" spans="1:3" ht="14.5" x14ac:dyDescent="0.3">
      <c r="A521" s="317" t="s">
        <v>4526</v>
      </c>
      <c r="B521" s="318">
        <f>Tempfactor.wsdsM*kdeg.soil+FRACinf.sM*RAINrate.M/Kslw.M*CORRleach.sM*SYSTEMAREA.M*AREAFRAC.sM/VOLUME.sM</f>
        <v>3.3342662796888922E-14</v>
      </c>
      <c r="C521" s="317" t="s">
        <v>617</v>
      </c>
    </row>
    <row r="522" spans="1:3" ht="14.5" x14ac:dyDescent="0.3">
      <c r="A522" s="317" t="s">
        <v>4527</v>
      </c>
      <c r="B522" s="318" t="e">
        <f>VOLATflow.sM.aM/VOLUME.sM</f>
        <v>#NAME?</v>
      </c>
      <c r="C522" s="317" t="s">
        <v>617</v>
      </c>
    </row>
    <row r="523" spans="1:3" ht="14.5" x14ac:dyDescent="0.3">
      <c r="A523" s="317" t="s">
        <v>4528</v>
      </c>
      <c r="B523" s="318">
        <f>(RAINrate.M*FRACrun.sM/Kslw.M+EROSION.sM)*CORRrunoff.sM * (SYSTEMAREA.M*AREAFRAC.sM/VOLUME.sM)</f>
        <v>2.912556392139667E-11</v>
      </c>
      <c r="C523" s="317" t="s">
        <v>617</v>
      </c>
    </row>
    <row r="524" spans="1:3" ht="14.5" x14ac:dyDescent="0.3">
      <c r="A524" s="317" t="s">
        <v>4529</v>
      </c>
      <c r="B524" s="318">
        <f>Tempfactor.wsdsT*kdeg.soil+FRACinf.sT*RAINrate.T/Kslw.T*CORRleach.sT*SYSTEMAREA.T*AREAFRAC.sT/VOLUME.sT</f>
        <v>6.192209050902144E-14</v>
      </c>
      <c r="C524" s="317" t="s">
        <v>617</v>
      </c>
    </row>
    <row r="525" spans="1:3" ht="14.5" x14ac:dyDescent="0.3">
      <c r="A525" s="317" t="s">
        <v>4530</v>
      </c>
      <c r="B525" s="318" t="e">
        <f>VOLATflow.sT.aT/VOLUME.sT</f>
        <v>#NAME?</v>
      </c>
      <c r="C525" s="317" t="s">
        <v>617</v>
      </c>
    </row>
    <row r="526" spans="1:3" ht="14.5" x14ac:dyDescent="0.3">
      <c r="A526" s="317" t="s">
        <v>4531</v>
      </c>
      <c r="B526" s="318">
        <f>(RAINrate.T*FRACrun.sT/Kslw.T+EROSION.sT)*CORRrunoff.sT * (SYSTEMAREA.T*AREAFRAC.sT/VOLUME.sT)</f>
        <v>3.3367126192111106E-11</v>
      </c>
      <c r="C526" s="317" t="s">
        <v>617</v>
      </c>
    </row>
    <row r="527" spans="1:3" ht="14.5" x14ac:dyDescent="0.3">
      <c r="A527" s="317" t="s">
        <v>2170</v>
      </c>
      <c r="B527" s="318">
        <f>kdeg.water*Tempfactor.wsdsC*(BACT.w0C/BACT.test)*FRw.w0C</f>
        <v>3.8762856314484566E-21</v>
      </c>
      <c r="C527" s="317" t="s">
        <v>617</v>
      </c>
    </row>
    <row r="528" spans="1:3" ht="14.5" x14ac:dyDescent="0.3">
      <c r="A528" s="317" t="s">
        <v>4532</v>
      </c>
      <c r="B528" s="318" t="e">
        <f>VOLATflow.w0C.aC/VOLUME.w0C</f>
        <v>#NAME?</v>
      </c>
      <c r="C528" s="317" t="s">
        <v>617</v>
      </c>
    </row>
    <row r="529" spans="1:3" ht="14.5" x14ac:dyDescent="0.3">
      <c r="A529" s="317" t="s">
        <v>1981</v>
      </c>
      <c r="B529" s="318">
        <f>WATERflow.w0C.w1C/VOLUME.w0C</f>
        <v>2.3972602739726029E-9</v>
      </c>
      <c r="C529" s="317" t="s">
        <v>617</v>
      </c>
    </row>
    <row r="530" spans="1:3" ht="14.5" x14ac:dyDescent="0.3">
      <c r="A530" s="317" t="s">
        <v>1983</v>
      </c>
      <c r="B530" s="318">
        <f>WATERflow.w0C.w2C/VOLUME.w0C</f>
        <v>0</v>
      </c>
      <c r="C530" s="317" t="s">
        <v>617</v>
      </c>
    </row>
    <row r="531" spans="1:3" ht="14.5" x14ac:dyDescent="0.3">
      <c r="A531" s="317" t="s">
        <v>4533</v>
      </c>
      <c r="B531" s="318" t="e">
        <f>kdeg.water*Tempfactor.wsdsR*(BACT.w0R/BACT.test)*FRw.w0R</f>
        <v>#NAME?</v>
      </c>
      <c r="C531" s="317" t="s">
        <v>617</v>
      </c>
    </row>
    <row r="532" spans="1:3" ht="14.5" x14ac:dyDescent="0.3">
      <c r="A532" s="317" t="s">
        <v>4534</v>
      </c>
      <c r="B532" s="318" t="e">
        <f>VOLATflow.w0R.aR/VOLUME.w0R</f>
        <v>#NAME?</v>
      </c>
      <c r="C532" s="317" t="s">
        <v>617</v>
      </c>
    </row>
    <row r="533" spans="1:3" ht="14.5" x14ac:dyDescent="0.3">
      <c r="A533" s="317" t="s">
        <v>1047</v>
      </c>
      <c r="B533" s="318">
        <f>WATERflow.w0R.w1R/VOLUME.w0R</f>
        <v>2.3972602739726025E-9</v>
      </c>
      <c r="C533" s="317" t="s">
        <v>617</v>
      </c>
    </row>
    <row r="534" spans="1:3" ht="14.5" x14ac:dyDescent="0.3">
      <c r="A534" s="317" t="s">
        <v>1049</v>
      </c>
      <c r="B534" s="318">
        <f>WATERflow.w0R.w2R/VOLUME.w0R</f>
        <v>0</v>
      </c>
      <c r="C534" s="317" t="s">
        <v>617</v>
      </c>
    </row>
    <row r="535" spans="1:3" ht="14.5" x14ac:dyDescent="0.3">
      <c r="A535" s="317" t="s">
        <v>2171</v>
      </c>
      <c r="B535" s="318">
        <f>kdeg.water*Tempfactor.wsdsC*(BACT.w1C/BACT.test)*FRw.w1C</f>
        <v>1.674595286935279E-21</v>
      </c>
      <c r="C535" s="317" t="s">
        <v>617</v>
      </c>
    </row>
    <row r="536" spans="1:3" ht="14.5" x14ac:dyDescent="0.3">
      <c r="A536" s="317" t="s">
        <v>4535</v>
      </c>
      <c r="B536" s="318" t="e">
        <f>VOLATflow.w1C.aC/VOLUME.w1C</f>
        <v>#NAME?</v>
      </c>
      <c r="C536" s="317" t="s">
        <v>617</v>
      </c>
    </row>
    <row r="537" spans="1:3" ht="14.5" x14ac:dyDescent="0.3">
      <c r="A537" s="317" t="s">
        <v>4536</v>
      </c>
      <c r="B537" s="318" t="e">
        <f>(SEDflow.w1C.sd1C+ADSORBflow.w1C.sd1C)/VOLUME.w1C</f>
        <v>#NAME?</v>
      </c>
      <c r="C537" s="317" t="s">
        <v>617</v>
      </c>
    </row>
    <row r="538" spans="1:3" ht="14.5" x14ac:dyDescent="0.3">
      <c r="A538" s="317" t="s">
        <v>1985</v>
      </c>
      <c r="B538" s="318">
        <f>WATERflow.w1C.w0C/VOLUME.w1C</f>
        <v>0</v>
      </c>
      <c r="C538" s="317" t="s">
        <v>617</v>
      </c>
    </row>
    <row r="539" spans="1:3" ht="14.5" x14ac:dyDescent="0.3">
      <c r="A539" s="317" t="s">
        <v>1987</v>
      </c>
      <c r="B539" s="318">
        <v>0</v>
      </c>
      <c r="C539" s="317" t="s">
        <v>617</v>
      </c>
    </row>
    <row r="540" spans="1:3" ht="14.5" x14ac:dyDescent="0.3">
      <c r="A540" s="317" t="s">
        <v>1989</v>
      </c>
      <c r="B540" s="318">
        <f>WATERflow.w1C.w2C*(1-FRAC.w1C.w1R)/VOLUME.w1C</f>
        <v>7.2644250726442513E-8</v>
      </c>
      <c r="C540" s="317" t="s">
        <v>617</v>
      </c>
    </row>
    <row r="541" spans="1:3" ht="14.5" x14ac:dyDescent="0.3">
      <c r="A541" s="317" t="s">
        <v>4537</v>
      </c>
      <c r="B541" s="318" t="e">
        <f>kdeg.water*Tempfactor.wsdsR*(BACT.w1R/BACT.test)*FRw.w1R</f>
        <v>#NAME?</v>
      </c>
      <c r="C541" s="317" t="s">
        <v>617</v>
      </c>
    </row>
    <row r="542" spans="1:3" ht="14.5" x14ac:dyDescent="0.3">
      <c r="A542" s="317" t="s">
        <v>4538</v>
      </c>
      <c r="B542" s="318" t="e">
        <f>VOLATflow.w1R.aR/VOLUME.w1R</f>
        <v>#NAME?</v>
      </c>
      <c r="C542" s="317" t="s">
        <v>617</v>
      </c>
    </row>
    <row r="543" spans="1:3" ht="14.5" x14ac:dyDescent="0.3">
      <c r="A543" s="317" t="s">
        <v>4539</v>
      </c>
      <c r="B543" s="318">
        <f>(SEDflow.w1R.sd1R+ADSORBflow.w1R.sd1R)/VOLUME.w1R</f>
        <v>9.1715700921854674E-16</v>
      </c>
      <c r="C543" s="317" t="s">
        <v>617</v>
      </c>
    </row>
    <row r="544" spans="1:3" ht="14.5" x14ac:dyDescent="0.3">
      <c r="A544" s="317" t="s">
        <v>1051</v>
      </c>
      <c r="B544" s="318">
        <f>WATERflow.w1R.w0R/VOLUME.w1R</f>
        <v>0</v>
      </c>
      <c r="C544" s="317" t="s">
        <v>617</v>
      </c>
    </row>
    <row r="545" spans="1:3" ht="14.5" x14ac:dyDescent="0.3">
      <c r="A545" s="317" t="s">
        <v>1053</v>
      </c>
      <c r="B545" s="318">
        <f>WATERflow.w1R.w2R/VOLUME.w1R</f>
        <v>7.26442507264425E-8</v>
      </c>
      <c r="C545" s="317" t="s">
        <v>617</v>
      </c>
    </row>
    <row r="546" spans="1:3" ht="14.5" x14ac:dyDescent="0.3">
      <c r="A546" s="317" t="s">
        <v>4540</v>
      </c>
      <c r="B546" s="318">
        <f>kdeg.water*Tempfactor.wsdsA*(BACT.w2A/BACT.test)*FRw.w2A</f>
        <v>5.9915366961075931E-22</v>
      </c>
      <c r="C546" s="317" t="s">
        <v>617</v>
      </c>
    </row>
    <row r="547" spans="1:3" ht="14.5" x14ac:dyDescent="0.3">
      <c r="A547" s="317" t="s">
        <v>4541</v>
      </c>
      <c r="B547" s="318" t="e">
        <f>VOLATflow.w2A.aA/VOLUME.w2A</f>
        <v>#NAME?</v>
      </c>
      <c r="C547" s="317" t="s">
        <v>617</v>
      </c>
    </row>
    <row r="548" spans="1:3" ht="14.5" x14ac:dyDescent="0.3">
      <c r="A548" s="317" t="s">
        <v>2987</v>
      </c>
      <c r="B548" s="318">
        <f>WATERflow.w2A.w2M/VOLUME.w2A</f>
        <v>0</v>
      </c>
      <c r="C548" s="317" t="s">
        <v>617</v>
      </c>
    </row>
    <row r="549" spans="1:3" ht="14.5" x14ac:dyDescent="0.3">
      <c r="A549" s="317" t="s">
        <v>2993</v>
      </c>
      <c r="B549" s="318">
        <f>(OceanCurrent+OceanMixing.A)/VOLUME.w2A</f>
        <v>2.6926123984947511E-7</v>
      </c>
      <c r="C549" s="317" t="s">
        <v>617</v>
      </c>
    </row>
    <row r="550" spans="1:3" ht="14.5" x14ac:dyDescent="0.3">
      <c r="A550" s="317" t="s">
        <v>2172</v>
      </c>
      <c r="B550" s="318">
        <f>kdeg.water*Tempfactor.wsdsC*(BACT.w2C/BACT.test)*FRw.w2C</f>
        <v>2.7529873386892645E-21</v>
      </c>
      <c r="C550" s="317" t="s">
        <v>617</v>
      </c>
    </row>
    <row r="551" spans="1:3" ht="14.5" x14ac:dyDescent="0.3">
      <c r="A551" s="317" t="s">
        <v>4542</v>
      </c>
      <c r="B551" s="318" t="e">
        <f>VOLATflow.w2C.aC/VOLUME.w2C</f>
        <v>#NAME?</v>
      </c>
      <c r="C551" s="317" t="s">
        <v>617</v>
      </c>
    </row>
    <row r="552" spans="1:3" ht="14.5" x14ac:dyDescent="0.3">
      <c r="A552" s="317" t="s">
        <v>4543</v>
      </c>
      <c r="B552" s="318" t="e">
        <f>(SEDflow.w2C.sd2C+ADSORBflow.w2C.sd2C)/VOLUME.w2C</f>
        <v>#NAME?</v>
      </c>
      <c r="C552" s="317" t="s">
        <v>617</v>
      </c>
    </row>
    <row r="553" spans="1:3" ht="14.5" x14ac:dyDescent="0.3">
      <c r="A553" s="317" t="s">
        <v>2003</v>
      </c>
      <c r="B553" s="318">
        <f>WATERflow.w2C.w2M/VOLUME.w2C</f>
        <v>3.1691347286679496E-8</v>
      </c>
      <c r="C553" s="317" t="s">
        <v>617</v>
      </c>
    </row>
    <row r="554" spans="1:3" ht="14.5" x14ac:dyDescent="0.3">
      <c r="A554" s="317" t="s">
        <v>2001</v>
      </c>
      <c r="B554" s="318">
        <f>WATERflow.w2C.w2R/VOLUME.w2C</f>
        <v>1.660022737657995E-11</v>
      </c>
      <c r="C554" s="317" t="s">
        <v>617</v>
      </c>
    </row>
    <row r="555" spans="1:3" ht="14.5" x14ac:dyDescent="0.3">
      <c r="A555" s="317" t="s">
        <v>4544</v>
      </c>
      <c r="B555" s="318">
        <f>kdeg.water*Tempfactor.wsdsM*(BACT.w2M/BACT.test)*FRw.w2M</f>
        <v>2.7529873386892645E-21</v>
      </c>
      <c r="C555" s="317" t="s">
        <v>617</v>
      </c>
    </row>
    <row r="556" spans="1:3" ht="14.5" x14ac:dyDescent="0.3">
      <c r="A556" s="317" t="s">
        <v>4545</v>
      </c>
      <c r="B556" s="318" t="e">
        <f>VOLATflow.w2M.aM/VOLUME.w2M</f>
        <v>#NAME?</v>
      </c>
      <c r="C556" s="317" t="s">
        <v>617</v>
      </c>
    </row>
    <row r="557" spans="1:3" ht="14.5" x14ac:dyDescent="0.3">
      <c r="A557" s="317" t="s">
        <v>2570</v>
      </c>
      <c r="B557" s="318">
        <f>WATERflow.w2M.w2A/VOLUME.w2M</f>
        <v>3.8674157077409421E-8</v>
      </c>
      <c r="C557" s="317" t="s">
        <v>617</v>
      </c>
    </row>
    <row r="558" spans="1:3" ht="14.5" x14ac:dyDescent="0.3">
      <c r="A558" s="317" t="s">
        <v>2568</v>
      </c>
      <c r="B558" s="318">
        <f>WATERflow.w2M.w2C/VOLUME.w2M</f>
        <v>6.0683860128376809E-9</v>
      </c>
      <c r="C558" s="317" t="s">
        <v>617</v>
      </c>
    </row>
    <row r="559" spans="1:3" ht="14.5" x14ac:dyDescent="0.3">
      <c r="A559" s="317" t="s">
        <v>2572</v>
      </c>
      <c r="B559" s="318">
        <f>WATERflow.w2M.w2T/VOLUME.w2M</f>
        <v>0</v>
      </c>
      <c r="C559" s="317" t="s">
        <v>617</v>
      </c>
    </row>
    <row r="560" spans="1:3" ht="14.5" x14ac:dyDescent="0.3">
      <c r="A560" s="317" t="s">
        <v>2586</v>
      </c>
      <c r="B560" s="318">
        <f>(OceanCurrent+OceanMixing.M)/VOLUME.w2M</f>
        <v>2.4911186751511984E-7</v>
      </c>
      <c r="C560" s="317" t="s">
        <v>617</v>
      </c>
    </row>
    <row r="561" spans="1:3" ht="14.5" x14ac:dyDescent="0.3">
      <c r="A561" s="317" t="s">
        <v>4546</v>
      </c>
      <c r="B561" s="318" t="e">
        <f>kdeg.water*Tempfactor.wsdsR*(BACT.w2R/BACT.test)*FRw.w2R</f>
        <v>#NAME?</v>
      </c>
      <c r="C561" s="317" t="s">
        <v>617</v>
      </c>
    </row>
    <row r="562" spans="1:3" ht="14.5" x14ac:dyDescent="0.3">
      <c r="A562" s="317" t="s">
        <v>4547</v>
      </c>
      <c r="B562" s="318" t="e">
        <f>VOLATflow.w2R.aR/VOLUME.w2R</f>
        <v>#NAME?</v>
      </c>
      <c r="C562" s="317" t="s">
        <v>617</v>
      </c>
    </row>
    <row r="563" spans="1:3" ht="14.5" x14ac:dyDescent="0.3">
      <c r="A563" s="317" t="s">
        <v>4548</v>
      </c>
      <c r="B563" s="318">
        <f>(SEDflow.w2R.sd2R+ADSORBflow.w2R.sd2R)/VOLUME.w2R</f>
        <v>9.4927701254775671E-16</v>
      </c>
      <c r="C563" s="317" t="s">
        <v>617</v>
      </c>
    </row>
    <row r="564" spans="1:3" ht="14.5" x14ac:dyDescent="0.3">
      <c r="A564" s="317" t="s">
        <v>1055</v>
      </c>
      <c r="B564" s="325">
        <f>(RAINrate.R*SYSTEMAREA.R*AREAFRAC.w2R+WATERflow.w1R.w2R+WATERflow.w2C.w2R)/VOLUME.w2R</f>
        <v>1.3720741374936564E-6</v>
      </c>
      <c r="C564" s="317" t="s">
        <v>617</v>
      </c>
    </row>
    <row r="565" spans="1:3" ht="14.5" x14ac:dyDescent="0.3">
      <c r="A565" s="317" t="s">
        <v>4549</v>
      </c>
      <c r="B565" s="318">
        <f>kdeg.water*Tempfactor.wsdsT*(BACT.w2T/BACT.test)*FRw.w2T</f>
        <v>6.7786499640731536E-21</v>
      </c>
      <c r="C565" s="317" t="s">
        <v>617</v>
      </c>
    </row>
    <row r="566" spans="1:3" ht="14.5" x14ac:dyDescent="0.3">
      <c r="A566" s="317" t="s">
        <v>4550</v>
      </c>
      <c r="B566" s="318" t="e">
        <f>VOLATflow.w2T.aT/VOLUME.w2T</f>
        <v>#NAME?</v>
      </c>
      <c r="C566" s="317" t="s">
        <v>617</v>
      </c>
    </row>
    <row r="567" spans="1:3" ht="14.5" x14ac:dyDescent="0.3">
      <c r="A567" s="317" t="s">
        <v>3305</v>
      </c>
      <c r="B567" s="318">
        <f>WATERflow.w2T.w2M/VOLUME.w2T</f>
        <v>1.6806722689075633E-8</v>
      </c>
      <c r="C567" s="317" t="s">
        <v>617</v>
      </c>
    </row>
    <row r="568" spans="1:3" ht="14.5" x14ac:dyDescent="0.3">
      <c r="A568" s="317" t="s">
        <v>3310</v>
      </c>
      <c r="B568" s="318">
        <f>(OceanCurrent+OceanMixing.T)/VOLUME.w2T</f>
        <v>2.2724443312678606E-7</v>
      </c>
      <c r="C568" s="317" t="s">
        <v>617</v>
      </c>
    </row>
    <row r="569" spans="1:3" ht="14.5" x14ac:dyDescent="0.3">
      <c r="A569" s="317" t="s">
        <v>4551</v>
      </c>
      <c r="B569" s="318">
        <f>kdeg.water*Tempfactor.wsdsA*(BACT.w3A/BACT.test)*FRw.w3A</f>
        <v>5.9915366961075931E-22</v>
      </c>
      <c r="C569" s="317" t="s">
        <v>617</v>
      </c>
    </row>
    <row r="570" spans="1:3" ht="14.5" x14ac:dyDescent="0.3">
      <c r="A570" s="317" t="s">
        <v>4552</v>
      </c>
      <c r="B570" s="318" t="e">
        <f>(SEDflow.w3A.sdA+ADSORBflow.w3A.sdA)/VOLUME.w3A</f>
        <v>#NAME?</v>
      </c>
      <c r="C570" s="317" t="s">
        <v>617</v>
      </c>
    </row>
    <row r="571" spans="1:3" ht="14.5" x14ac:dyDescent="0.3">
      <c r="A571" s="317" t="s">
        <v>2995</v>
      </c>
      <c r="B571" s="318">
        <f>(OceanCurrent+OceanMixing.A)/VOLUME.w3A</f>
        <v>8.9753746616491718E-9</v>
      </c>
      <c r="C571" s="317" t="s">
        <v>617</v>
      </c>
    </row>
    <row r="572" spans="1:3" ht="14.5" x14ac:dyDescent="0.3">
      <c r="A572" s="317" t="s">
        <v>2989</v>
      </c>
      <c r="B572" s="318">
        <f>OceanCurrent/VOLUME.w3A</f>
        <v>1.9607843137254903E-9</v>
      </c>
      <c r="C572" s="317" t="s">
        <v>617</v>
      </c>
    </row>
    <row r="573" spans="1:3" ht="14.5" x14ac:dyDescent="0.3">
      <c r="A573" s="317" t="s">
        <v>4553</v>
      </c>
      <c r="B573" s="318">
        <f>kdeg.water*Tempfactor.wsdsM*(BACT.w3M/BACT.test)*FRw.w3M</f>
        <v>2.7529873386892645E-21</v>
      </c>
      <c r="C573" s="317" t="s">
        <v>617</v>
      </c>
    </row>
    <row r="574" spans="1:3" ht="14.5" x14ac:dyDescent="0.3">
      <c r="A574" s="317" t="s">
        <v>4554</v>
      </c>
      <c r="B574" s="318">
        <f>(SEDflow.w3M.sdM+ADSORBflow.w3M.sdM)/VOLUME.w3M</f>
        <v>8.0267616802641852E-23</v>
      </c>
      <c r="C574" s="317" t="s">
        <v>617</v>
      </c>
    </row>
    <row r="575" spans="1:3" ht="14.5" x14ac:dyDescent="0.3">
      <c r="A575" s="317" t="s">
        <v>2588</v>
      </c>
      <c r="B575" s="318">
        <f>(OceanCurrent+OceanMixing.M)/VOLUME.w3M</f>
        <v>8.3037289171706622E-9</v>
      </c>
      <c r="C575" s="317" t="s">
        <v>617</v>
      </c>
    </row>
    <row r="576" spans="1:3" ht="14.5" x14ac:dyDescent="0.3">
      <c r="A576" s="317" t="s">
        <v>2574</v>
      </c>
      <c r="B576" s="318">
        <v>0</v>
      </c>
      <c r="C576" s="317" t="s">
        <v>617</v>
      </c>
    </row>
    <row r="577" spans="1:3" ht="14.5" x14ac:dyDescent="0.3">
      <c r="A577" s="317" t="s">
        <v>2576</v>
      </c>
      <c r="B577" s="318">
        <f>OceanCurrent/VOLUME.w3M</f>
        <v>1.2891385692469807E-9</v>
      </c>
      <c r="C577" s="317" t="s">
        <v>617</v>
      </c>
    </row>
    <row r="578" spans="1:3" ht="14.5" x14ac:dyDescent="0.3">
      <c r="A578" s="317" t="s">
        <v>4555</v>
      </c>
      <c r="B578" s="318">
        <f>kdeg.water*Tempfactor.wsdsT*(BACT.w3T/BACT.test)*FRw.w3T</f>
        <v>6.7786499640731536E-21</v>
      </c>
      <c r="C578" s="317" t="s">
        <v>617</v>
      </c>
    </row>
    <row r="579" spans="1:3" ht="14.5" x14ac:dyDescent="0.3">
      <c r="A579" s="317" t="s">
        <v>4556</v>
      </c>
      <c r="B579" s="318" t="e">
        <f>(SEDflow.w3T.sdT+ADSORBflow.w3T.sdT)/VOLUME.w3T</f>
        <v>#NAME?</v>
      </c>
      <c r="C579" s="317" t="s">
        <v>617</v>
      </c>
    </row>
    <row r="580" spans="1:3" ht="14.5" x14ac:dyDescent="0.3">
      <c r="A580" s="317" t="s">
        <v>3311</v>
      </c>
      <c r="B580" s="318">
        <f>(OceanCurrent+OceanMixing.T)/VOLUME.w3T</f>
        <v>7.5748144375595357E-9</v>
      </c>
      <c r="C580" s="317" t="s">
        <v>617</v>
      </c>
    </row>
    <row r="581" spans="1:3" ht="14.5" x14ac:dyDescent="0.3">
      <c r="A581" s="317" t="s">
        <v>3307</v>
      </c>
      <c r="B581" s="318">
        <v>0</v>
      </c>
      <c r="C581" s="317" t="s">
        <v>617</v>
      </c>
    </row>
    <row r="582" spans="1:3" ht="14.5" x14ac:dyDescent="0.3">
      <c r="A582" s="317" t="s">
        <v>623</v>
      </c>
      <c r="B582" s="321">
        <v>7.8999999999999999E-11</v>
      </c>
      <c r="C582" s="317" t="s">
        <v>624</v>
      </c>
    </row>
    <row r="583" spans="1:3" ht="15" x14ac:dyDescent="0.3">
      <c r="A583" s="321" t="s">
        <v>3005</v>
      </c>
      <c r="B583" s="323">
        <f>0.54*(Kow/Kaw)*CORGaer*(RHOaers/1000)</f>
        <v>2.9700000000000003E+22</v>
      </c>
      <c r="C583" s="321" t="s">
        <v>1084</v>
      </c>
    </row>
    <row r="584" spans="1:3" ht="15" x14ac:dyDescent="0.3">
      <c r="A584" s="321" t="s">
        <v>2022</v>
      </c>
      <c r="B584" s="323">
        <f>0.54*(Kow/Kaw)*CORGaer*(RHOaers/1000)</f>
        <v>2.9700000000000003E+22</v>
      </c>
      <c r="C584" s="321" t="s">
        <v>1084</v>
      </c>
    </row>
    <row r="585" spans="1:3" ht="15" x14ac:dyDescent="0.3">
      <c r="A585" s="321" t="s">
        <v>2602</v>
      </c>
      <c r="B585" s="323">
        <f>0.54*(Kow/Kaw)*CORGaer*(RHOaers/1000)</f>
        <v>2.9700000000000003E+22</v>
      </c>
      <c r="C585" s="321" t="s">
        <v>1084</v>
      </c>
    </row>
    <row r="586" spans="1:3" ht="15" x14ac:dyDescent="0.3">
      <c r="A586" s="321" t="s">
        <v>1083</v>
      </c>
      <c r="B586" s="323">
        <f>0.54*(Kow/Kaw)*CORGaer*(RHOaers/1000)</f>
        <v>2.9700000000000003E+22</v>
      </c>
      <c r="C586" s="321" t="s">
        <v>1084</v>
      </c>
    </row>
    <row r="587" spans="1:3" ht="15" x14ac:dyDescent="0.3">
      <c r="A587" s="321" t="s">
        <v>3321</v>
      </c>
      <c r="B587" s="323">
        <f>0.54*(Kow/Kaw)*CORGaer*(RHOaers/1000)</f>
        <v>2.9700000000000003E+22</v>
      </c>
      <c r="C587" s="321" t="s">
        <v>1084</v>
      </c>
    </row>
    <row r="588" spans="1:3" ht="15" x14ac:dyDescent="0.3">
      <c r="A588" s="321" t="s">
        <v>3004</v>
      </c>
      <c r="B588" s="323">
        <f>1/(Kaw.A*FRorig.aerw)</f>
        <v>3.9698089464129487E+28</v>
      </c>
      <c r="C588" s="321" t="s">
        <v>1081</v>
      </c>
    </row>
    <row r="589" spans="1:3" ht="15" x14ac:dyDescent="0.3">
      <c r="A589" s="321" t="s">
        <v>2020</v>
      </c>
      <c r="B589" s="323">
        <f>1/(Kaw.C*FRorig.aerw)</f>
        <v>8.8412629829224543E+22</v>
      </c>
      <c r="C589" s="321" t="s">
        <v>1081</v>
      </c>
    </row>
    <row r="590" spans="1:3" ht="15" x14ac:dyDescent="0.3">
      <c r="A590" s="321" t="s">
        <v>2600</v>
      </c>
      <c r="B590" s="323">
        <f>1/(Kaw.M*FRorig.aerw)</f>
        <v>8.8412629829224543E+22</v>
      </c>
      <c r="C590" s="321" t="s">
        <v>1081</v>
      </c>
    </row>
    <row r="591" spans="1:3" ht="15" x14ac:dyDescent="0.3">
      <c r="A591" s="321" t="s">
        <v>1080</v>
      </c>
      <c r="B591" s="323">
        <v>9.2336700572798372E+22</v>
      </c>
      <c r="C591" s="321" t="s">
        <v>1081</v>
      </c>
    </row>
    <row r="592" spans="1:3" ht="15" x14ac:dyDescent="0.3">
      <c r="A592" s="321" t="s">
        <v>3320</v>
      </c>
      <c r="B592" s="323">
        <f>1/(Kaw.T*FRorig.aerw)</f>
        <v>1E+20</v>
      </c>
      <c r="C592" s="321" t="s">
        <v>1081</v>
      </c>
    </row>
    <row r="593" spans="1:3" x14ac:dyDescent="0.3">
      <c r="A593" s="319" t="s">
        <v>535</v>
      </c>
      <c r="B593" s="321">
        <f>VLOOKUP(ChemClass,QSARtable,8,FALSE)</f>
        <v>1000</v>
      </c>
      <c r="C593" s="317" t="s">
        <v>291</v>
      </c>
    </row>
    <row r="594" spans="1:3" x14ac:dyDescent="0.3">
      <c r="A594" s="317" t="s">
        <v>3001</v>
      </c>
      <c r="B594" s="323">
        <f>Kaw*EXP((H0vap/8.314)*(1/298-1/TEMP.A))*EXP(-(H0sol/8.314)*(1/298-1/TEMP.A))*(298/TEMP.A)</f>
        <v>2.5190129134642182E-29</v>
      </c>
      <c r="C594" s="317" t="s">
        <v>291</v>
      </c>
    </row>
    <row r="595" spans="1:3" x14ac:dyDescent="0.3">
      <c r="A595" s="317" t="s">
        <v>2018</v>
      </c>
      <c r="B595" s="323">
        <f>Kaw*EXP((H0vap/8.314)*(1/298-1/TEMP.C))*EXP(-(H0sol/8.314)*(1/298-1/TEMP.C))*(298/TEMP.C)</f>
        <v>1.1310601233461476E-23</v>
      </c>
      <c r="C595" s="317" t="s">
        <v>291</v>
      </c>
    </row>
    <row r="596" spans="1:3" x14ac:dyDescent="0.3">
      <c r="A596" s="317" t="s">
        <v>2597</v>
      </c>
      <c r="B596" s="318">
        <f>Kaw*EXP((H0vap/8.314)*(1/298-1/TEMP.M))*EXP(-(H0sol/8.314)*(1/298-1/TEMP.M))*(298/TEMP.M)</f>
        <v>1.1310601233461476E-23</v>
      </c>
      <c r="C596" s="317" t="s">
        <v>291</v>
      </c>
    </row>
    <row r="597" spans="1:3" ht="15" x14ac:dyDescent="0.3">
      <c r="A597" s="321" t="s">
        <v>4557</v>
      </c>
      <c r="B597" s="323">
        <f>Kaw*EXP((H0vap/8.314)*(1/298-1/TEMP.R))*EXP(-(H0sol/8.314)*(1/298-1/TEMP.R))*(298/TEMP.R)</f>
        <v>1.1310601233461476E-23</v>
      </c>
      <c r="C597" s="321" t="s">
        <v>1078</v>
      </c>
    </row>
    <row r="598" spans="1:3" x14ac:dyDescent="0.3">
      <c r="A598" s="317" t="s">
        <v>3317</v>
      </c>
      <c r="B598" s="323">
        <f>Kaw*EXP((H0vap/8.314)*(1/298-1/TEMP.T))*EXP(-(H0sol/8.314)*(1/298-1/TEMP.T))*(298/TEMP.T)</f>
        <v>9.9999999999999995E-21</v>
      </c>
      <c r="C598" s="317" t="s">
        <v>291</v>
      </c>
    </row>
    <row r="599" spans="1:3" ht="15" x14ac:dyDescent="0.3">
      <c r="A599" s="321" t="s">
        <v>4558</v>
      </c>
      <c r="B599" s="323">
        <f>1/(Kaw.A*FRorig.cldw)</f>
        <v>3.9698089464129487E+28</v>
      </c>
      <c r="C599" s="321" t="s">
        <v>4559</v>
      </c>
    </row>
    <row r="600" spans="1:3" ht="15" x14ac:dyDescent="0.3">
      <c r="A600" s="321" t="s">
        <v>4560</v>
      </c>
      <c r="B600" s="323">
        <f>1/(Kaw.C*FRorig.cldw)</f>
        <v>8.8412629829224543E+22</v>
      </c>
      <c r="C600" s="321" t="s">
        <v>4559</v>
      </c>
    </row>
    <row r="601" spans="1:3" ht="15" x14ac:dyDescent="0.3">
      <c r="A601" s="321" t="s">
        <v>4561</v>
      </c>
      <c r="B601" s="323">
        <f>1/(Kaw.M*FRorig.cldw)</f>
        <v>8.8412629829224543E+22</v>
      </c>
      <c r="C601" s="321" t="s">
        <v>4559</v>
      </c>
    </row>
    <row r="602" spans="1:3" ht="15" x14ac:dyDescent="0.3">
      <c r="A602" s="321" t="s">
        <v>4562</v>
      </c>
      <c r="B602" s="323">
        <v>9.2336700572798372E+22</v>
      </c>
      <c r="C602" s="321" t="s">
        <v>4559</v>
      </c>
    </row>
    <row r="603" spans="1:3" ht="15" x14ac:dyDescent="0.3">
      <c r="A603" s="321" t="s">
        <v>4563</v>
      </c>
      <c r="B603" s="323">
        <f>1/(Kaw.T*FRorig.cldw)</f>
        <v>1E+20</v>
      </c>
      <c r="C603" s="321" t="s">
        <v>4559</v>
      </c>
    </row>
    <row r="604" spans="1:3" ht="14.5" x14ac:dyDescent="0.3">
      <c r="A604" s="317" t="s">
        <v>3079</v>
      </c>
      <c r="B604" s="318">
        <f>FRgas.aA*kdegG.air*(C.OHrad.aA/C.OHrad)*Tempfactor.aA</f>
        <v>1.6554438992186728E-37</v>
      </c>
      <c r="C604" s="317" t="s">
        <v>617</v>
      </c>
    </row>
    <row r="605" spans="1:3" ht="14.5" x14ac:dyDescent="0.3">
      <c r="A605" s="317" t="s">
        <v>2180</v>
      </c>
      <c r="B605" s="318">
        <f>FRgas.aC*kdegG.air*(C.OHrad.aC/C.OHrad)*Tempfactor.aC</f>
        <v>3.8083662994282794E-33</v>
      </c>
      <c r="C605" s="317" t="s">
        <v>617</v>
      </c>
    </row>
    <row r="606" spans="1:3" ht="14.5" x14ac:dyDescent="0.3">
      <c r="A606" s="319" t="s">
        <v>4226</v>
      </c>
      <c r="B606" s="321">
        <f>C.OHrad*k0.OHrad*EXP(-Ea.OHrad/(8.314*298))</f>
        <v>3.5063474584268925E-6</v>
      </c>
      <c r="C606" s="317" t="s">
        <v>617</v>
      </c>
    </row>
    <row r="607" spans="1:3" ht="14.5" x14ac:dyDescent="0.3">
      <c r="A607" s="317" t="s">
        <v>2721</v>
      </c>
      <c r="B607" s="318">
        <f>FRgas.aM*kdegG.air*(C.OHrad.aM/C.OHrad)*Tempfactor.aM</f>
        <v>3.8083662994282794E-33</v>
      </c>
      <c r="C607" s="317" t="s">
        <v>617</v>
      </c>
    </row>
    <row r="608" spans="1:3" ht="14.5" x14ac:dyDescent="0.3">
      <c r="A608" s="317" t="s">
        <v>1338</v>
      </c>
      <c r="B608" s="318">
        <f>FRgas.aR*kdegG.air*(C.OHrad.aR/C.OHrad)*Tempfactor.aR</f>
        <v>3.8083662994282794E-33</v>
      </c>
      <c r="C608" s="317" t="s">
        <v>617</v>
      </c>
    </row>
    <row r="609" spans="1:3" ht="14.5" x14ac:dyDescent="0.3">
      <c r="A609" s="317" t="s">
        <v>3390</v>
      </c>
      <c r="B609" s="318">
        <f>FRgas.aT*kdegG.air*(C.OHrad.aT/C.OHrad)*Tempfactor.aT</f>
        <v>1.6778800571159991E-32</v>
      </c>
      <c r="C609" s="317" t="s">
        <v>617</v>
      </c>
    </row>
    <row r="610" spans="1:3" ht="14.5" x14ac:dyDescent="0.3">
      <c r="A610" s="317" t="s">
        <v>2196</v>
      </c>
      <c r="B610" s="323">
        <f>Tempfactor.wsdsC*kdeg.soil</f>
        <v>4.0612619817811774E-21</v>
      </c>
      <c r="C610" s="317" t="s">
        <v>617</v>
      </c>
    </row>
    <row r="611" spans="1:3" ht="14.5" x14ac:dyDescent="0.3">
      <c r="A611" s="317" t="s">
        <v>1367</v>
      </c>
      <c r="B611" s="318">
        <f>Tempfactor.wsdsR*kdeg.soil</f>
        <v>4.0612619817811774E-21</v>
      </c>
      <c r="C611" s="317" t="s">
        <v>617</v>
      </c>
    </row>
    <row r="612" spans="1:3" ht="14.5" x14ac:dyDescent="0.3">
      <c r="A612" s="317" t="s">
        <v>2197</v>
      </c>
      <c r="B612" s="323">
        <f>Tempfactor.wsdsC*kdeg.soil</f>
        <v>4.0612619817811774E-21</v>
      </c>
      <c r="C612" s="317" t="s">
        <v>617</v>
      </c>
    </row>
    <row r="613" spans="1:3" ht="14.5" x14ac:dyDescent="0.3">
      <c r="A613" s="317" t="s">
        <v>1369</v>
      </c>
      <c r="B613" s="318">
        <f>Tempfactor.wsdsR*kdeg.soil</f>
        <v>4.0612619817811774E-21</v>
      </c>
      <c r="C613" s="317" t="s">
        <v>617</v>
      </c>
    </row>
    <row r="614" spans="1:3" ht="14.5" x14ac:dyDescent="0.3">
      <c r="A614" s="317" t="s">
        <v>2198</v>
      </c>
      <c r="B614" s="323">
        <f>Tempfactor.wsdsC*kdeg.soil</f>
        <v>4.0612619817811774E-21</v>
      </c>
      <c r="C614" s="317" t="s">
        <v>617</v>
      </c>
    </row>
    <row r="615" spans="1:3" ht="14.5" x14ac:dyDescent="0.3">
      <c r="A615" s="317" t="s">
        <v>1371</v>
      </c>
      <c r="B615" s="318">
        <f>Tempfactor.wsdsR*kdeg.soil</f>
        <v>4.0612619817811774E-21</v>
      </c>
      <c r="C615" s="317" t="s">
        <v>617</v>
      </c>
    </row>
    <row r="616" spans="1:3" ht="14.5" x14ac:dyDescent="0.3">
      <c r="A616" s="317" t="s">
        <v>3090</v>
      </c>
      <c r="B616" s="323">
        <f>Tempfactor.wsdsA*kdeg.soil</f>
        <v>8.8388347648318438E-22</v>
      </c>
      <c r="C616" s="317" t="s">
        <v>617</v>
      </c>
    </row>
    <row r="617" spans="1:3" ht="14.5" x14ac:dyDescent="0.3">
      <c r="A617" s="317" t="s">
        <v>2194</v>
      </c>
      <c r="B617" s="323">
        <f>Tempfactor.wsdsC*kdeg.sed</f>
        <v>4.0612619817811774E-21</v>
      </c>
      <c r="C617" s="317" t="s">
        <v>617</v>
      </c>
    </row>
    <row r="618" spans="1:3" ht="14.5" x14ac:dyDescent="0.3">
      <c r="A618" s="317" t="s">
        <v>1363</v>
      </c>
      <c r="B618" s="318">
        <f>Tempfactor.wsdsR*kdeg.sed</f>
        <v>4.0612619817811774E-21</v>
      </c>
      <c r="C618" s="317" t="s">
        <v>617</v>
      </c>
    </row>
    <row r="619" spans="1:3" ht="14.5" x14ac:dyDescent="0.3">
      <c r="A619" s="317" t="s">
        <v>2195</v>
      </c>
      <c r="B619" s="323">
        <f>Tempfactor.wsdsC*kdeg.sed</f>
        <v>4.0612619817811774E-21</v>
      </c>
      <c r="C619" s="317" t="s">
        <v>617</v>
      </c>
    </row>
    <row r="620" spans="1:3" ht="14.5" x14ac:dyDescent="0.3">
      <c r="A620" s="317" t="s">
        <v>1365</v>
      </c>
      <c r="B620" s="318">
        <f>Tempfactor.wsdsR*kdeg.sed</f>
        <v>4.0612619817811774E-21</v>
      </c>
      <c r="C620" s="317" t="s">
        <v>617</v>
      </c>
    </row>
    <row r="621" spans="1:3" ht="14.5" x14ac:dyDescent="0.3">
      <c r="A621" s="317" t="s">
        <v>3089</v>
      </c>
      <c r="B621" s="323">
        <f>Tempfactor.wsdsA*kdeg.sed</f>
        <v>8.8388347648318438E-22</v>
      </c>
      <c r="C621" s="317" t="s">
        <v>617</v>
      </c>
    </row>
    <row r="622" spans="1:3" ht="14.5" x14ac:dyDescent="0.3">
      <c r="A622" s="317" t="s">
        <v>2735</v>
      </c>
      <c r="B622" s="318">
        <f>Tempfactor.wsdsM*kdeg.sed</f>
        <v>4.0612619817811774E-21</v>
      </c>
      <c r="C622" s="317" t="s">
        <v>617</v>
      </c>
    </row>
    <row r="623" spans="1:3" ht="14.5" x14ac:dyDescent="0.3">
      <c r="A623" s="317" t="s">
        <v>3399</v>
      </c>
      <c r="B623" s="318">
        <f>Tempfactor.wsdsT*kdeg.sed</f>
        <v>9.9999999999999995E-21</v>
      </c>
      <c r="C623" s="317" t="s">
        <v>617</v>
      </c>
    </row>
    <row r="624" spans="1:3" ht="91" x14ac:dyDescent="0.3">
      <c r="A624" s="319" t="s">
        <v>4564</v>
      </c>
      <c r="B624" s="326" t="s">
        <v>4565</v>
      </c>
      <c r="C624" s="317" t="s">
        <v>617</v>
      </c>
    </row>
    <row r="625" spans="1:3" ht="14.5" x14ac:dyDescent="0.3">
      <c r="A625" s="317" t="s">
        <v>2737</v>
      </c>
      <c r="B625" s="318">
        <f>Tempfactor.wsdsM*kdeg.soil</f>
        <v>4.0612619817811774E-21</v>
      </c>
      <c r="C625" s="317" t="s">
        <v>617</v>
      </c>
    </row>
    <row r="626" spans="1:3" ht="91" x14ac:dyDescent="0.3">
      <c r="A626" s="319" t="s">
        <v>4566</v>
      </c>
      <c r="B626" s="326" t="s">
        <v>4567</v>
      </c>
      <c r="C626" s="317" t="s">
        <v>617</v>
      </c>
    </row>
    <row r="627" spans="1:3" ht="14.5" x14ac:dyDescent="0.3">
      <c r="A627" s="317" t="s">
        <v>3400</v>
      </c>
      <c r="B627" s="318">
        <f>Tempfactor.wsdsT*kdeg.soil</f>
        <v>9.9999999999999995E-21</v>
      </c>
      <c r="C627" s="317" t="s">
        <v>617</v>
      </c>
    </row>
    <row r="628" spans="1:3" ht="14.5" x14ac:dyDescent="0.3">
      <c r="A628" s="317" t="s">
        <v>2185</v>
      </c>
      <c r="B628" s="318">
        <f>kdeg.water*Tempfactor.wsdsC*(BACT.w0C/BACT.test)*FRw.w0C</f>
        <v>3.8762856314484566E-21</v>
      </c>
      <c r="C628" s="317" t="s">
        <v>617</v>
      </c>
    </row>
    <row r="629" spans="1:3" ht="14.5" x14ac:dyDescent="0.3">
      <c r="A629" s="317" t="s">
        <v>1345</v>
      </c>
      <c r="B629" s="318" t="e">
        <f>kdeg.water*Tempfactor.wsdsR*(BACT.w0R/BACT.test)*FRw.w0R</f>
        <v>#NAME?</v>
      </c>
      <c r="C629" s="317" t="s">
        <v>617</v>
      </c>
    </row>
    <row r="630" spans="1:3" ht="14.5" x14ac:dyDescent="0.3">
      <c r="A630" s="317" t="s">
        <v>2186</v>
      </c>
      <c r="B630" s="318">
        <f>kdeg.water*Tempfactor.wsdsC*(BACT.w1C/BACT.test)*FRw.w1C</f>
        <v>1.674595286935279E-21</v>
      </c>
      <c r="C630" s="317" t="s">
        <v>617</v>
      </c>
    </row>
    <row r="631" spans="1:3" ht="14.5" x14ac:dyDescent="0.3">
      <c r="A631" s="317" t="s">
        <v>1347</v>
      </c>
      <c r="B631" s="318" t="e">
        <f>kdeg.water*Tempfactor.wsdsR*(BACT.w1R/BACT.test)*FRw.w1R</f>
        <v>#NAME?</v>
      </c>
      <c r="C631" s="317" t="s">
        <v>617</v>
      </c>
    </row>
    <row r="632" spans="1:3" ht="14.5" x14ac:dyDescent="0.3">
      <c r="A632" s="317" t="s">
        <v>3083</v>
      </c>
      <c r="B632" s="323">
        <f>kdeg.water*Tempfactor.wsdsA*(BACT.w2A/BACT.test)*FRw.w2A</f>
        <v>5.9915366961075931E-22</v>
      </c>
      <c r="C632" s="317" t="s">
        <v>617</v>
      </c>
    </row>
    <row r="633" spans="1:3" ht="14.5" x14ac:dyDescent="0.3">
      <c r="A633" s="317" t="s">
        <v>2187</v>
      </c>
      <c r="B633" s="318">
        <f>kdeg.water*Tempfactor.wsdsC*(BACT.w2C/BACT.test)*FRw.w2C</f>
        <v>2.7529873386892645E-21</v>
      </c>
      <c r="C633" s="317" t="s">
        <v>617</v>
      </c>
    </row>
    <row r="634" spans="1:3" ht="14.5" x14ac:dyDescent="0.3">
      <c r="A634" s="317" t="s">
        <v>2726</v>
      </c>
      <c r="B634" s="318">
        <f>kdeg.water*Tempfactor.wsdsM*(BACT.w2M/BACT.test)*FRw.w2M</f>
        <v>2.7529873386892645E-21</v>
      </c>
      <c r="C634" s="317" t="s">
        <v>617</v>
      </c>
    </row>
    <row r="635" spans="1:3" ht="14.5" x14ac:dyDescent="0.3">
      <c r="A635" s="317" t="s">
        <v>1349</v>
      </c>
      <c r="B635" s="318" t="e">
        <f>kdeg.water*Tempfactor.wsdsR*(BACT.w2R/BACT.test)*FRw.w2R</f>
        <v>#NAME?</v>
      </c>
      <c r="C635" s="317" t="s">
        <v>617</v>
      </c>
    </row>
    <row r="636" spans="1:3" ht="14.5" x14ac:dyDescent="0.3">
      <c r="A636" s="317" t="s">
        <v>3394</v>
      </c>
      <c r="B636" s="318">
        <f>kdeg.water*Tempfactor.wsdsT*(BACT.w2T/BACT.test)*FRw.w2T</f>
        <v>6.7786499640731536E-21</v>
      </c>
      <c r="C636" s="317" t="s">
        <v>617</v>
      </c>
    </row>
    <row r="637" spans="1:3" ht="14.5" x14ac:dyDescent="0.3">
      <c r="A637" s="317" t="s">
        <v>3084</v>
      </c>
      <c r="B637" s="323">
        <f>kdeg.water*Tempfactor.wsdsA*(BACT.w3A/BACT.test)*FRw.w3A</f>
        <v>5.9915366961075931E-22</v>
      </c>
      <c r="C637" s="317" t="s">
        <v>617</v>
      </c>
    </row>
    <row r="638" spans="1:3" ht="14.5" x14ac:dyDescent="0.3">
      <c r="A638" s="317" t="s">
        <v>2728</v>
      </c>
      <c r="B638" s="318">
        <f>kdeg.water*Tempfactor.wsdsM*(BACT.w3M/BACT.test)*FRw.w3M</f>
        <v>2.7529873386892645E-21</v>
      </c>
      <c r="C638" s="317" t="s">
        <v>617</v>
      </c>
    </row>
    <row r="639" spans="1:3" ht="14.5" x14ac:dyDescent="0.3">
      <c r="A639" s="317" t="s">
        <v>3395</v>
      </c>
      <c r="B639" s="318">
        <f>kdeg.water*Tempfactor.wsdsT*(BACT.w3T/BACT.test)*FRw.w3T</f>
        <v>6.7786499640731536E-21</v>
      </c>
      <c r="C639" s="317" t="s">
        <v>617</v>
      </c>
    </row>
    <row r="640" spans="1:3" ht="14.5" x14ac:dyDescent="0.3">
      <c r="A640" s="319" t="s">
        <v>4568</v>
      </c>
      <c r="B640" s="321">
        <f>IF(biodeg="r",LN(2)/15*Q.10^(13/10),IF(biodeg="r-",LN(2)/50*Q.10^(13/10),IF(biodeg="i",LN(2)/150*Q.10^(13/10),1E-20)))/(3600*24)</f>
        <v>1.316920183599007E-7</v>
      </c>
      <c r="C640" s="317" t="s">
        <v>617</v>
      </c>
    </row>
    <row r="641" spans="1:3" ht="39" x14ac:dyDescent="0.3">
      <c r="A641" s="317" t="s">
        <v>4569</v>
      </c>
      <c r="B641" s="324" t="s">
        <v>4570</v>
      </c>
      <c r="C641" s="317" t="s">
        <v>617</v>
      </c>
    </row>
    <row r="642" spans="1:3" ht="39" x14ac:dyDescent="0.3">
      <c r="A642" s="317" t="s">
        <v>4571</v>
      </c>
      <c r="B642" s="324" t="s">
        <v>4572</v>
      </c>
      <c r="C642" s="317" t="s">
        <v>617</v>
      </c>
    </row>
    <row r="643" spans="1:3" ht="39" x14ac:dyDescent="0.3">
      <c r="A643" s="317" t="s">
        <v>4573</v>
      </c>
      <c r="B643" s="324" t="s">
        <v>4574</v>
      </c>
      <c r="C643" s="317" t="s">
        <v>617</v>
      </c>
    </row>
    <row r="644" spans="1:3" ht="39" x14ac:dyDescent="0.3">
      <c r="A644" s="317" t="s">
        <v>4575</v>
      </c>
      <c r="B644" s="324" t="s">
        <v>4576</v>
      </c>
      <c r="C644" s="317" t="s">
        <v>617</v>
      </c>
    </row>
    <row r="645" spans="1:3" ht="39" x14ac:dyDescent="0.3">
      <c r="A645" s="317" t="s">
        <v>4577</v>
      </c>
      <c r="B645" s="324" t="s">
        <v>4578</v>
      </c>
      <c r="C645" s="317" t="s">
        <v>617</v>
      </c>
    </row>
    <row r="646" spans="1:3" ht="14.5" x14ac:dyDescent="0.3">
      <c r="A646" s="317" t="s">
        <v>4579</v>
      </c>
      <c r="B646" s="318" t="e">
        <f>kdep.A-(GASABSflow.aA.w2A+GASABSflow.aA.sA)/VOLUME.aA-KDEG.aA</f>
        <v>#NAME?</v>
      </c>
      <c r="C646" s="317" t="s">
        <v>617</v>
      </c>
    </row>
    <row r="647" spans="1:3" ht="14.5" x14ac:dyDescent="0.3">
      <c r="A647" s="317" t="s">
        <v>4580</v>
      </c>
      <c r="B647" s="318" t="e">
        <f>kdep.C-(GASABSflow.aC.w1C+GASABSflow.aC.w2C+GASABSflow.aC.s1C+GASABSflow.aC.s2C+GASABSflow.aC.s3C)/VOLUME.aC-KDEG.aC</f>
        <v>#NAME?</v>
      </c>
      <c r="C647" s="317" t="s">
        <v>617</v>
      </c>
    </row>
    <row r="648" spans="1:3" ht="14.5" x14ac:dyDescent="0.3">
      <c r="A648" s="317" t="s">
        <v>4581</v>
      </c>
      <c r="B648" s="318" t="e">
        <f>kdep.M-(GASABSflow.aM.w2M+GASABSflow.aM.sM)/VOLUME.aM-KDEG.aM</f>
        <v>#NAME?</v>
      </c>
      <c r="C648" s="317" t="s">
        <v>617</v>
      </c>
    </row>
    <row r="649" spans="1:3" ht="14.5" x14ac:dyDescent="0.3">
      <c r="A649" s="317" t="s">
        <v>4582</v>
      </c>
      <c r="B649" s="325" t="e">
        <f>kdep.R-(GASABSflow.aR.w1R+GASABSflow.aR.w2R+GASABSflow.aR.s1R+GASABSflow.aR.s2R+GASABSflow.aR.s3R)/SYSTEMAREA.R-KDEG.aR</f>
        <v>#NAME?</v>
      </c>
      <c r="C649" s="317" t="s">
        <v>617</v>
      </c>
    </row>
    <row r="650" spans="1:3" ht="14.5" x14ac:dyDescent="0.3">
      <c r="A650" s="317" t="s">
        <v>4583</v>
      </c>
      <c r="B650" s="318" t="e">
        <f>kdep.T-(GASABSflow.aT.w2T+GASABSflow.aT.sT)/VOLUME.aT-KDEG.aT</f>
        <v>#NAME?</v>
      </c>
      <c r="C650" s="317" t="s">
        <v>617</v>
      </c>
    </row>
    <row r="651" spans="1:3" ht="14.5" x14ac:dyDescent="0.3">
      <c r="A651" s="317" t="s">
        <v>3033</v>
      </c>
      <c r="B651" s="318" t="e">
        <f>DRYDEPaerosol.A/HEIGHT.aA + (GASABSflow.aA.w2A+GASABSflow.aA.sA)/VOLUME.aA+KDEG.aA</f>
        <v>#NAME?</v>
      </c>
      <c r="C651" s="317" t="s">
        <v>617</v>
      </c>
    </row>
    <row r="652" spans="1:3" ht="14.5" x14ac:dyDescent="0.3">
      <c r="A652" s="317" t="s">
        <v>2096</v>
      </c>
      <c r="B652" s="318" t="e">
        <f>DRYDEPaerosol.C/HEIGHT.aC + (GASABSflow.aC.w1C+GASABSflow.aC.w2C+GASABSflow.aC.s1C+GASABSflow.aC.s2C+GASABSflow.aC.s3C)/SYSTEMAREA.C+KDEG.aC</f>
        <v>#NAME?</v>
      </c>
      <c r="C652" s="317" t="s">
        <v>617</v>
      </c>
    </row>
    <row r="653" spans="1:3" ht="14.5" x14ac:dyDescent="0.3">
      <c r="A653" s="317" t="s">
        <v>2657</v>
      </c>
      <c r="B653" s="318" t="e">
        <f>DRYDEPaerosol.M/HEIGHT.aM + (GASABSflow.aM.w2M+GASABSflow.aM.sM)/VOLUME.aM+KDEG.aM</f>
        <v>#NAME?</v>
      </c>
      <c r="C653" s="317" t="s">
        <v>617</v>
      </c>
    </row>
    <row r="654" spans="1:3" ht="14.5" x14ac:dyDescent="0.3">
      <c r="A654" s="317" t="s">
        <v>1185</v>
      </c>
      <c r="B654" s="318" t="e">
        <f>DRYDEPaerosol.R/HEIGHT.aR + (GASABSflow.aR.w1R+GASABSflow.aR.w2R+GASABSflow.aR.s1R+GASABSflow.aR.s2R+GASABSflow.aR.s3R)/SYSTEMAREA.R+KDEG.aR</f>
        <v>#NAME?</v>
      </c>
      <c r="C654" s="317" t="s">
        <v>617</v>
      </c>
    </row>
    <row r="655" spans="1:3" ht="14.5" x14ac:dyDescent="0.3">
      <c r="A655" s="317" t="s">
        <v>3348</v>
      </c>
      <c r="B655" s="318" t="e">
        <f>DRYDEPaerosol.T/HEIGHT.aT + (GASABSflow.aT.w2T+GASABSflow.aT.sT)/VOLUME.aT+KDEG.aT</f>
        <v>#NAME?</v>
      </c>
      <c r="C655" s="317" t="s">
        <v>617</v>
      </c>
    </row>
    <row r="656" spans="1:3" ht="14.5" x14ac:dyDescent="0.3">
      <c r="A656" s="319" t="s">
        <v>3078</v>
      </c>
      <c r="B656" s="318">
        <f>LN(2)/(60*365*24*3600)</f>
        <v>3.663258818281463E-10</v>
      </c>
      <c r="C656" s="317" t="s">
        <v>617</v>
      </c>
    </row>
    <row r="657" spans="1:3" ht="14.5" x14ac:dyDescent="0.3">
      <c r="A657" s="319" t="s">
        <v>2179</v>
      </c>
      <c r="B657" s="318">
        <f>LN(2)/(60*365*24*3600)</f>
        <v>3.663258818281463E-10</v>
      </c>
      <c r="C657" s="317" t="s">
        <v>617</v>
      </c>
    </row>
    <row r="658" spans="1:3" ht="14.5" x14ac:dyDescent="0.3">
      <c r="A658" s="319" t="s">
        <v>2720</v>
      </c>
      <c r="B658" s="318">
        <f>LN(2)/(60*365*24*3600)</f>
        <v>3.663258818281463E-10</v>
      </c>
      <c r="C658" s="317" t="s">
        <v>617</v>
      </c>
    </row>
    <row r="659" spans="1:3" ht="14.5" x14ac:dyDescent="0.3">
      <c r="A659" s="319" t="s">
        <v>1336</v>
      </c>
      <c r="B659" s="318">
        <f>LN(2)/(60*365*24*3600)</f>
        <v>3.663258818281463E-10</v>
      </c>
      <c r="C659" s="317" t="s">
        <v>617</v>
      </c>
    </row>
    <row r="660" spans="1:3" ht="14.5" x14ac:dyDescent="0.3">
      <c r="A660" s="319" t="s">
        <v>3389</v>
      </c>
      <c r="B660" s="318">
        <f>LN(2)/(60*365*24*3600)</f>
        <v>3.663258818281463E-10</v>
      </c>
      <c r="C660" s="317" t="s">
        <v>617</v>
      </c>
    </row>
    <row r="661" spans="1:3" x14ac:dyDescent="0.3">
      <c r="A661" s="317" t="s">
        <v>537</v>
      </c>
      <c r="B661" s="321" t="e">
        <f>MEDIAN(substances!#REF!)</f>
        <v>#REF!</v>
      </c>
      <c r="C661" s="317" t="s">
        <v>291</v>
      </c>
    </row>
    <row r="662" spans="1:3" x14ac:dyDescent="0.3">
      <c r="A662" s="317" t="s">
        <v>539</v>
      </c>
      <c r="B662" s="318">
        <f>10^(LOG(Kow)-3.5)</f>
        <v>0.86962635654630471</v>
      </c>
      <c r="C662" s="317" t="s">
        <v>291</v>
      </c>
    </row>
    <row r="663" spans="1:3" x14ac:dyDescent="0.3">
      <c r="A663" s="319" t="s">
        <v>2027</v>
      </c>
      <c r="B663" s="318">
        <f>0.08*D</f>
        <v>220</v>
      </c>
      <c r="C663" s="317" t="s">
        <v>1096</v>
      </c>
    </row>
    <row r="664" spans="1:3" x14ac:dyDescent="0.3">
      <c r="A664" s="319" t="s">
        <v>1095</v>
      </c>
      <c r="B664" s="318">
        <f>0.08*D</f>
        <v>220</v>
      </c>
      <c r="C664" s="317" t="s">
        <v>1096</v>
      </c>
    </row>
    <row r="665" spans="1:3" x14ac:dyDescent="0.3">
      <c r="A665" s="319" t="s">
        <v>2032</v>
      </c>
      <c r="B665" s="318">
        <f>0.08*D</f>
        <v>220</v>
      </c>
      <c r="C665" s="317" t="s">
        <v>1096</v>
      </c>
    </row>
    <row r="666" spans="1:3" x14ac:dyDescent="0.3">
      <c r="A666" s="319" t="s">
        <v>1101</v>
      </c>
      <c r="B666" s="318">
        <f>0.08*D</f>
        <v>220</v>
      </c>
      <c r="C666" s="317" t="s">
        <v>1096</v>
      </c>
    </row>
    <row r="667" spans="1:3" x14ac:dyDescent="0.3">
      <c r="A667" s="319" t="s">
        <v>3014</v>
      </c>
      <c r="B667" s="318"/>
      <c r="C667" s="317" t="s">
        <v>1096</v>
      </c>
    </row>
    <row r="668" spans="1:3" x14ac:dyDescent="0.3">
      <c r="A668" s="319" t="s">
        <v>2037</v>
      </c>
      <c r="B668" s="318">
        <f>0.08*D</f>
        <v>220</v>
      </c>
      <c r="C668" s="317" t="s">
        <v>1096</v>
      </c>
    </row>
    <row r="669" spans="1:3" x14ac:dyDescent="0.3">
      <c r="A669" s="319" t="s">
        <v>2621</v>
      </c>
      <c r="B669" s="318"/>
      <c r="C669" s="317" t="s">
        <v>1096</v>
      </c>
    </row>
    <row r="670" spans="1:3" x14ac:dyDescent="0.3">
      <c r="A670" s="319" t="s">
        <v>1106</v>
      </c>
      <c r="B670" s="318">
        <f>0.08*D</f>
        <v>220</v>
      </c>
      <c r="C670" s="317" t="s">
        <v>1096</v>
      </c>
    </row>
    <row r="671" spans="1:3" x14ac:dyDescent="0.3">
      <c r="A671" s="319" t="s">
        <v>3330</v>
      </c>
      <c r="B671" s="318"/>
      <c r="C671" s="317" t="s">
        <v>1096</v>
      </c>
    </row>
    <row r="672" spans="1:3" x14ac:dyDescent="0.3">
      <c r="A672" s="319" t="s">
        <v>3015</v>
      </c>
      <c r="B672" s="318"/>
      <c r="C672" s="317" t="s">
        <v>1096</v>
      </c>
    </row>
    <row r="673" spans="1:3" x14ac:dyDescent="0.3">
      <c r="A673" s="319" t="s">
        <v>2623</v>
      </c>
      <c r="B673" s="318"/>
      <c r="C673" s="317" t="s">
        <v>1096</v>
      </c>
    </row>
    <row r="674" spans="1:3" x14ac:dyDescent="0.3">
      <c r="A674" s="319" t="s">
        <v>3331</v>
      </c>
      <c r="B674" s="318"/>
      <c r="C674" s="317" t="s">
        <v>1096</v>
      </c>
    </row>
    <row r="675" spans="1:3" x14ac:dyDescent="0.3">
      <c r="A675" s="319" t="s">
        <v>2052</v>
      </c>
      <c r="B675" s="318">
        <f>(FRorig.s1*Ksw+(1-FRorig.s1)*Ksw.alt)*(1000/RHOsolid/CORG)*CORG.s1C</f>
        <v>19000</v>
      </c>
      <c r="C675" s="317" t="s">
        <v>1096</v>
      </c>
    </row>
    <row r="676" spans="1:3" ht="14.5" x14ac:dyDescent="0.3">
      <c r="A676" s="319" t="s">
        <v>1132</v>
      </c>
      <c r="B676" s="318">
        <f>(FRorig.s1*Ksw+(1-FRorig.s1)*Ksw.alt)*(1000/RHOsolid/CORG)*CORG.s1R</f>
        <v>19000</v>
      </c>
      <c r="C676" s="317" t="s">
        <v>1090</v>
      </c>
    </row>
    <row r="677" spans="1:3" x14ac:dyDescent="0.3">
      <c r="A677" s="319" t="s">
        <v>2059</v>
      </c>
      <c r="B677" s="318">
        <f>(FRorig.s2*Ksw+(1-FRorig.s2)*Ksw.alt)*(1000/RHOsolid/CORG)*CORG.s2C</f>
        <v>19000</v>
      </c>
      <c r="C677" s="317" t="s">
        <v>1096</v>
      </c>
    </row>
    <row r="678" spans="1:3" ht="14.5" x14ac:dyDescent="0.3">
      <c r="A678" s="319" t="s">
        <v>1142</v>
      </c>
      <c r="B678" s="318">
        <f>(FRorig.s2*Ksw+(1-FRorig.s2)*Ksw.alt)*(1000/RHOsolid/CORG)*CORG.s2R</f>
        <v>19000</v>
      </c>
      <c r="C678" s="317" t="s">
        <v>1090</v>
      </c>
    </row>
    <row r="679" spans="1:3" x14ac:dyDescent="0.3">
      <c r="A679" s="319" t="s">
        <v>2066</v>
      </c>
      <c r="B679" s="318">
        <f>(FRorig.s2*Ksw+(1-FRorig.s2)*Ksw.alt)*(1000/RHOsolid/CORG)*CORG.s3C</f>
        <v>19000</v>
      </c>
      <c r="C679" s="317" t="s">
        <v>1096</v>
      </c>
    </row>
    <row r="680" spans="1:3" ht="14.5" x14ac:dyDescent="0.3">
      <c r="A680" s="319" t="s">
        <v>1152</v>
      </c>
      <c r="B680" s="318">
        <f>(FRorig.s3*Ksw+(1-FRorig.s3)*Ksw.alt)*(1000/RHOsolid/CORG)*CORG.s3R</f>
        <v>19000</v>
      </c>
      <c r="C680" s="317" t="s">
        <v>1090</v>
      </c>
    </row>
    <row r="681" spans="1:3" ht="14.5" x14ac:dyDescent="0.3">
      <c r="A681" s="319" t="s">
        <v>3024</v>
      </c>
      <c r="B681" s="318">
        <f>(FRorig.s1*Ksw+(1-FRorig.s1)*Ksw.alt)*(1000/RHOsolid/CORG)*CORG.sA</f>
        <v>19000</v>
      </c>
      <c r="C681" s="317" t="s">
        <v>1090</v>
      </c>
    </row>
    <row r="682" spans="1:3" x14ac:dyDescent="0.3">
      <c r="A682" s="319" t="s">
        <v>2042</v>
      </c>
      <c r="B682" s="318">
        <f>(FRorig.sd1*Ksw+(1-FRorig.sd1)*Ksw.alt)*(1000/RHOsolid/CORG)*CORG.sd1C</f>
        <v>47500</v>
      </c>
      <c r="C682" s="317" t="s">
        <v>1096</v>
      </c>
    </row>
    <row r="683" spans="1:3" ht="14.5" x14ac:dyDescent="0.3">
      <c r="A683" s="319" t="s">
        <v>1116</v>
      </c>
      <c r="B683" s="318">
        <f>(FRorig.sd1*Ksw+(1-FRorig.sd1)*Ksw.alt)*(1000/RHOsolid/CORG)*CORG.sd1R</f>
        <v>47500</v>
      </c>
      <c r="C683" s="317" t="s">
        <v>1090</v>
      </c>
    </row>
    <row r="684" spans="1:3" x14ac:dyDescent="0.3">
      <c r="A684" s="319" t="s">
        <v>2045</v>
      </c>
      <c r="B684" s="318">
        <f>(FRorig.sd2*Ksw+(1-FRorig.sd2)*Ksw.alt)*(1000/RHOsolid/CORG)*CORG.sd2C</f>
        <v>47500</v>
      </c>
      <c r="C684" s="317" t="s">
        <v>1096</v>
      </c>
    </row>
    <row r="685" spans="1:3" ht="14.5" x14ac:dyDescent="0.3">
      <c r="A685" s="319" t="s">
        <v>1122</v>
      </c>
      <c r="B685" s="318">
        <f>(FRorig.sd2*Ksw+(1-FRorig.sd2)*Ksw.alt)*(1000/RHOsolid/CORG)*CORG.sd2R</f>
        <v>47500</v>
      </c>
      <c r="C685" s="317" t="s">
        <v>1090</v>
      </c>
    </row>
    <row r="686" spans="1:3" ht="14.5" x14ac:dyDescent="0.3">
      <c r="A686" s="319" t="s">
        <v>3019</v>
      </c>
      <c r="B686" s="318">
        <f>(FRorig.sd2*Ksw+(1-FRorig.sd2)*Ksw.alt)*(1000/RHOsolid/CORG)*CORG.sdA</f>
        <v>47500</v>
      </c>
      <c r="C686" s="317" t="s">
        <v>1090</v>
      </c>
    </row>
    <row r="687" spans="1:3" ht="14.5" x14ac:dyDescent="0.3">
      <c r="A687" s="319" t="s">
        <v>2631</v>
      </c>
      <c r="B687" s="318">
        <f>(FRorig.sd2*Ksw+(1-FRorig.sd2)*Ksw.alt)*(1000/RHOsolid/CORG)*CORG.sdM</f>
        <v>47500</v>
      </c>
      <c r="C687" s="317" t="s">
        <v>1090</v>
      </c>
    </row>
    <row r="688" spans="1:3" ht="14.5" x14ac:dyDescent="0.3">
      <c r="A688" s="319" t="s">
        <v>3335</v>
      </c>
      <c r="B688" s="318">
        <f>(FRorig.sd2*Ksw+(1-FRorig.sd2)*Ksw.alt)*(1000/RHOsolid/CORG)*CORG.sdT</f>
        <v>47500</v>
      </c>
      <c r="C688" s="317" t="s">
        <v>1090</v>
      </c>
    </row>
    <row r="689" spans="1:3" ht="14.5" x14ac:dyDescent="0.3">
      <c r="A689" s="319" t="s">
        <v>2641</v>
      </c>
      <c r="B689" s="318">
        <f>(FRorig.s1*Ksw+(1-FRorig.s1)*Ksw.alt)*(1000/RHOsolid/CORG)*CORG.sM</f>
        <v>19000</v>
      </c>
      <c r="C689" s="317" t="s">
        <v>1090</v>
      </c>
    </row>
    <row r="690" spans="1:3" ht="14.5" x14ac:dyDescent="0.3">
      <c r="A690" s="319" t="s">
        <v>3340</v>
      </c>
      <c r="B690" s="318">
        <f>(FRorig.s1*Ksw+(1-FRorig.s1)*Ksw.alt)*(1000/RHOsolid/CORG)*CORG.sT</f>
        <v>19000</v>
      </c>
      <c r="C690" s="317" t="s">
        <v>1090</v>
      </c>
    </row>
    <row r="691" spans="1:3" ht="14.5" x14ac:dyDescent="0.3">
      <c r="A691" s="319" t="s">
        <v>2025</v>
      </c>
      <c r="B691" s="318">
        <f>(FRorig.w1*Ksw+(1-FRorig.w1)*Ksw.alt)*(1000/RHOsolid/CORG)*CORG.susp0C</f>
        <v>95000</v>
      </c>
      <c r="C691" s="317" t="s">
        <v>1090</v>
      </c>
    </row>
    <row r="692" spans="1:3" ht="14.5" x14ac:dyDescent="0.3">
      <c r="A692" s="319" t="s">
        <v>1089</v>
      </c>
      <c r="B692" s="318">
        <f>(FRorig.w1*Ksw+(1-FRorig.w1)*Ksw.alt)*(1000/RHOsolid/CORG)*CORG.susp0R</f>
        <v>95000</v>
      </c>
      <c r="C692" s="317" t="s">
        <v>1090</v>
      </c>
    </row>
    <row r="693" spans="1:3" x14ac:dyDescent="0.3">
      <c r="A693" s="319" t="s">
        <v>2030</v>
      </c>
      <c r="B693" s="318">
        <f>(FRorig.w1*Ksw+(1-FRorig.w1)*Ksw.alt)*(1000/RHOsolid/CORG)*CORG.susp1C</f>
        <v>95000</v>
      </c>
      <c r="C693" s="317" t="s">
        <v>1096</v>
      </c>
    </row>
    <row r="694" spans="1:3" ht="14.5" x14ac:dyDescent="0.3">
      <c r="A694" s="319" t="s">
        <v>1099</v>
      </c>
      <c r="B694" s="318">
        <f>(FRorig.w1*Ksw+(1-FRorig.w1)*Ksw.alt)*(1000/RHOsolid/CORG)*CORG.susp1R</f>
        <v>95000</v>
      </c>
      <c r="C694" s="317" t="s">
        <v>1090</v>
      </c>
    </row>
    <row r="695" spans="1:3" ht="14.5" x14ac:dyDescent="0.3">
      <c r="A695" s="319" t="s">
        <v>3008</v>
      </c>
      <c r="B695" s="318">
        <f>(FRorig.w2*Ksw+(1-FRorig.w2)*Ksw.alt)*(1000/RHOsolid/CORG)*CORG.susp2A</f>
        <v>95000</v>
      </c>
      <c r="C695" s="317" t="s">
        <v>1090</v>
      </c>
    </row>
    <row r="696" spans="1:3" x14ac:dyDescent="0.3">
      <c r="A696" s="319" t="s">
        <v>2035</v>
      </c>
      <c r="B696" s="318">
        <f>(FRorig.w2*Ksw+(1-FRorig.w2)*Ksw.alt)*(1000/RHOsolid/CORG)*CORG.susp2C</f>
        <v>95000</v>
      </c>
      <c r="C696" s="317" t="s">
        <v>1096</v>
      </c>
    </row>
    <row r="697" spans="1:3" ht="14.5" x14ac:dyDescent="0.3">
      <c r="A697" s="319" t="s">
        <v>2609</v>
      </c>
      <c r="B697" s="318">
        <f>(FRorig.w2*Ksw+(1-FRorig.w2)*Ksw.alt)*(1000/RHOsolid/CORG)*CORG.susp2M</f>
        <v>95000</v>
      </c>
      <c r="C697" s="317" t="s">
        <v>1090</v>
      </c>
    </row>
    <row r="698" spans="1:3" ht="14.5" x14ac:dyDescent="0.3">
      <c r="A698" s="319" t="s">
        <v>1104</v>
      </c>
      <c r="B698" s="318">
        <f>(FRorig.w2*Ksw+(1-FRorig.w2)*Ksw.alt)*(1000/RHOsolid/CORG)*CORG.susp2R</f>
        <v>95000</v>
      </c>
      <c r="C698" s="317" t="s">
        <v>1090</v>
      </c>
    </row>
    <row r="699" spans="1:3" ht="14.5" x14ac:dyDescent="0.3">
      <c r="A699" s="319" t="s">
        <v>3324</v>
      </c>
      <c r="B699" s="318">
        <f>(FRorig.w2*Ksw+(1-FRorig.w2)*Ksw.alt)*(1000/RHOsolid/CORG)*CORG.susp2T</f>
        <v>95000</v>
      </c>
      <c r="C699" s="317" t="s">
        <v>1090</v>
      </c>
    </row>
    <row r="700" spans="1:3" ht="14.5" x14ac:dyDescent="0.3">
      <c r="A700" s="319" t="s">
        <v>3009</v>
      </c>
      <c r="B700" s="318">
        <f>(FRorig.w2*Ksw+(1-FRorig.w2)*Ksw.alt)*(1000/RHOsolid/CORG)*CORG.susp3A</f>
        <v>95000</v>
      </c>
      <c r="C700" s="317" t="s">
        <v>1090</v>
      </c>
    </row>
    <row r="701" spans="1:3" ht="14.5" x14ac:dyDescent="0.3">
      <c r="A701" s="319" t="s">
        <v>2611</v>
      </c>
      <c r="B701" s="318">
        <f>(FRorig.w2*Ksw+(1-FRorig.w2)*Ksw.alt)*(1000/RHOsolid/CORG)*CORG.susp3M</f>
        <v>95000</v>
      </c>
      <c r="C701" s="317" t="s">
        <v>1091</v>
      </c>
    </row>
    <row r="702" spans="1:3" ht="14.5" x14ac:dyDescent="0.3">
      <c r="A702" s="319" t="s">
        <v>3325</v>
      </c>
      <c r="B702" s="318">
        <f>(FRorig.w2*Ksw+(1-FRorig.w2)*Ksw.alt)*(1000/RHOsolid/CORG)*CORG.susp3T</f>
        <v>95000</v>
      </c>
      <c r="C702" s="317" t="s">
        <v>1090</v>
      </c>
    </row>
    <row r="703" spans="1:3" x14ac:dyDescent="0.3">
      <c r="A703" s="319" t="s">
        <v>2047</v>
      </c>
      <c r="B703" s="318">
        <f>FRACa.s1C*(Kaw.C*FRorig.s1w)+FRACw.s1C+FRACs.s1C*Kp.s1C*RHOsolid/1000</f>
        <v>28500.200000000004</v>
      </c>
      <c r="C703" s="317" t="s">
        <v>291</v>
      </c>
    </row>
    <row r="704" spans="1:3" x14ac:dyDescent="0.3">
      <c r="A704" s="319" t="s">
        <v>1126</v>
      </c>
      <c r="B704" s="318">
        <v>28500.200000000004</v>
      </c>
      <c r="C704" s="317" t="s">
        <v>291</v>
      </c>
    </row>
    <row r="705" spans="1:3" x14ac:dyDescent="0.3">
      <c r="A705" s="319" t="s">
        <v>2054</v>
      </c>
      <c r="B705" s="318">
        <f>FRACa.s2C*(Kaw.C*FRorig.s2w)+FRACw.s2C+FRACs.s2C*Kp.s2C*RHOsolid/1000</f>
        <v>28500.200000000004</v>
      </c>
      <c r="C705" s="317" t="s">
        <v>291</v>
      </c>
    </row>
    <row r="706" spans="1:3" x14ac:dyDescent="0.3">
      <c r="A706" s="319" t="s">
        <v>1136</v>
      </c>
      <c r="B706" s="318">
        <v>28500.200000000004</v>
      </c>
      <c r="C706" s="317" t="s">
        <v>291</v>
      </c>
    </row>
    <row r="707" spans="1:3" x14ac:dyDescent="0.3">
      <c r="A707" s="319" t="s">
        <v>2061</v>
      </c>
      <c r="B707" s="318">
        <f>FRACa.s3C*(Kaw.C*FRorig.s3w)+FRACw.s3C+FRACs.s3C*Kp.s3C*RHOsolid/1000</f>
        <v>28500.200000000004</v>
      </c>
      <c r="C707" s="317" t="s">
        <v>291</v>
      </c>
    </row>
    <row r="708" spans="1:3" x14ac:dyDescent="0.3">
      <c r="A708" s="319" t="s">
        <v>1146</v>
      </c>
      <c r="B708" s="318">
        <v>28500.200000000004</v>
      </c>
      <c r="C708" s="317" t="s">
        <v>291</v>
      </c>
    </row>
    <row r="709" spans="1:3" x14ac:dyDescent="0.3">
      <c r="A709" s="319" t="s">
        <v>3018</v>
      </c>
      <c r="B709" s="318">
        <f>FRACw.sdA+FRACs.sdA*Kp.sdA*RHOsolid/1000</f>
        <v>23750.799999999996</v>
      </c>
      <c r="C709" s="317" t="s">
        <v>291</v>
      </c>
    </row>
    <row r="710" spans="1:3" x14ac:dyDescent="0.3">
      <c r="A710" s="319" t="s">
        <v>2629</v>
      </c>
      <c r="B710" s="318">
        <f>FRACw.sdM+FRACs.sdM*Kp.sdM*RHOsolid/1000</f>
        <v>23750.799999999996</v>
      </c>
      <c r="C710" s="317" t="s">
        <v>291</v>
      </c>
    </row>
    <row r="711" spans="1:3" x14ac:dyDescent="0.3">
      <c r="A711" s="319" t="s">
        <v>3334</v>
      </c>
      <c r="B711" s="318">
        <f>FRACw.sdT+FRACs.sdT*Kp.sdT*RHOsolid/1000</f>
        <v>23750.799999999996</v>
      </c>
      <c r="C711" s="317" t="s">
        <v>291</v>
      </c>
    </row>
    <row r="712" spans="1:3" x14ac:dyDescent="0.3">
      <c r="A712" s="319" t="s">
        <v>2041</v>
      </c>
      <c r="B712" s="318">
        <f>FRACw.sdC+FRACs.sdC*Kp.sd1C*RHOsolid/1000</f>
        <v>23750.799999999996</v>
      </c>
      <c r="C712" s="317" t="s">
        <v>291</v>
      </c>
    </row>
    <row r="713" spans="1:3" x14ac:dyDescent="0.3">
      <c r="A713" s="319" t="s">
        <v>1114</v>
      </c>
      <c r="B713" s="325">
        <f>FRACw.sdR+FRACs.sdR*Kp.sd1R*RHOsolid/1000</f>
        <v>23750.799999999996</v>
      </c>
      <c r="C713" s="317" t="s">
        <v>291</v>
      </c>
    </row>
    <row r="714" spans="1:3" x14ac:dyDescent="0.3">
      <c r="A714" s="319" t="s">
        <v>2044</v>
      </c>
      <c r="B714" s="318">
        <f>FRACw.sdC+FRACs.sdC*Kp.sd2C*RHOsolid/1000</f>
        <v>23750.799999999996</v>
      </c>
      <c r="C714" s="317" t="s">
        <v>291</v>
      </c>
    </row>
    <row r="715" spans="1:3" x14ac:dyDescent="0.3">
      <c r="A715" s="319" t="s">
        <v>1120</v>
      </c>
      <c r="B715" s="318">
        <f>FRACw.sdR+FRACs.sdR*Kp.sd2R*RHOsolid/1000</f>
        <v>23750.799999999996</v>
      </c>
      <c r="C715" s="317" t="s">
        <v>291</v>
      </c>
    </row>
    <row r="716" spans="1:3" x14ac:dyDescent="0.3">
      <c r="A716" s="319" t="s">
        <v>3021</v>
      </c>
      <c r="B716" s="318">
        <f>FRACa.sA*(Kaw.A*FRorig.s1w)+FRACw.sA+FRACs.sA*Kp.sA*RHOsolid/1000</f>
        <v>28500.200000000004</v>
      </c>
      <c r="C716" s="317" t="s">
        <v>291</v>
      </c>
    </row>
    <row r="717" spans="1:3" x14ac:dyDescent="0.3">
      <c r="A717" s="319" t="s">
        <v>2635</v>
      </c>
      <c r="B717" s="318">
        <f>FRACa.sM*(Kaw.M*FRorig.s1w)+FRACw.sM+FRACs.sM*Kp.sM*RHOsolid/1000</f>
        <v>28500.200000000004</v>
      </c>
      <c r="C717" s="317" t="s">
        <v>291</v>
      </c>
    </row>
    <row r="718" spans="1:3" x14ac:dyDescent="0.3">
      <c r="A718" s="319" t="s">
        <v>3337</v>
      </c>
      <c r="B718" s="318">
        <f>FRACa.sT*(Kaw.T*FRorig.s1w)+FRACw.sT+FRACs.sT*Kp.sT*RHOsolid/1000</f>
        <v>28500.200000000004</v>
      </c>
      <c r="C718" s="317" t="s">
        <v>291</v>
      </c>
    </row>
    <row r="719" spans="1:3" x14ac:dyDescent="0.3">
      <c r="A719" s="319" t="s">
        <v>530</v>
      </c>
      <c r="B719" s="321">
        <f>(VLOOKUP(ChemClass,QSARtable,6,FALSE))*CORG*RHOsolid/1000</f>
        <v>0</v>
      </c>
      <c r="C719" s="317" t="s">
        <v>291</v>
      </c>
    </row>
    <row r="720" spans="1:3" x14ac:dyDescent="0.3">
      <c r="A720" s="319" t="s">
        <v>533</v>
      </c>
      <c r="B720" s="321">
        <f>(VLOOKUP(ChemClass,QSARtable,7,FALSE))*CORG*RHOsolid/1000</f>
        <v>50</v>
      </c>
      <c r="C720" s="317" t="s">
        <v>291</v>
      </c>
    </row>
    <row r="721" spans="1:3" ht="14.5" x14ac:dyDescent="0.3">
      <c r="A721" s="317" t="s">
        <v>3035</v>
      </c>
      <c r="B721" s="318" t="e">
        <f>(AerosolWashout.A+GasWashout.A)/HEIGHT.aA + (GASABSflow.aA.w2A+GASABSflow.aA.sA)/VOLUME.aA+KDEG.aA</f>
        <v>#NAME?</v>
      </c>
      <c r="C721" s="317" t="s">
        <v>617</v>
      </c>
    </row>
    <row r="722" spans="1:3" ht="14.5" x14ac:dyDescent="0.3">
      <c r="A722" s="317" t="s">
        <v>2098</v>
      </c>
      <c r="B722" s="318" t="e">
        <f>(AerosolWashout.C+GasWashout.C)/HEIGHT.aC + (GASABSflow.aC.w1C+GASABSflow.aC.w2C+GASABSflow.aC.s1C+GASABSflow.aC.s2C+GASABSflow.aC.s3C)/SYSTEMAREA.C+KDEG.aC</f>
        <v>#NAME?</v>
      </c>
      <c r="C722" s="317" t="s">
        <v>617</v>
      </c>
    </row>
    <row r="723" spans="1:3" ht="14.5" x14ac:dyDescent="0.3">
      <c r="A723" s="317" t="s">
        <v>2659</v>
      </c>
      <c r="B723" s="318" t="e">
        <f>(AerosolWashout.M+GasWashout.M)/HEIGHT.aM + (GASABSflow.aM.w2M+GASABSflow.aM.sM)/VOLUME.aM+KDEG.aM</f>
        <v>#NAME?</v>
      </c>
      <c r="C723" s="317" t="s">
        <v>617</v>
      </c>
    </row>
    <row r="724" spans="1:3" ht="14.5" x14ac:dyDescent="0.3">
      <c r="A724" s="317" t="s">
        <v>1187</v>
      </c>
      <c r="B724" s="318" t="e">
        <v>#NAME?</v>
      </c>
      <c r="C724" s="317" t="s">
        <v>617</v>
      </c>
    </row>
    <row r="725" spans="1:3" ht="14.5" x14ac:dyDescent="0.3">
      <c r="A725" s="317" t="s">
        <v>3349</v>
      </c>
      <c r="B725" s="318" t="e">
        <f>(AerosolWashout.T+GasWashout.T)/HEIGHT.aT + (GASABSflow.aT.w2T+GASABSflow.aT.sT)/VOLUME.aT+KDEG.aT</f>
        <v>#NAME?</v>
      </c>
      <c r="C725" s="317" t="s">
        <v>617</v>
      </c>
    </row>
    <row r="726" spans="1:3" ht="14.5" x14ac:dyDescent="0.3">
      <c r="A726" s="321" t="s">
        <v>3067</v>
      </c>
      <c r="B726" s="321">
        <v>2.7779999999999998E-8</v>
      </c>
      <c r="C726" s="320" t="s">
        <v>1195</v>
      </c>
    </row>
    <row r="727" spans="1:3" ht="14.5" x14ac:dyDescent="0.3">
      <c r="A727" s="321" t="s">
        <v>2153</v>
      </c>
      <c r="B727" s="321">
        <v>2.7779999999999998E-8</v>
      </c>
      <c r="C727" s="319" t="s">
        <v>1195</v>
      </c>
    </row>
    <row r="728" spans="1:3" ht="14.5" x14ac:dyDescent="0.3">
      <c r="A728" s="321" t="s">
        <v>2703</v>
      </c>
      <c r="B728" s="321">
        <v>2.7779999999999998E-8</v>
      </c>
      <c r="C728" s="320" t="s">
        <v>1195</v>
      </c>
    </row>
    <row r="729" spans="1:3" ht="14.5" x14ac:dyDescent="0.3">
      <c r="A729" s="321" t="s">
        <v>1292</v>
      </c>
      <c r="B729" s="318">
        <v>2.7780000000000001E-8</v>
      </c>
      <c r="C729" s="319" t="s">
        <v>1195</v>
      </c>
    </row>
    <row r="730" spans="1:3" ht="14.5" x14ac:dyDescent="0.3">
      <c r="A730" s="321" t="s">
        <v>3379</v>
      </c>
      <c r="B730" s="321">
        <v>2.7779999999999998E-8</v>
      </c>
      <c r="C730" s="320" t="s">
        <v>1195</v>
      </c>
    </row>
    <row r="731" spans="1:3" ht="14.5" x14ac:dyDescent="0.3">
      <c r="A731" s="321" t="s">
        <v>3066</v>
      </c>
      <c r="B731" s="321">
        <v>2.7779999999999999E-6</v>
      </c>
      <c r="C731" s="320" t="s">
        <v>1195</v>
      </c>
    </row>
    <row r="732" spans="1:3" ht="14.5" x14ac:dyDescent="0.3">
      <c r="A732" s="321" t="s">
        <v>2152</v>
      </c>
      <c r="B732" s="321">
        <v>2.7779999999999999E-6</v>
      </c>
      <c r="C732" s="319" t="s">
        <v>1195</v>
      </c>
    </row>
    <row r="733" spans="1:3" ht="14.5" x14ac:dyDescent="0.3">
      <c r="A733" s="321" t="s">
        <v>2702</v>
      </c>
      <c r="B733" s="321">
        <v>2.7779999999999999E-6</v>
      </c>
      <c r="C733" s="320" t="s">
        <v>1195</v>
      </c>
    </row>
    <row r="734" spans="1:3" ht="14.5" x14ac:dyDescent="0.3">
      <c r="A734" s="321" t="s">
        <v>1290</v>
      </c>
      <c r="B734" s="318">
        <v>2.7779999999999999E-6</v>
      </c>
      <c r="C734" s="319" t="s">
        <v>1195</v>
      </c>
    </row>
    <row r="735" spans="1:3" ht="14.5" x14ac:dyDescent="0.3">
      <c r="A735" s="321" t="s">
        <v>3378</v>
      </c>
      <c r="B735" s="321">
        <v>2.7779999999999999E-6</v>
      </c>
      <c r="C735" s="320" t="s">
        <v>1195</v>
      </c>
    </row>
    <row r="736" spans="1:3" ht="14.5" x14ac:dyDescent="0.3">
      <c r="A736" s="317" t="s">
        <v>4584</v>
      </c>
      <c r="B736" s="318">
        <f>FRACinf.s1C*RAINrate.C/Ks1w.C*SYSTEMAREA.C*AREAFRAC.s1C*CORRleach.s1C</f>
        <v>1.5690668426144706E-3</v>
      </c>
      <c r="C736" s="317" t="s">
        <v>1058</v>
      </c>
    </row>
    <row r="737" spans="1:3" ht="14.5" x14ac:dyDescent="0.3">
      <c r="A737" s="317" t="s">
        <v>4585</v>
      </c>
      <c r="B737" s="318">
        <f>FRACinf.s1R*RAINrate.R/Ks1w.R*SYSTEMAREA.R*AREAFRAC.s1R*CORRleach.s1R</f>
        <v>1.0288527534723037E-4</v>
      </c>
      <c r="C737" s="317" t="s">
        <v>1058</v>
      </c>
    </row>
    <row r="738" spans="1:3" ht="14.5" x14ac:dyDescent="0.3">
      <c r="A738" s="317" t="s">
        <v>4586</v>
      </c>
      <c r="B738" s="318">
        <f>FRACinf.s2C*RAINrate.C/Ks2w.C*SYSTEMAREA.C*AREAFRAC.s2C*CORRleach.s2C</f>
        <v>6.3467600892493647E-3</v>
      </c>
      <c r="C738" s="317" t="s">
        <v>1058</v>
      </c>
    </row>
    <row r="739" spans="1:3" ht="14.5" x14ac:dyDescent="0.3">
      <c r="A739" s="317" t="s">
        <v>4587</v>
      </c>
      <c r="B739" s="318">
        <f>FRACinf.s2R*RAINrate.R/Ks2w.R*SYSTEMAREA.R*AREAFRAC.s2R*CORRleach.s2R</f>
        <v>4.1616337915673893E-4</v>
      </c>
      <c r="C739" s="317" t="s">
        <v>1058</v>
      </c>
    </row>
    <row r="740" spans="1:3" ht="14.5" x14ac:dyDescent="0.3">
      <c r="A740" s="317" t="s">
        <v>4588</v>
      </c>
      <c r="B740" s="318">
        <f>FRACinf.s3C*RAINrate.C/Ks3w.C*SYSTEMAREA.C*AREAFRAC.s3C*CORRleach.s3C</f>
        <v>5.811358676349889E-4</v>
      </c>
      <c r="C740" s="317" t="s">
        <v>1058</v>
      </c>
    </row>
    <row r="741" spans="1:3" ht="14.5" x14ac:dyDescent="0.3">
      <c r="A741" s="317" t="s">
        <v>4589</v>
      </c>
      <c r="B741" s="318">
        <f>FRACinf.s3R*RAINrate.R/Ks3w.R*SYSTEMAREA.R*AREAFRAC.s3R*CORRleach.s3R</f>
        <v>3.8105657536011237E-5</v>
      </c>
      <c r="C741" s="317" t="s">
        <v>1058</v>
      </c>
    </row>
    <row r="742" spans="1:3" ht="14.5" x14ac:dyDescent="0.3">
      <c r="A742" s="317" t="s">
        <v>4590</v>
      </c>
      <c r="B742" s="318">
        <f>FRACinf.sA*RAINrate.A/Kslw.A*SYSTEMAREA.A*AREAFRAC.sA*CORRleach.sA</f>
        <v>1.012187854474389E-2</v>
      </c>
      <c r="C742" s="317" t="s">
        <v>1058</v>
      </c>
    </row>
    <row r="743" spans="1:3" ht="14.5" x14ac:dyDescent="0.3">
      <c r="A743" s="317" t="s">
        <v>4591</v>
      </c>
      <c r="B743" s="325">
        <f>FRACinf.sM*RAINrate.M/Kslw.M*SYSTEMAREA.M*AREAFRAC.sM*CORRleach.sM</f>
        <v>6.4660734561497235E-2</v>
      </c>
      <c r="C743" s="317" t="s">
        <v>1058</v>
      </c>
    </row>
    <row r="744" spans="1:3" ht="14.5" x14ac:dyDescent="0.3">
      <c r="A744" s="317" t="s">
        <v>4592</v>
      </c>
      <c r="B744" s="318">
        <f>FRACinf.sT*RAINrate.T/Kslw.T*SYSTEMAREA.T*AREAFRAC.sT*CORRleach.sT</f>
        <v>0.11842597897350354</v>
      </c>
      <c r="C744" s="317" t="s">
        <v>1058</v>
      </c>
    </row>
    <row r="745" spans="1:3" ht="14.5" x14ac:dyDescent="0.3">
      <c r="A745" s="321" t="s">
        <v>3052</v>
      </c>
      <c r="B745" s="318">
        <f>0.43/(24*3600)/0.00475</f>
        <v>1.0477582846003899E-3</v>
      </c>
      <c r="C745" s="320" t="s">
        <v>1195</v>
      </c>
    </row>
    <row r="746" spans="1:3" ht="14.5" x14ac:dyDescent="0.3">
      <c r="A746" s="321" t="s">
        <v>4593</v>
      </c>
      <c r="B746" s="318">
        <f>0.43/(24*3600)/0.00475</f>
        <v>1.0477582846003899E-3</v>
      </c>
      <c r="C746" s="319" t="s">
        <v>1195</v>
      </c>
    </row>
    <row r="747" spans="1:3" ht="14.5" x14ac:dyDescent="0.3">
      <c r="A747" s="321" t="s">
        <v>2680</v>
      </c>
      <c r="B747" s="318">
        <f>0.43/(24*3600)/0.00475</f>
        <v>1.0477582846003899E-3</v>
      </c>
      <c r="C747" s="320" t="s">
        <v>1195</v>
      </c>
    </row>
    <row r="748" spans="1:3" ht="14.5" x14ac:dyDescent="0.3">
      <c r="A748" s="321" t="s">
        <v>1226</v>
      </c>
      <c r="B748" s="318">
        <f>0.43/(24*3600)/0.00475</f>
        <v>1.0477582846003899E-3</v>
      </c>
      <c r="C748" s="319" t="s">
        <v>1195</v>
      </c>
    </row>
    <row r="749" spans="1:3" ht="14.5" x14ac:dyDescent="0.3">
      <c r="A749" s="321" t="s">
        <v>3365</v>
      </c>
      <c r="B749" s="318">
        <f>0.43/(24*3600)/0.00475</f>
        <v>1.0477582846003899E-3</v>
      </c>
      <c r="C749" s="320" t="s">
        <v>1195</v>
      </c>
    </row>
    <row r="750" spans="1:3" ht="14.5" x14ac:dyDescent="0.3">
      <c r="A750" s="321" t="s">
        <v>3053</v>
      </c>
      <c r="B750" s="318">
        <f>0.1*KDEG.sA</f>
        <v>8.8388347648318441E-23</v>
      </c>
      <c r="C750" s="319" t="s">
        <v>1195</v>
      </c>
    </row>
    <row r="751" spans="1:3" ht="14.5" x14ac:dyDescent="0.3">
      <c r="A751" s="321" t="s">
        <v>4594</v>
      </c>
      <c r="B751" s="323">
        <f>0.1*KDEG.s1C</f>
        <v>4.0612619817811774E-22</v>
      </c>
      <c r="C751" s="319" t="s">
        <v>1195</v>
      </c>
    </row>
    <row r="752" spans="1:3" ht="14.5" x14ac:dyDescent="0.3">
      <c r="A752" s="321" t="s">
        <v>2681</v>
      </c>
      <c r="B752" s="318">
        <f>0.1*KDEG.sM</f>
        <v>4.0612619817811774E-22</v>
      </c>
      <c r="C752" s="319" t="s">
        <v>1195</v>
      </c>
    </row>
    <row r="753" spans="1:3" ht="14.5" x14ac:dyDescent="0.3">
      <c r="A753" s="321" t="s">
        <v>1228</v>
      </c>
      <c r="B753" s="318">
        <f>0.1*KDEG.s1R</f>
        <v>4.0612619817811774E-22</v>
      </c>
      <c r="C753" s="319" t="s">
        <v>1195</v>
      </c>
    </row>
    <row r="754" spans="1:3" ht="14.5" x14ac:dyDescent="0.3">
      <c r="A754" s="321" t="s">
        <v>3366</v>
      </c>
      <c r="B754" s="318">
        <f>0.1*KDEG.sT</f>
        <v>9.9999999999999991E-22</v>
      </c>
      <c r="C754" s="319" t="s">
        <v>1195</v>
      </c>
    </row>
    <row r="755" spans="1:3" ht="14.5" x14ac:dyDescent="0.3">
      <c r="A755" s="321" t="s">
        <v>3049</v>
      </c>
      <c r="B755" s="318">
        <f>0.01*(0.3+0.2*WINDspeed.A)*((0.018/Molweight)^(0.67*0.5))</f>
        <v>4.9401151407467364E-3</v>
      </c>
      <c r="C755" s="320" t="s">
        <v>1195</v>
      </c>
    </row>
    <row r="756" spans="1:3" ht="14.5" x14ac:dyDescent="0.3">
      <c r="A756" s="321" t="s">
        <v>4595</v>
      </c>
      <c r="B756" s="318">
        <f>0.01*(0.3+0.2*WINDspeed.C)*((0.018/Molweight)^(0.67*0.5))</f>
        <v>4.9401151407467364E-3</v>
      </c>
      <c r="C756" s="319" t="s">
        <v>1195</v>
      </c>
    </row>
    <row r="757" spans="1:3" ht="14.5" x14ac:dyDescent="0.3">
      <c r="A757" s="321" t="s">
        <v>2676</v>
      </c>
      <c r="B757" s="318">
        <f>0.01*(0.3+0.2*WINDspeed.M)*((0.018/Molweight)^(0.67*0.5))</f>
        <v>4.9401151407467364E-3</v>
      </c>
      <c r="C757" s="320" t="s">
        <v>1195</v>
      </c>
    </row>
    <row r="758" spans="1:3" ht="14.5" x14ac:dyDescent="0.3">
      <c r="A758" s="321" t="s">
        <v>1216</v>
      </c>
      <c r="B758" s="318">
        <f>0.01*(0.3+0.2*WINDspeed.R)*((0.018/Molweight)^(0.67*0.5))</f>
        <v>4.9401151407467364E-3</v>
      </c>
      <c r="C758" s="319" t="s">
        <v>1195</v>
      </c>
    </row>
    <row r="759" spans="1:3" ht="14.5" x14ac:dyDescent="0.3">
      <c r="A759" s="321" t="s">
        <v>3362</v>
      </c>
      <c r="B759" s="318">
        <f>0.01*(0.3+0.2*WINDspeed.T)*((0.018/Molweight)^(0.67*0.5))</f>
        <v>4.9401151407467364E-3</v>
      </c>
      <c r="C759" s="320" t="s">
        <v>1195</v>
      </c>
    </row>
    <row r="760" spans="1:3" ht="14.5" x14ac:dyDescent="0.3">
      <c r="A760" s="321" t="s">
        <v>3050</v>
      </c>
      <c r="B760" s="318">
        <f>0.01*(0.0004+0.00004*WINDspeed.A^2)*((0.032/Molweight)^(0.5*0.5))</f>
        <v>5.6088770120716376E-6</v>
      </c>
      <c r="C760" s="320" t="s">
        <v>1195</v>
      </c>
    </row>
    <row r="761" spans="1:3" ht="14.5" x14ac:dyDescent="0.3">
      <c r="A761" s="321" t="s">
        <v>4596</v>
      </c>
      <c r="B761" s="318">
        <f>0.01*(0.0004+0.00004*WINDspeed.C^2)*((0.032/Molweight)^(0.5*0.5))</f>
        <v>5.6088770120716376E-6</v>
      </c>
      <c r="C761" s="319" t="s">
        <v>1195</v>
      </c>
    </row>
    <row r="762" spans="1:3" ht="14.5" x14ac:dyDescent="0.3">
      <c r="A762" s="321" t="s">
        <v>2677</v>
      </c>
      <c r="B762" s="318">
        <f>0.01*(0.0004+0.00004*WINDspeed.M^2)*((0.032/Molweight)^(0.5*0.5))</f>
        <v>5.6088770120716376E-6</v>
      </c>
      <c r="C762" s="320" t="s">
        <v>1195</v>
      </c>
    </row>
    <row r="763" spans="1:3" ht="14.5" x14ac:dyDescent="0.3">
      <c r="A763" s="321" t="s">
        <v>1218</v>
      </c>
      <c r="B763" s="318">
        <f>0.01*(0.0004+0.00004*WINDspeed.R^2)*((0.032/Molweight)^(0.5*0.5))</f>
        <v>5.6088770120716376E-6</v>
      </c>
      <c r="C763" s="319" t="s">
        <v>1195</v>
      </c>
    </row>
    <row r="764" spans="1:3" ht="14.5" x14ac:dyDescent="0.3">
      <c r="A764" s="321" t="s">
        <v>3363</v>
      </c>
      <c r="B764" s="318">
        <f>0.01*(0.0004+0.00004*WINDspeed.T^2)*((0.032/Molweight)^(0.5*0.5))</f>
        <v>5.6088770120716376E-6</v>
      </c>
      <c r="C764" s="320" t="s">
        <v>1195</v>
      </c>
    </row>
    <row r="765" spans="1:3" ht="14.5" x14ac:dyDescent="0.3">
      <c r="A765" s="319" t="s">
        <v>2144</v>
      </c>
      <c r="B765" s="318">
        <v>8.6226851854606775E-11</v>
      </c>
      <c r="C765" s="319" t="s">
        <v>1195</v>
      </c>
    </row>
    <row r="766" spans="1:3" ht="14.5" x14ac:dyDescent="0.3">
      <c r="A766" s="319" t="s">
        <v>1271</v>
      </c>
      <c r="B766" s="318">
        <v>8.6861047691527155E-11</v>
      </c>
      <c r="C766" s="319" t="s">
        <v>1195</v>
      </c>
    </row>
    <row r="767" spans="1:3" ht="14.5" x14ac:dyDescent="0.3">
      <c r="A767" s="319" t="s">
        <v>2145</v>
      </c>
      <c r="B767" s="318">
        <v>0</v>
      </c>
      <c r="C767" s="319" t="s">
        <v>1195</v>
      </c>
    </row>
    <row r="768" spans="1:3" ht="14.5" x14ac:dyDescent="0.3">
      <c r="A768" s="319" t="s">
        <v>1274</v>
      </c>
      <c r="B768" s="318">
        <v>2.7428797247595103E-11</v>
      </c>
      <c r="C768" s="319" t="s">
        <v>1195</v>
      </c>
    </row>
    <row r="769" spans="1:3" ht="14.5" x14ac:dyDescent="0.3">
      <c r="A769" s="319" t="s">
        <v>3061</v>
      </c>
      <c r="B769" s="318">
        <v>6.3419583967528499E-14</v>
      </c>
      <c r="C769" s="320" t="s">
        <v>1195</v>
      </c>
    </row>
    <row r="770" spans="1:3" ht="14.5" x14ac:dyDescent="0.3">
      <c r="A770" s="319" t="s">
        <v>2694</v>
      </c>
      <c r="B770" s="318">
        <v>8.9518029439684741E-14</v>
      </c>
      <c r="C770" s="320" t="s">
        <v>1195</v>
      </c>
    </row>
    <row r="771" spans="1:3" ht="14.5" x14ac:dyDescent="0.3">
      <c r="A771" s="319" t="s">
        <v>3374</v>
      </c>
      <c r="B771" s="318">
        <v>6.3419583967529484E-14</v>
      </c>
      <c r="C771" s="320" t="s">
        <v>1195</v>
      </c>
    </row>
    <row r="772" spans="1:3" ht="14.5" x14ac:dyDescent="0.3">
      <c r="A772" s="317" t="s">
        <v>2584</v>
      </c>
      <c r="B772" s="318">
        <v>150000000</v>
      </c>
      <c r="C772" s="321" t="s">
        <v>1058</v>
      </c>
    </row>
    <row r="773" spans="1:3" ht="14.5" x14ac:dyDescent="0.3">
      <c r="A773" s="317" t="s">
        <v>2996</v>
      </c>
      <c r="B773" s="318">
        <f>VOLUME.w2A/TAU.surfA</f>
        <v>536616161.61616164</v>
      </c>
      <c r="C773" s="321" t="s">
        <v>1058</v>
      </c>
    </row>
    <row r="774" spans="1:3" ht="14.5" x14ac:dyDescent="0.3">
      <c r="A774" s="317" t="s">
        <v>2590</v>
      </c>
      <c r="B774" s="318">
        <f>VOLUME.w2M/TAU.surfM</f>
        <v>816195075.75757575</v>
      </c>
      <c r="C774" s="321" t="s">
        <v>1058</v>
      </c>
    </row>
    <row r="775" spans="1:3" ht="14.5" x14ac:dyDescent="0.3">
      <c r="A775" s="317" t="s">
        <v>3312</v>
      </c>
      <c r="B775" s="318">
        <f>VOLUME.w2T/TAU.surfT</f>
        <v>1878156565.6565654</v>
      </c>
      <c r="C775" s="321" t="s">
        <v>1058</v>
      </c>
    </row>
    <row r="776" spans="1:3" x14ac:dyDescent="0.3">
      <c r="A776" s="317" t="s">
        <v>763</v>
      </c>
      <c r="B776" s="318">
        <v>3</v>
      </c>
      <c r="C776" s="317" t="s">
        <v>291</v>
      </c>
    </row>
    <row r="777" spans="1:3" x14ac:dyDescent="0.3">
      <c r="A777" s="317" t="s">
        <v>761</v>
      </c>
      <c r="B777" s="318">
        <v>5.6</v>
      </c>
      <c r="C777" s="317" t="s">
        <v>291</v>
      </c>
    </row>
    <row r="778" spans="1:3" x14ac:dyDescent="0.3">
      <c r="A778" s="317" t="s">
        <v>770</v>
      </c>
      <c r="B778" s="318">
        <v>5</v>
      </c>
      <c r="C778" s="317" t="s">
        <v>291</v>
      </c>
    </row>
    <row r="779" spans="1:3" x14ac:dyDescent="0.3">
      <c r="A779" s="317" t="s">
        <v>772</v>
      </c>
      <c r="B779" s="318">
        <v>7</v>
      </c>
      <c r="C779" s="317" t="s">
        <v>291</v>
      </c>
    </row>
    <row r="780" spans="1:3" x14ac:dyDescent="0.3">
      <c r="A780" s="317" t="s">
        <v>774</v>
      </c>
      <c r="B780" s="318">
        <v>7</v>
      </c>
      <c r="C780" s="317" t="s">
        <v>291</v>
      </c>
    </row>
    <row r="781" spans="1:3" x14ac:dyDescent="0.3">
      <c r="A781" s="317" t="s">
        <v>766</v>
      </c>
      <c r="B781" s="318">
        <v>7</v>
      </c>
      <c r="C781" s="317" t="s">
        <v>291</v>
      </c>
    </row>
    <row r="782" spans="1:3" x14ac:dyDescent="0.3">
      <c r="A782" s="317" t="s">
        <v>768</v>
      </c>
      <c r="B782" s="318">
        <v>8</v>
      </c>
      <c r="C782" s="317" t="s">
        <v>291</v>
      </c>
    </row>
    <row r="783" spans="1:3" x14ac:dyDescent="0.3">
      <c r="A783" s="317" t="s">
        <v>541</v>
      </c>
      <c r="B783" s="321">
        <v>7</v>
      </c>
      <c r="C783" s="317"/>
    </row>
    <row r="784" spans="1:3" x14ac:dyDescent="0.3">
      <c r="A784" s="321" t="s">
        <v>4597</v>
      </c>
      <c r="B784" s="323">
        <f>IF(Tm&gt;298,EXP(-6.79*(1-Tm/298))*Pvap25*EXP((H0vap/8.314)*(1/298-1/TEMP.A)),Pvap25*EXP((H0vap/8.314)*(1/298-1/TEMP.A)))</f>
        <v>5.8022068233431984E-45</v>
      </c>
      <c r="C784" s="321" t="s">
        <v>571</v>
      </c>
    </row>
    <row r="785" spans="1:3" x14ac:dyDescent="0.3">
      <c r="A785" s="317" t="s">
        <v>4598</v>
      </c>
      <c r="B785" s="323">
        <f>IF(Tm&gt;298,EXP(-6.79*(1-Tm/298))*Pvap25*EXP((H0vap/8.314)*(1/298-1/TEMP.C)),Pvap25*EXP((H0vap/8.314)*(1/298-1/TEMP.C)))</f>
        <v>4.0184331729414909E-39</v>
      </c>
      <c r="C785" s="317" t="s">
        <v>571</v>
      </c>
    </row>
    <row r="786" spans="1:3" x14ac:dyDescent="0.3">
      <c r="A786" s="317" t="s">
        <v>4599</v>
      </c>
      <c r="B786" s="318">
        <f>IF(Tm&gt;298,EXP(-6.79*(1-Tm/298))*Pvap25*EXP((H0vap/8.314)*(1/298-1/TEMP.M)),Pvap25*EXP((H0vap/8.314)*(1/298-1/TEMP.M)))</f>
        <v>4.0184331729414909E-39</v>
      </c>
      <c r="C786" s="317" t="s">
        <v>571</v>
      </c>
    </row>
    <row r="787" spans="1:3" x14ac:dyDescent="0.3">
      <c r="A787" s="321" t="s">
        <v>4600</v>
      </c>
      <c r="B787" s="323">
        <f>IF(Tm&gt;298,EXP(-6.79*(1-Tm/298))*Pvap25*EXP((H0vap/8.314)*(1/298-1/TEMP.R)),Pvap25*EXP((H0vap/8.314)*(1/298-1/TEMP.R)))</f>
        <v>4.0184331729414909E-39</v>
      </c>
      <c r="C787" s="321" t="s">
        <v>571</v>
      </c>
    </row>
    <row r="788" spans="1:3" x14ac:dyDescent="0.3">
      <c r="A788" s="317" t="s">
        <v>4601</v>
      </c>
      <c r="B788" s="323">
        <f>IF(Tm&gt;298,EXP(-6.79*(1-Tm/298))*Pvap25*EXP((H0vap/8.314)*(1/298-1/TEMP.T)),Pvap25*EXP((H0vap/8.314)*(1/298-1/TEMP.T)))</f>
        <v>4.4658020473390378E-36</v>
      </c>
      <c r="C788" s="317" t="s">
        <v>571</v>
      </c>
    </row>
    <row r="789" spans="1:3" ht="14.5" x14ac:dyDescent="0.3">
      <c r="A789" s="319" t="s">
        <v>2146</v>
      </c>
      <c r="B789" s="318">
        <v>10</v>
      </c>
      <c r="C789" s="317" t="s">
        <v>1277</v>
      </c>
    </row>
    <row r="790" spans="1:3" ht="14.5" x14ac:dyDescent="0.3">
      <c r="A790" s="319" t="s">
        <v>1276</v>
      </c>
      <c r="B790" s="318">
        <v>10</v>
      </c>
      <c r="C790" s="317" t="s">
        <v>1277</v>
      </c>
    </row>
    <row r="791" spans="1:3" ht="14.5" x14ac:dyDescent="0.3">
      <c r="A791" s="319" t="s">
        <v>2147</v>
      </c>
      <c r="B791" s="318">
        <v>5</v>
      </c>
      <c r="C791" s="317" t="s">
        <v>1277</v>
      </c>
    </row>
    <row r="792" spans="1:3" ht="14.5" x14ac:dyDescent="0.3">
      <c r="A792" s="319" t="s">
        <v>1280</v>
      </c>
      <c r="B792" s="318">
        <v>10</v>
      </c>
      <c r="C792" s="317" t="s">
        <v>1277</v>
      </c>
    </row>
    <row r="793" spans="1:3" ht="14.5" x14ac:dyDescent="0.3">
      <c r="A793" s="319" t="s">
        <v>3062</v>
      </c>
      <c r="B793" s="318">
        <v>1</v>
      </c>
      <c r="C793" s="317" t="s">
        <v>1277</v>
      </c>
    </row>
    <row r="794" spans="1:3" ht="14.5" x14ac:dyDescent="0.3">
      <c r="A794" s="319" t="s">
        <v>2696</v>
      </c>
      <c r="B794" s="318">
        <v>1</v>
      </c>
      <c r="C794" s="317" t="s">
        <v>1277</v>
      </c>
    </row>
    <row r="795" spans="1:3" ht="14.5" x14ac:dyDescent="0.3">
      <c r="A795" s="319" t="s">
        <v>3375</v>
      </c>
      <c r="B795" s="321">
        <v>1</v>
      </c>
      <c r="C795" s="317" t="s">
        <v>1277</v>
      </c>
    </row>
    <row r="796" spans="1:3" ht="39" x14ac:dyDescent="0.3">
      <c r="A796" s="321" t="s">
        <v>570</v>
      </c>
      <c r="B796" s="324" t="s">
        <v>4602</v>
      </c>
      <c r="C796" s="321" t="s">
        <v>571</v>
      </c>
    </row>
    <row r="797" spans="1:3" x14ac:dyDescent="0.3">
      <c r="A797" s="317" t="s">
        <v>640</v>
      </c>
      <c r="B797" s="321">
        <v>2</v>
      </c>
      <c r="C797" s="317" t="s">
        <v>291</v>
      </c>
    </row>
    <row r="798" spans="1:3" ht="14.5" x14ac:dyDescent="0.3">
      <c r="A798" s="319" t="s">
        <v>3043</v>
      </c>
      <c r="B798" s="318">
        <v>250</v>
      </c>
      <c r="C798" s="319" t="s">
        <v>2668</v>
      </c>
    </row>
    <row r="799" spans="1:3" ht="14.5" x14ac:dyDescent="0.3">
      <c r="A799" s="321" t="s">
        <v>741</v>
      </c>
      <c r="B799" s="321">
        <v>700</v>
      </c>
      <c r="C799" s="321" t="s">
        <v>693</v>
      </c>
    </row>
    <row r="800" spans="1:3" ht="14.5" x14ac:dyDescent="0.3">
      <c r="A800" s="319" t="s">
        <v>2667</v>
      </c>
      <c r="B800" s="318">
        <v>700</v>
      </c>
      <c r="C800" s="319" t="s">
        <v>2668</v>
      </c>
    </row>
    <row r="801" spans="1:3" ht="14.5" x14ac:dyDescent="0.3">
      <c r="A801" s="321" t="s">
        <v>692</v>
      </c>
      <c r="B801" s="321">
        <v>700</v>
      </c>
      <c r="C801" s="321" t="s">
        <v>693</v>
      </c>
    </row>
    <row r="802" spans="1:3" ht="14.5" x14ac:dyDescent="0.3">
      <c r="A802" s="319" t="s">
        <v>3356</v>
      </c>
      <c r="B802" s="321">
        <v>1300</v>
      </c>
      <c r="C802" s="319" t="s">
        <v>2668</v>
      </c>
    </row>
    <row r="803" spans="1:3" ht="14.5" x14ac:dyDescent="0.3">
      <c r="A803" s="317" t="s">
        <v>4603</v>
      </c>
      <c r="B803" s="318" t="e">
        <f>RESUSPrate.sd1C*SYSTEMAREA.C*AREAFRAC.w1C</f>
        <v>#NAME?</v>
      </c>
      <c r="C803" s="317" t="s">
        <v>1058</v>
      </c>
    </row>
    <row r="804" spans="1:3" ht="14.5" x14ac:dyDescent="0.3">
      <c r="A804" s="317" t="s">
        <v>4604</v>
      </c>
      <c r="B804" s="318" t="e">
        <f>RESUSPrate.sd1R*SYSTEMAREA.R*AREAFRAC.w1R</f>
        <v>#NAME?</v>
      </c>
      <c r="C804" s="317" t="s">
        <v>1058</v>
      </c>
    </row>
    <row r="805" spans="1:3" ht="14.5" x14ac:dyDescent="0.3">
      <c r="A805" s="317" t="s">
        <v>4605</v>
      </c>
      <c r="B805" s="318" t="e">
        <f>RESUSPrate.sd2C*SYSTEMAREA.C*AREAFRAC.w2C</f>
        <v>#NAME?</v>
      </c>
      <c r="C805" s="317" t="s">
        <v>1058</v>
      </c>
    </row>
    <row r="806" spans="1:3" ht="14.5" x14ac:dyDescent="0.3">
      <c r="A806" s="317" t="s">
        <v>4606</v>
      </c>
      <c r="B806" s="318" t="e">
        <f>RESUSPrate.sd2R*SYSTEMAREA.R*AREAFRAC.w2R</f>
        <v>#NAME?</v>
      </c>
      <c r="C806" s="317" t="s">
        <v>1058</v>
      </c>
    </row>
    <row r="807" spans="1:3" ht="14.5" x14ac:dyDescent="0.3">
      <c r="A807" s="317" t="s">
        <v>4607</v>
      </c>
      <c r="B807" s="318" t="e">
        <f>RESUSPrate.sdA*SYSTEMAREA.A*AREAFRAC.wA</f>
        <v>#NAME?</v>
      </c>
      <c r="C807" s="321" t="s">
        <v>1058</v>
      </c>
    </row>
    <row r="808" spans="1:3" ht="14.5" x14ac:dyDescent="0.3">
      <c r="A808" s="317" t="s">
        <v>4608</v>
      </c>
      <c r="B808" s="318" t="e">
        <f>RESUSPrate.sdM*SYSTEMAREA.M*AREAFRAC.wM</f>
        <v>#NAME?</v>
      </c>
      <c r="C808" s="321" t="s">
        <v>1058</v>
      </c>
    </row>
    <row r="809" spans="1:3" ht="14.5" x14ac:dyDescent="0.3">
      <c r="A809" s="317" t="s">
        <v>4609</v>
      </c>
      <c r="B809" s="318" t="e">
        <f>RESUSPrate.sdT*SYSTEMAREA.T*AREAFRAC.wT</f>
        <v>#NAME?</v>
      </c>
      <c r="C809" s="321" t="s">
        <v>1058</v>
      </c>
    </row>
    <row r="810" spans="1:3" ht="14.5" x14ac:dyDescent="0.3">
      <c r="A810" s="319" t="s">
        <v>4610</v>
      </c>
      <c r="B810" s="318">
        <f>GROSSSEDrate.w1C-NETsedrate.w1C</f>
        <v>7.8182870370094893E-10</v>
      </c>
      <c r="C810" s="319" t="s">
        <v>1195</v>
      </c>
    </row>
    <row r="811" spans="1:3" ht="14.5" x14ac:dyDescent="0.3">
      <c r="A811" s="319" t="s">
        <v>4611</v>
      </c>
      <c r="B811" s="318">
        <f>GROSSSEDrate.w1R-NETsedrate.w1R</f>
        <v>7.954515271587726E-10</v>
      </c>
      <c r="C811" s="319" t="s">
        <v>1195</v>
      </c>
    </row>
    <row r="812" spans="1:3" ht="14.5" x14ac:dyDescent="0.3">
      <c r="A812" s="319" t="s">
        <v>4612</v>
      </c>
      <c r="B812" s="318">
        <f>GROSSSEDrate.w2C-NETsedrate.w2C</f>
        <v>2.6195185185185192E-10</v>
      </c>
      <c r="C812" s="319" t="s">
        <v>1195</v>
      </c>
    </row>
    <row r="813" spans="1:3" ht="14.5" x14ac:dyDescent="0.3">
      <c r="A813" s="319" t="s">
        <v>4613</v>
      </c>
      <c r="B813" s="318">
        <f>GROSSSEDrate.w2R-NETsedrate.w2R</f>
        <v>2.666753943691715E-10</v>
      </c>
      <c r="C813" s="319" t="s">
        <v>1195</v>
      </c>
    </row>
    <row r="814" spans="1:3" ht="14.5" x14ac:dyDescent="0.3">
      <c r="A814" s="319" t="s">
        <v>4614</v>
      </c>
      <c r="B814" s="318">
        <f>GROSSSEDrate.w3A-NETsedrate.wA</f>
        <v>2.8928843226788437E-10</v>
      </c>
      <c r="C814" s="320" t="s">
        <v>1195</v>
      </c>
    </row>
    <row r="815" spans="1:3" ht="14.5" x14ac:dyDescent="0.3">
      <c r="A815" s="319" t="s">
        <v>4615</v>
      </c>
      <c r="B815" s="318">
        <f>GROSSSEDrate.w3M-NETsedrate.wM</f>
        <v>2.8926233382241219E-10</v>
      </c>
      <c r="C815" s="320" t="s">
        <v>1195</v>
      </c>
    </row>
    <row r="816" spans="1:3" ht="14.5" x14ac:dyDescent="0.3">
      <c r="A816" s="319" t="s">
        <v>4616</v>
      </c>
      <c r="B816" s="318">
        <f>GROSSSEDrate.w3T-NETsedrate.wT</f>
        <v>2.8928843226788437E-10</v>
      </c>
      <c r="C816" s="320" t="s">
        <v>1195</v>
      </c>
    </row>
    <row r="817" spans="1:3" ht="14.5" x14ac:dyDescent="0.3">
      <c r="A817" s="321" t="s">
        <v>786</v>
      </c>
      <c r="B817" s="318">
        <v>2000</v>
      </c>
      <c r="C817" s="317" t="s">
        <v>787</v>
      </c>
    </row>
    <row r="818" spans="1:3" ht="14.5" x14ac:dyDescent="0.3">
      <c r="A818" s="319" t="s">
        <v>789</v>
      </c>
      <c r="B818" s="321">
        <v>2500</v>
      </c>
      <c r="C818" s="317" t="s">
        <v>787</v>
      </c>
    </row>
    <row r="819" spans="1:3" ht="14.5" x14ac:dyDescent="0.3">
      <c r="A819" s="317" t="s">
        <v>4617</v>
      </c>
      <c r="B819" s="318">
        <f>(RAINrate.C*FRACrun.s1C/Ks1w.C+EROSION.s1C)*SYSTEMAREA.C*AREAFRAC.s1C*CORRrunoff.s1C</f>
        <v>1.3706152524867785</v>
      </c>
      <c r="C819" s="317" t="s">
        <v>1058</v>
      </c>
    </row>
    <row r="820" spans="1:3" ht="14.5" x14ac:dyDescent="0.3">
      <c r="A820" s="317" t="s">
        <v>4618</v>
      </c>
      <c r="B820" s="318">
        <f>(RAINrate.R*FRACrun.s1R/Ks1w.R+EROSION.s1R)*SYSTEMAREA.R*AREAFRAC.s1R*CORRrunoff.s1R</f>
        <v>8.987260696443411E-2</v>
      </c>
      <c r="C820" s="317" t="s">
        <v>1058</v>
      </c>
    </row>
    <row r="821" spans="1:3" ht="14.5" x14ac:dyDescent="0.3">
      <c r="A821" s="317" t="s">
        <v>4619</v>
      </c>
      <c r="B821" s="318">
        <f>(RAINrate.C*FRACrun.s2C/Ks2w.C+EROSION.s2C)*SYSTEMAREA.C*AREAFRAC.s2C*CORRrunoff.s2C</f>
        <v>5.5440379886587898</v>
      </c>
      <c r="C821" s="317" t="s">
        <v>1058</v>
      </c>
    </row>
    <row r="822" spans="1:3" ht="14.5" x14ac:dyDescent="0.3">
      <c r="A822" s="317" t="s">
        <v>4620</v>
      </c>
      <c r="B822" s="318">
        <f>(RAINrate.R*FRACrun.s2R/Ks2w.R+EROSION.s2R)*SYSTEMAREA.R*AREAFRAC.s2R*CORRrunoff.s2R</f>
        <v>0.36352809167022559</v>
      </c>
      <c r="C822" s="317" t="s">
        <v>1058</v>
      </c>
    </row>
    <row r="823" spans="1:3" ht="14.5" x14ac:dyDescent="0.3">
      <c r="A823" s="317" t="s">
        <v>4621</v>
      </c>
      <c r="B823" s="318">
        <f>(RAINrate.C*FRACrun.s3C/Ks3w.C+EROSION.s3C)*SYSTEMAREA.C*AREAFRAC.s3C*CORRrunoff.s3C</f>
        <v>0.50763527869880676</v>
      </c>
      <c r="C823" s="317" t="s">
        <v>1058</v>
      </c>
    </row>
    <row r="824" spans="1:3" ht="14.5" x14ac:dyDescent="0.3">
      <c r="A824" s="317" t="s">
        <v>4622</v>
      </c>
      <c r="B824" s="318">
        <f>(RAINrate.R*FRACrun.s3R/Ks3w.R+EROSION.s3R)*SYSTEMAREA.R*AREAFRAC.s3R*CORRrunoff.s3R</f>
        <v>3.328615072756818E-2</v>
      </c>
      <c r="C824" s="317" t="s">
        <v>1058</v>
      </c>
    </row>
    <row r="825" spans="1:3" ht="14.5" x14ac:dyDescent="0.3">
      <c r="A825" s="317" t="s">
        <v>4623</v>
      </c>
      <c r="B825" s="318">
        <f>(RAINrate.A*FRACrun.sA/Kslw.A+EROSION.sA)*SYSTEMAREA.A*AREAFRAC.sA*CORRrunoff.sA</f>
        <v>22.052733385606707</v>
      </c>
      <c r="C825" s="321" t="s">
        <v>1058</v>
      </c>
    </row>
    <row r="826" spans="1:3" ht="14.5" x14ac:dyDescent="0.3">
      <c r="A826" s="317" t="s">
        <v>4624</v>
      </c>
      <c r="B826" s="318">
        <f>(RAINrate.M*FRACrun.sM/Kslw.M+EROSION.sM)*SYSTEMAREA.M*AREAFRAC.sM*CORRrunoff.sM</f>
        <v>56.482609038704169</v>
      </c>
      <c r="C826" s="321" t="s">
        <v>1058</v>
      </c>
    </row>
    <row r="827" spans="1:3" ht="14.5" x14ac:dyDescent="0.3">
      <c r="A827" s="317" t="s">
        <v>4625</v>
      </c>
      <c r="B827" s="318">
        <f>(RAINrate.T*FRACrun.sT/Kslw.T+EROSION.sT)*SYSTEMAREA.T*AREAFRAC.sT*CORRrunoff.sT</f>
        <v>63.814628842412503</v>
      </c>
      <c r="C827" s="321" t="s">
        <v>1058</v>
      </c>
    </row>
    <row r="828" spans="1:3" ht="14.5" x14ac:dyDescent="0.3">
      <c r="A828" s="317" t="s">
        <v>4626</v>
      </c>
      <c r="B828" s="318">
        <f>(GROSSSEDrate.w1C*FRACs.sdC*RHOsolid/SUSP.w1C)*((Kp.susp1C*SUSP.w1C/1000)*FRw.w1C)*(SYSTEMAREA.C*AREAFRAC.w1C)</f>
        <v>1629784.3096594217</v>
      </c>
      <c r="C828" s="317" t="s">
        <v>1058</v>
      </c>
    </row>
    <row r="829" spans="1:3" ht="14.5" x14ac:dyDescent="0.3">
      <c r="A829" s="317" t="s">
        <v>4627</v>
      </c>
      <c r="B829" s="318" t="e">
        <f>(GROSSSEDrate.w1R*FRACs.sdR*RHOsolid/SUSP.w1R)*((Kp.susp1R*SUSP.w1R/1000)*FRw.w1R)*(SYSTEMAREA.R*AREAFRAC.w1R)</f>
        <v>#NAME?</v>
      </c>
      <c r="C829" s="317" t="s">
        <v>1058</v>
      </c>
    </row>
    <row r="830" spans="1:3" ht="14.5" x14ac:dyDescent="0.3">
      <c r="A830" s="317" t="s">
        <v>4628</v>
      </c>
      <c r="B830" s="318">
        <f>(GROSSSEDrate.w2C*FRACs.sdC*RHOsolid/SUSP.w2C)*((Kp.susp2C*SUSP.w2C/1000)*FRw.w2C)*(SYSTEMAREA.C*AREAFRAC.w2C)</f>
        <v>34596804.448689878</v>
      </c>
      <c r="C830" s="317" t="s">
        <v>1058</v>
      </c>
    </row>
    <row r="831" spans="1:3" ht="14.5" x14ac:dyDescent="0.3">
      <c r="A831" s="317" t="s">
        <v>4629</v>
      </c>
      <c r="B831" s="318" t="e">
        <f>(GROSSSEDrate.w2R*FRACs.sdR*RHOsolid/SUSP.w2R)*((Kp.susp2R*SUSP.w2R/1000)*FRw.w2R)*(SYSTEMAREA.R*AREAFRAC.w2R)</f>
        <v>#NAME?</v>
      </c>
      <c r="C831" s="317" t="s">
        <v>1058</v>
      </c>
    </row>
    <row r="832" spans="1:3" ht="14.5" x14ac:dyDescent="0.3">
      <c r="A832" s="317" t="s">
        <v>4630</v>
      </c>
      <c r="B832" s="318">
        <f>(GROSSSEDrate.w3A*FRACs.sdA*RHOsolid/SUSP.w3A)*((Kp.susp3A*SUSP.w3A/1000)*FRw.w3A)*(SYSTEMAREA.A*AREAFRAC.wA)</f>
        <v>237576382.20438677</v>
      </c>
      <c r="C832" s="321" t="s">
        <v>1058</v>
      </c>
    </row>
    <row r="833" spans="1:3" ht="14.5" x14ac:dyDescent="0.3">
      <c r="A833" s="317" t="s">
        <v>4631</v>
      </c>
      <c r="B833" s="318">
        <f>(GROSSSEDrate.w3M*FRACs.sdM*RHOsolid/SUSP.w3M)*((Kp.susp3M*SUSP.w3M/1000)*FRw.w3M)*(SYSTEMAREA.M*AREAFRAC.wM)</f>
        <v>361354515.83775067</v>
      </c>
      <c r="C833" s="321" t="s">
        <v>1058</v>
      </c>
    </row>
    <row r="834" spans="1:3" ht="14.5" x14ac:dyDescent="0.3">
      <c r="A834" s="317" t="s">
        <v>4632</v>
      </c>
      <c r="B834" s="318">
        <f>(GROSSSEDrate.w3T*FRACs.sdT*RHOsolid/SUSP.w3T)*((Kp.susp3T*SUSP.w3T/1000)*FRw.w3T)*(SYSTEMAREA.T*AREAFRAC.wT)</f>
        <v>831517337.71535373</v>
      </c>
      <c r="C834" s="321" t="s">
        <v>1058</v>
      </c>
    </row>
    <row r="835" spans="1:3" ht="14.5" x14ac:dyDescent="0.3">
      <c r="A835" s="319" t="s">
        <v>3060</v>
      </c>
      <c r="B835" s="318">
        <f>2.5/(24*3600)</f>
        <v>2.8935185185185186E-5</v>
      </c>
      <c r="C835" s="320" t="s">
        <v>1195</v>
      </c>
    </row>
    <row r="836" spans="1:3" ht="14.5" x14ac:dyDescent="0.3">
      <c r="A836" s="319" t="s">
        <v>2142</v>
      </c>
      <c r="B836" s="318">
        <f>2.5/(24*3600)</f>
        <v>2.8935185185185186E-5</v>
      </c>
      <c r="C836" s="319" t="s">
        <v>1195</v>
      </c>
    </row>
    <row r="837" spans="1:3" ht="14.5" x14ac:dyDescent="0.3">
      <c r="A837" s="319" t="s">
        <v>2692</v>
      </c>
      <c r="B837" s="318">
        <f>2.5/(24*3600)</f>
        <v>2.8935185185185186E-5</v>
      </c>
      <c r="C837" s="320" t="s">
        <v>1195</v>
      </c>
    </row>
    <row r="838" spans="1:3" ht="14.5" x14ac:dyDescent="0.3">
      <c r="A838" s="319" t="s">
        <v>1266</v>
      </c>
      <c r="B838" s="318">
        <f>2.5/(24*3600)</f>
        <v>2.8935185185185186E-5</v>
      </c>
      <c r="C838" s="319" t="s">
        <v>1195</v>
      </c>
    </row>
    <row r="839" spans="1:3" ht="14.5" x14ac:dyDescent="0.3">
      <c r="A839" s="319" t="s">
        <v>3373</v>
      </c>
      <c r="B839" s="321">
        <f>2.5/(24*3600)</f>
        <v>2.8935185185185186E-5</v>
      </c>
      <c r="C839" s="320" t="s">
        <v>1195</v>
      </c>
    </row>
    <row r="840" spans="1:3" ht="14.5" x14ac:dyDescent="0.3">
      <c r="A840" s="317" t="s">
        <v>578</v>
      </c>
      <c r="B840" s="321">
        <f>10^(LOG(Kow)*-1.214+0.85)*(Molweight*1000000)</f>
        <v>50.997723320450852</v>
      </c>
      <c r="C840" s="317" t="s">
        <v>579</v>
      </c>
    </row>
    <row r="841" spans="1:3" x14ac:dyDescent="0.3">
      <c r="A841" s="317" t="s">
        <v>4633</v>
      </c>
      <c r="B841" s="318" t="e">
        <f>1-SURFfrac.s1C-DRAINfrac.s1C</f>
        <v>#NAME?</v>
      </c>
      <c r="C841" s="317" t="s">
        <v>291</v>
      </c>
    </row>
    <row r="842" spans="1:3" x14ac:dyDescent="0.3">
      <c r="A842" s="317" t="s">
        <v>4634</v>
      </c>
      <c r="B842" s="318" t="e">
        <f>1-SURFfrac.s1R-DRAINfrac.s1R</f>
        <v>#NAME?</v>
      </c>
      <c r="C842" s="317" t="s">
        <v>291</v>
      </c>
    </row>
    <row r="843" spans="1:3" x14ac:dyDescent="0.3">
      <c r="A843" s="317" t="s">
        <v>4635</v>
      </c>
      <c r="B843" s="318" t="e">
        <f>1-SURFfrac.s2C-DRAINfrac.s2C</f>
        <v>#NAME?</v>
      </c>
      <c r="C843" s="317" t="s">
        <v>291</v>
      </c>
    </row>
    <row r="844" spans="1:3" x14ac:dyDescent="0.3">
      <c r="A844" s="317" t="s">
        <v>4636</v>
      </c>
      <c r="B844" s="318" t="e">
        <f>1-SURFfrac.s2R-DRAINfrac.s2R</f>
        <v>#NAME?</v>
      </c>
      <c r="C844" s="317" t="s">
        <v>291</v>
      </c>
    </row>
    <row r="845" spans="1:3" x14ac:dyDescent="0.3">
      <c r="A845" s="317" t="s">
        <v>4637</v>
      </c>
      <c r="B845" s="318" t="e">
        <f>1-SURFfrac.s3C-DRAINfrac.s3C</f>
        <v>#NAME?</v>
      </c>
      <c r="C845" s="317" t="s">
        <v>291</v>
      </c>
    </row>
    <row r="846" spans="1:3" x14ac:dyDescent="0.3">
      <c r="A846" s="317" t="s">
        <v>4638</v>
      </c>
      <c r="B846" s="318" t="e">
        <f>1-SURFfrac.s3R-DRAINfrac.s3R</f>
        <v>#NAME?</v>
      </c>
      <c r="C846" s="317" t="s">
        <v>291</v>
      </c>
    </row>
    <row r="847" spans="1:3" x14ac:dyDescent="0.3">
      <c r="A847" s="317" t="s">
        <v>4639</v>
      </c>
      <c r="B847" s="318" t="e">
        <f>1-SURFfrac.sA</f>
        <v>#NAME?</v>
      </c>
      <c r="C847" s="317" t="s">
        <v>291</v>
      </c>
    </row>
    <row r="848" spans="1:3" x14ac:dyDescent="0.3">
      <c r="A848" s="317" t="s">
        <v>4640</v>
      </c>
      <c r="B848" s="318" t="e">
        <f>1-SURFfrac.sM</f>
        <v>#NAME?</v>
      </c>
      <c r="C848" s="317" t="s">
        <v>291</v>
      </c>
    </row>
    <row r="849" spans="1:3" x14ac:dyDescent="0.3">
      <c r="A849" s="317" t="s">
        <v>4641</v>
      </c>
      <c r="B849" s="318" t="e">
        <f>1-SURFfrac.sT</f>
        <v>#NAME?</v>
      </c>
      <c r="C849" s="317" t="s">
        <v>291</v>
      </c>
    </row>
    <row r="850" spans="1:3" ht="14.5" x14ac:dyDescent="0.3">
      <c r="A850" s="321" t="s">
        <v>4642</v>
      </c>
      <c r="B850" s="318">
        <v>1.4999999999999999E-4</v>
      </c>
      <c r="C850" s="317" t="s">
        <v>4643</v>
      </c>
    </row>
    <row r="851" spans="1:3" x14ac:dyDescent="0.3">
      <c r="A851" s="321" t="s">
        <v>4644</v>
      </c>
      <c r="B851" s="318">
        <v>1.4999999999999999E-4</v>
      </c>
      <c r="C851" s="317" t="s">
        <v>4645</v>
      </c>
    </row>
    <row r="852" spans="1:3" ht="14.5" x14ac:dyDescent="0.3">
      <c r="A852" s="321" t="s">
        <v>4646</v>
      </c>
      <c r="B852" s="318">
        <v>1.4999999999999999E-4</v>
      </c>
      <c r="C852" s="317" t="s">
        <v>4643</v>
      </c>
    </row>
    <row r="853" spans="1:3" ht="14.5" x14ac:dyDescent="0.3">
      <c r="A853" s="321" t="s">
        <v>4647</v>
      </c>
      <c r="B853" s="318">
        <v>1.4999999999999999E-4</v>
      </c>
      <c r="C853" s="317" t="s">
        <v>4643</v>
      </c>
    </row>
    <row r="854" spans="1:3" ht="14.5" x14ac:dyDescent="0.3">
      <c r="A854" s="317" t="s">
        <v>4648</v>
      </c>
      <c r="B854" s="323">
        <v>1.4999999999999999E-4</v>
      </c>
      <c r="C854" s="317" t="s">
        <v>4643</v>
      </c>
    </row>
    <row r="855" spans="1:3" x14ac:dyDescent="0.3">
      <c r="A855" s="317" t="s">
        <v>4649</v>
      </c>
      <c r="B855" s="318">
        <v>0.25</v>
      </c>
      <c r="C855" s="317" t="s">
        <v>291</v>
      </c>
    </row>
    <row r="856" spans="1:3" x14ac:dyDescent="0.3">
      <c r="A856" s="317" t="s">
        <v>4650</v>
      </c>
      <c r="B856" s="318">
        <v>0.25</v>
      </c>
      <c r="C856" s="317" t="s">
        <v>291</v>
      </c>
    </row>
    <row r="857" spans="1:3" x14ac:dyDescent="0.3">
      <c r="A857" s="317" t="s">
        <v>4651</v>
      </c>
      <c r="B857" s="318">
        <v>0.25</v>
      </c>
      <c r="C857" s="317" t="s">
        <v>291</v>
      </c>
    </row>
    <row r="858" spans="1:3" x14ac:dyDescent="0.3">
      <c r="A858" s="317" t="s">
        <v>4652</v>
      </c>
      <c r="B858" s="318">
        <v>0.25</v>
      </c>
      <c r="C858" s="317" t="s">
        <v>291</v>
      </c>
    </row>
    <row r="859" spans="1:3" x14ac:dyDescent="0.3">
      <c r="A859" s="317" t="s">
        <v>4653</v>
      </c>
      <c r="B859" s="318">
        <v>0.25</v>
      </c>
      <c r="C859" s="317" t="s">
        <v>291</v>
      </c>
    </row>
    <row r="860" spans="1:3" x14ac:dyDescent="0.3">
      <c r="A860" s="317" t="s">
        <v>4654</v>
      </c>
      <c r="B860" s="318">
        <v>0.25</v>
      </c>
      <c r="C860" s="317" t="s">
        <v>291</v>
      </c>
    </row>
    <row r="861" spans="1:3" x14ac:dyDescent="0.3">
      <c r="A861" s="317" t="s">
        <v>4655</v>
      </c>
      <c r="B861" s="318">
        <v>0.5</v>
      </c>
      <c r="C861" s="317" t="s">
        <v>291</v>
      </c>
    </row>
    <row r="862" spans="1:3" x14ac:dyDescent="0.3">
      <c r="A862" s="317" t="s">
        <v>4656</v>
      </c>
      <c r="B862" s="318">
        <v>0.5</v>
      </c>
      <c r="C862" s="317" t="s">
        <v>291</v>
      </c>
    </row>
    <row r="863" spans="1:3" x14ac:dyDescent="0.3">
      <c r="A863" s="317" t="s">
        <v>4657</v>
      </c>
      <c r="B863" s="318">
        <v>0.5</v>
      </c>
      <c r="C863" s="317" t="s">
        <v>291</v>
      </c>
    </row>
    <row r="864" spans="1:3" ht="14.5" x14ac:dyDescent="0.3">
      <c r="A864" s="319" t="s">
        <v>755</v>
      </c>
      <c r="B864" s="318">
        <v>0.5</v>
      </c>
      <c r="C864" s="317" t="s">
        <v>579</v>
      </c>
    </row>
    <row r="865" spans="1:3" ht="14.5" x14ac:dyDescent="0.3">
      <c r="A865" s="319" t="s">
        <v>721</v>
      </c>
      <c r="B865" s="318">
        <v>0.5</v>
      </c>
      <c r="C865" s="317" t="s">
        <v>579</v>
      </c>
    </row>
    <row r="866" spans="1:3" x14ac:dyDescent="0.3">
      <c r="A866" s="319" t="s">
        <v>756</v>
      </c>
      <c r="B866" s="318">
        <v>15</v>
      </c>
      <c r="C866" s="317" t="s">
        <v>716</v>
      </c>
    </row>
    <row r="867" spans="1:3" ht="14.5" x14ac:dyDescent="0.3">
      <c r="A867" s="319" t="s">
        <v>724</v>
      </c>
      <c r="B867" s="318">
        <v>15</v>
      </c>
      <c r="C867" s="317" t="s">
        <v>579</v>
      </c>
    </row>
    <row r="868" spans="1:3" ht="14.5" x14ac:dyDescent="0.3">
      <c r="A868" s="319" t="s">
        <v>3012</v>
      </c>
      <c r="B868" s="318">
        <v>5</v>
      </c>
      <c r="C868" s="317" t="s">
        <v>579</v>
      </c>
    </row>
    <row r="869" spans="1:3" x14ac:dyDescent="0.3">
      <c r="A869" s="319" t="s">
        <v>757</v>
      </c>
      <c r="B869" s="318">
        <v>5</v>
      </c>
      <c r="C869" s="317" t="s">
        <v>716</v>
      </c>
    </row>
    <row r="870" spans="1:3" ht="14.5" x14ac:dyDescent="0.3">
      <c r="A870" s="319" t="s">
        <v>2617</v>
      </c>
      <c r="B870" s="318">
        <v>5</v>
      </c>
      <c r="C870" s="317" t="s">
        <v>579</v>
      </c>
    </row>
    <row r="871" spans="1:3" ht="14.5" x14ac:dyDescent="0.3">
      <c r="A871" s="319" t="s">
        <v>726</v>
      </c>
      <c r="B871" s="318">
        <v>5</v>
      </c>
      <c r="C871" s="317" t="s">
        <v>579</v>
      </c>
    </row>
    <row r="872" spans="1:3" ht="14.5" x14ac:dyDescent="0.3">
      <c r="A872" s="319" t="s">
        <v>3328</v>
      </c>
      <c r="B872" s="323">
        <v>5</v>
      </c>
      <c r="C872" s="317" t="s">
        <v>579</v>
      </c>
    </row>
    <row r="873" spans="1:3" ht="14.5" x14ac:dyDescent="0.3">
      <c r="A873" s="319" t="s">
        <v>3013</v>
      </c>
      <c r="B873" s="318">
        <v>5</v>
      </c>
      <c r="C873" s="317" t="s">
        <v>579</v>
      </c>
    </row>
    <row r="874" spans="1:3" ht="14.5" x14ac:dyDescent="0.3">
      <c r="A874" s="319" t="s">
        <v>2619</v>
      </c>
      <c r="B874" s="318">
        <v>5</v>
      </c>
      <c r="C874" s="317" t="s">
        <v>579</v>
      </c>
    </row>
    <row r="875" spans="1:3" ht="14.5" x14ac:dyDescent="0.3">
      <c r="A875" s="319" t="s">
        <v>3329</v>
      </c>
      <c r="B875" s="323">
        <v>5</v>
      </c>
      <c r="C875" s="317" t="s">
        <v>579</v>
      </c>
    </row>
    <row r="876" spans="1:3" ht="14.5" x14ac:dyDescent="0.3">
      <c r="A876" s="317" t="s">
        <v>2963</v>
      </c>
      <c r="B876" s="318">
        <v>42500000</v>
      </c>
      <c r="C876" s="321" t="s">
        <v>672</v>
      </c>
    </row>
    <row r="877" spans="1:3" ht="14.5" x14ac:dyDescent="0.3">
      <c r="A877" s="317" t="s">
        <v>1941</v>
      </c>
      <c r="B877" s="318">
        <f>(AREAland.C+AREAsea.C-SYSTEMAREA.R)/1000000</f>
        <v>6969680</v>
      </c>
      <c r="C877" s="321" t="s">
        <v>672</v>
      </c>
    </row>
    <row r="878" spans="1:3" ht="14.5" x14ac:dyDescent="0.3">
      <c r="A878" s="317" t="s">
        <v>2536</v>
      </c>
      <c r="B878" s="318">
        <f>85000000-((SYSTEMAREA.C+SYSTEMAREA.R)/1000000)</f>
        <v>77571180</v>
      </c>
      <c r="C878" s="321" t="s">
        <v>672</v>
      </c>
    </row>
    <row r="879" spans="1:3" ht="14.5" x14ac:dyDescent="0.3">
      <c r="A879" s="317" t="s">
        <v>974</v>
      </c>
      <c r="B879" s="318">
        <f>(AREAland.R+AREAsea.R)/1000000</f>
        <v>229570</v>
      </c>
      <c r="C879" s="317" t="s">
        <v>672</v>
      </c>
    </row>
    <row r="880" spans="1:3" ht="14.5" x14ac:dyDescent="0.3">
      <c r="A880" s="317" t="s">
        <v>3284</v>
      </c>
      <c r="B880" s="321">
        <v>127500000</v>
      </c>
      <c r="C880" s="317" t="s">
        <v>672</v>
      </c>
    </row>
    <row r="881" spans="1:3" x14ac:dyDescent="0.3">
      <c r="A881" s="317" t="s">
        <v>2985</v>
      </c>
      <c r="B881" s="318">
        <f>(SQRT(SYSTEMAREA.A*PI()/4)/WINDspeed.A)/(3600*24)</f>
        <v>22.289709506045405</v>
      </c>
      <c r="C881" s="321" t="s">
        <v>1044</v>
      </c>
    </row>
    <row r="882" spans="1:3" x14ac:dyDescent="0.3">
      <c r="A882" s="317" t="s">
        <v>1979</v>
      </c>
      <c r="B882" s="318">
        <f>(SQRT(SYSTEMAREA.C*PI()/4)/WINDspeed.C)/(3600*24)</f>
        <v>9.1738909003087361</v>
      </c>
      <c r="C882" s="321" t="s">
        <v>1044</v>
      </c>
    </row>
    <row r="883" spans="1:3" x14ac:dyDescent="0.3">
      <c r="A883" s="317" t="s">
        <v>1043</v>
      </c>
      <c r="B883" s="318">
        <f>(SQRT(SYSTEMAREA.R*PI()/4)/WINDspeed.R)/(3600*24)</f>
        <v>1.6382022217645165</v>
      </c>
      <c r="C883" s="317" t="s">
        <v>1044</v>
      </c>
    </row>
    <row r="884" spans="1:3" x14ac:dyDescent="0.3">
      <c r="A884" s="317" t="s">
        <v>3303</v>
      </c>
      <c r="B884" s="318">
        <f>(SQRT(SYSTEMAREA.T*PI()/4)/WINDspeed.T)/(3600*24)</f>
        <v>38.606909350421624</v>
      </c>
      <c r="C884" s="321" t="s">
        <v>1044</v>
      </c>
    </row>
    <row r="885" spans="1:3" x14ac:dyDescent="0.3">
      <c r="A885" s="317" t="s">
        <v>2997</v>
      </c>
      <c r="B885" s="318">
        <v>55</v>
      </c>
      <c r="C885" s="321" t="s">
        <v>1044</v>
      </c>
    </row>
    <row r="886" spans="1:3" x14ac:dyDescent="0.3">
      <c r="A886" s="317" t="s">
        <v>2592</v>
      </c>
      <c r="B886" s="318">
        <v>55</v>
      </c>
      <c r="C886" s="321" t="s">
        <v>1044</v>
      </c>
    </row>
    <row r="887" spans="1:3" x14ac:dyDescent="0.3">
      <c r="A887" s="317" t="s">
        <v>3313</v>
      </c>
      <c r="B887" s="318">
        <v>55</v>
      </c>
      <c r="C887" s="321" t="s">
        <v>1044</v>
      </c>
    </row>
    <row r="888" spans="1:3" x14ac:dyDescent="0.3">
      <c r="A888" s="317" t="s">
        <v>2009</v>
      </c>
      <c r="B888" s="318">
        <v>365</v>
      </c>
      <c r="C888" s="317" t="s">
        <v>1044</v>
      </c>
    </row>
    <row r="889" spans="1:3" x14ac:dyDescent="0.3">
      <c r="A889" s="321" t="s">
        <v>3036</v>
      </c>
      <c r="B889" s="318">
        <f>(80/24)*(1-RAINrate.A/(0.0013/3600))*(3600*24)</f>
        <v>281677.55532139097</v>
      </c>
      <c r="C889" s="321" t="s">
        <v>1633</v>
      </c>
    </row>
    <row r="890" spans="1:3" x14ac:dyDescent="0.3">
      <c r="A890" s="321" t="s">
        <v>2099</v>
      </c>
      <c r="B890" s="318">
        <f>(80/24)*(1-RAINrate.C/(0.0013/3600))*(3600*24)</f>
        <v>270297.15489989461</v>
      </c>
      <c r="C890" s="321" t="s">
        <v>1633</v>
      </c>
    </row>
    <row r="891" spans="1:3" x14ac:dyDescent="0.3">
      <c r="A891" s="321" t="s">
        <v>2660</v>
      </c>
      <c r="B891" s="318">
        <f>(80/24)*(1-RAINrate.M/(0.0013/3600))*(3600*24)</f>
        <v>270297.15489989461</v>
      </c>
      <c r="C891" s="321" t="s">
        <v>1633</v>
      </c>
    </row>
    <row r="892" spans="1:3" x14ac:dyDescent="0.3">
      <c r="A892" s="321" t="s">
        <v>1189</v>
      </c>
      <c r="B892" s="318">
        <f>(80/24)*(1-RAINrate.R/(0.0013/3600))*(3600*24)</f>
        <v>270297.15489989461</v>
      </c>
      <c r="C892" s="321" t="s">
        <v>1633</v>
      </c>
    </row>
    <row r="893" spans="1:3" x14ac:dyDescent="0.3">
      <c r="A893" s="321" t="s">
        <v>3350</v>
      </c>
      <c r="B893" s="318">
        <f>(80/24)*(1-RAINrate.T/(0.0013/3600))*(3600*24)</f>
        <v>255123.28767123289</v>
      </c>
      <c r="C893" s="321" t="s">
        <v>1633</v>
      </c>
    </row>
    <row r="894" spans="1:3" ht="14.5" x14ac:dyDescent="0.3">
      <c r="A894" s="321" t="s">
        <v>3003</v>
      </c>
      <c r="B894" s="318">
        <v>-10</v>
      </c>
      <c r="C894" s="321" t="s">
        <v>585</v>
      </c>
    </row>
    <row r="895" spans="1:3" ht="14.5" x14ac:dyDescent="0.3">
      <c r="A895" s="321" t="s">
        <v>739</v>
      </c>
      <c r="B895" s="321">
        <v>12</v>
      </c>
      <c r="C895" s="321" t="s">
        <v>585</v>
      </c>
    </row>
    <row r="896" spans="1:3" ht="14.5" x14ac:dyDescent="0.3">
      <c r="A896" s="317" t="s">
        <v>2599</v>
      </c>
      <c r="B896" s="318">
        <v>12</v>
      </c>
      <c r="C896" s="317" t="s">
        <v>585</v>
      </c>
    </row>
    <row r="897" spans="1:3" ht="14.5" x14ac:dyDescent="0.3">
      <c r="A897" s="321" t="s">
        <v>687</v>
      </c>
      <c r="B897" s="321">
        <v>12</v>
      </c>
      <c r="C897" s="321" t="s">
        <v>585</v>
      </c>
    </row>
    <row r="898" spans="1:3" ht="14.5" x14ac:dyDescent="0.3">
      <c r="A898" s="317" t="s">
        <v>3319</v>
      </c>
      <c r="B898" s="323">
        <v>25</v>
      </c>
      <c r="C898" s="317" t="s">
        <v>585</v>
      </c>
    </row>
    <row r="899" spans="1:3" x14ac:dyDescent="0.3">
      <c r="A899" s="317" t="s">
        <v>3082</v>
      </c>
      <c r="B899" s="318">
        <f>EXP((Ea.OHrad/8.314)*(TEMP.A-298)/298^2)</f>
        <v>0.75244236176784551</v>
      </c>
      <c r="C899" s="317" t="s">
        <v>291</v>
      </c>
    </row>
    <row r="900" spans="1:3" x14ac:dyDescent="0.3">
      <c r="A900" s="317" t="s">
        <v>2184</v>
      </c>
      <c r="B900" s="318">
        <f>EXP((Ea.OHrad/8.314)*(TEMP.C-298)/298^2)</f>
        <v>0.89974332049812744</v>
      </c>
      <c r="C900" s="317" t="s">
        <v>291</v>
      </c>
    </row>
    <row r="901" spans="1:3" x14ac:dyDescent="0.3">
      <c r="A901" s="317" t="s">
        <v>2724</v>
      </c>
      <c r="B901" s="318">
        <f>EXP((Ea.OHrad/8.314)*(TEMP.M-298)/298^2)</f>
        <v>0.89974332049812744</v>
      </c>
      <c r="C901" s="317" t="s">
        <v>291</v>
      </c>
    </row>
    <row r="902" spans="1:3" x14ac:dyDescent="0.3">
      <c r="A902" s="317" t="s">
        <v>1343</v>
      </c>
      <c r="B902" s="318">
        <f>EXP((Ea.OHrad/8.314)*(TEMP.R-298)/298^2)</f>
        <v>0.89974332049812744</v>
      </c>
      <c r="C902" s="317" t="s">
        <v>291</v>
      </c>
    </row>
    <row r="903" spans="1:3" x14ac:dyDescent="0.3">
      <c r="A903" s="317" t="s">
        <v>3393</v>
      </c>
      <c r="B903" s="318">
        <f>EXP((Ea.OHrad/8.314)*(TEMP.T-298)/298^2)</f>
        <v>1</v>
      </c>
      <c r="C903" s="317" t="s">
        <v>291</v>
      </c>
    </row>
    <row r="904" spans="1:3" x14ac:dyDescent="0.3">
      <c r="A904" s="317" t="s">
        <v>3088</v>
      </c>
      <c r="B904" s="323">
        <f>Q.10^((TEMP.A-298)/10)</f>
        <v>8.8388347648318447E-2</v>
      </c>
      <c r="C904" s="317" t="s">
        <v>291</v>
      </c>
    </row>
    <row r="905" spans="1:3" x14ac:dyDescent="0.3">
      <c r="A905" s="317" t="s">
        <v>2191</v>
      </c>
      <c r="B905" s="318">
        <f>Q.10^((TEMP.C-298)/10)</f>
        <v>0.40612619817811774</v>
      </c>
      <c r="C905" s="317" t="s">
        <v>291</v>
      </c>
    </row>
    <row r="906" spans="1:3" x14ac:dyDescent="0.3">
      <c r="A906" s="317" t="s">
        <v>2733</v>
      </c>
      <c r="B906" s="318">
        <f>Q.10^((TEMP.M-298)/10)</f>
        <v>0.40612619817811774</v>
      </c>
      <c r="C906" s="317" t="s">
        <v>291</v>
      </c>
    </row>
    <row r="907" spans="1:3" x14ac:dyDescent="0.3">
      <c r="A907" s="317" t="s">
        <v>1359</v>
      </c>
      <c r="B907" s="318">
        <f>Q.10^((TEMP.R-298)/10)</f>
        <v>0.40612619817811774</v>
      </c>
      <c r="C907" s="317" t="s">
        <v>291</v>
      </c>
    </row>
    <row r="908" spans="1:3" x14ac:dyDescent="0.3">
      <c r="A908" s="317" t="s">
        <v>3398</v>
      </c>
      <c r="B908" s="318">
        <f>Q.10^((TEMP.T-298)/10)</f>
        <v>1</v>
      </c>
      <c r="C908" s="317" t="s">
        <v>291</v>
      </c>
    </row>
    <row r="909" spans="1:3" ht="39" x14ac:dyDescent="0.3">
      <c r="A909" s="321" t="s">
        <v>584</v>
      </c>
      <c r="B909" s="324" t="s">
        <v>4658</v>
      </c>
      <c r="C909" s="321" t="s">
        <v>585</v>
      </c>
    </row>
    <row r="910" spans="1:3" x14ac:dyDescent="0.3">
      <c r="A910" s="321" t="s">
        <v>3037</v>
      </c>
      <c r="B910" s="318">
        <f>(80/24)*(RAINrate.A/(0.0013/3600))*(3600*24)</f>
        <v>6322.444678609063</v>
      </c>
      <c r="C910" s="321" t="s">
        <v>1633</v>
      </c>
    </row>
    <row r="911" spans="1:3" x14ac:dyDescent="0.3">
      <c r="A911" s="321" t="s">
        <v>2100</v>
      </c>
      <c r="B911" s="318">
        <f>(80/24)*(RAINrate.C/(0.0013/3600))*(3600*24)</f>
        <v>17702.845100105376</v>
      </c>
      <c r="C911" s="321" t="s">
        <v>1633</v>
      </c>
    </row>
    <row r="912" spans="1:3" x14ac:dyDescent="0.3">
      <c r="A912" s="321" t="s">
        <v>2661</v>
      </c>
      <c r="B912" s="318">
        <f>(80/24)*(RAINrate.M/(0.0013/3600))*(3600*24)</f>
        <v>17702.845100105376</v>
      </c>
      <c r="C912" s="321" t="s">
        <v>1633</v>
      </c>
    </row>
    <row r="913" spans="1:3" x14ac:dyDescent="0.3">
      <c r="A913" s="321" t="s">
        <v>1192</v>
      </c>
      <c r="B913" s="318">
        <f>(80/24)*(RAINrate.R/(0.0013/3600))*(3600*24)</f>
        <v>17702.845100105376</v>
      </c>
      <c r="C913" s="321" t="s">
        <v>1633</v>
      </c>
    </row>
    <row r="914" spans="1:3" x14ac:dyDescent="0.3">
      <c r="A914" s="321" t="s">
        <v>3351</v>
      </c>
      <c r="B914" s="318">
        <f>(80/24)*(RAINrate.T/(0.0013/3600))*(3600*24)</f>
        <v>32876.712328767127</v>
      </c>
      <c r="C914" s="321" t="s">
        <v>1633</v>
      </c>
    </row>
    <row r="915" spans="1:3" ht="14.5" x14ac:dyDescent="0.3">
      <c r="A915" s="317" t="s">
        <v>4659</v>
      </c>
      <c r="B915" s="318">
        <f>(MTCas.air.aC*MTCas.soil.sC)/(MTCas.air.aC+MTCas.soil.sC/((Kaw.C*FRorig.s1w)/Ks1w.C))*SYSTEMAREA.C*AREAFRAC.s1C*CORRvolat.s1C</f>
        <v>4.9731230715261738E-19</v>
      </c>
      <c r="C915" s="317" t="s">
        <v>1058</v>
      </c>
    </row>
    <row r="916" spans="1:3" ht="14.5" x14ac:dyDescent="0.3">
      <c r="A916" s="317" t="s">
        <v>4660</v>
      </c>
      <c r="B916" s="318">
        <v>3.1223453934029976E-20</v>
      </c>
      <c r="C916" s="317" t="s">
        <v>1058</v>
      </c>
    </row>
    <row r="917" spans="1:3" ht="14.5" x14ac:dyDescent="0.3">
      <c r="A917" s="317" t="s">
        <v>4661</v>
      </c>
      <c r="B917" s="318">
        <f>(MTCas.air.aC*MTCas.soil.sC)/(MTCas.air.aC+MTCas.soil.sC/((Kaw.C*FRorig.s2w)/Ks2w.C))*SYSTEMAREA.C*AREAFRAC.s2C*CORRvolat.s2C</f>
        <v>2.0115917417957198E-18</v>
      </c>
      <c r="C917" s="317" t="s">
        <v>1058</v>
      </c>
    </row>
    <row r="918" spans="1:3" ht="14.5" x14ac:dyDescent="0.3">
      <c r="A918" s="317" t="s">
        <v>4662</v>
      </c>
      <c r="B918" s="318">
        <v>1.2629657698127048E-19</v>
      </c>
      <c r="C918" s="317" t="s">
        <v>1058</v>
      </c>
    </row>
    <row r="919" spans="1:3" ht="14.5" x14ac:dyDescent="0.3">
      <c r="A919" s="317" t="s">
        <v>4663</v>
      </c>
      <c r="B919" s="318">
        <f>(MTCas.air.aC*MTCas.soil.sC)/(MTCas.air.aC+MTCas.soil.sC/((Kaw.C*FRorig.s3w)/Ks3w.C))*SYSTEMAREA.C*AREAFRAC.s3C*CORRvolat.s3C</f>
        <v>1.8418974338985822E-19</v>
      </c>
      <c r="C919" s="317" t="s">
        <v>1058</v>
      </c>
    </row>
    <row r="920" spans="1:3" ht="14.5" x14ac:dyDescent="0.3">
      <c r="A920" s="317" t="s">
        <v>4664</v>
      </c>
      <c r="B920" s="318">
        <v>1.1564242197788877E-20</v>
      </c>
      <c r="C920" s="317" t="s">
        <v>1058</v>
      </c>
    </row>
    <row r="921" spans="1:3" ht="14.5" x14ac:dyDescent="0.3">
      <c r="A921" s="317" t="s">
        <v>4665</v>
      </c>
      <c r="B921" s="318">
        <f>(MTCas.air.aA*MTCas.soil.sA/(MTCas.air.aA+MTCas.soil.sA/((Kaw.A*FRorig.s1w)/Ksw.A)*(SYSTEMAREA.A*AREAFRAC.sA*CORRvolat.sA)))</f>
        <v>4.2868230882584352E-50</v>
      </c>
      <c r="C921" s="321" t="s">
        <v>1058</v>
      </c>
    </row>
    <row r="922" spans="1:3" ht="14.5" x14ac:dyDescent="0.3">
      <c r="A922" s="317" t="s">
        <v>4666</v>
      </c>
      <c r="B922" s="318">
        <f>(MTCas.air.aM*MTCas.soil.sM/(MTCas.air.aM+MTCas.soil.sM/((Kaw.M*FRorig.s1w)/Ksw.M)*(SYSTEMAREA.M*AREAFRAC.sM*CORRvolat.sM)))</f>
        <v>8.436637276761781E-45</v>
      </c>
      <c r="C922" s="321" t="s">
        <v>1058</v>
      </c>
    </row>
    <row r="923" spans="1:3" ht="14.5" x14ac:dyDescent="0.3">
      <c r="A923" s="317" t="s">
        <v>4667</v>
      </c>
      <c r="B923" s="318">
        <f>(MTCas.air.aT*MTCas.soil.sT/(MTCas.air.aT+MTCas.soil.sT/((Kaw.T*FRorig.s1w)/Ksw.T)*(SYSTEMAREA.T*AREAFRAC.sT*CORRvolat.sT)))</f>
        <v>7.5634971766479648E-42</v>
      </c>
      <c r="C923" s="321" t="s">
        <v>1058</v>
      </c>
    </row>
    <row r="924" spans="1:3" ht="14.5" x14ac:dyDescent="0.3">
      <c r="A924" s="317" t="s">
        <v>4668</v>
      </c>
      <c r="B924" s="318">
        <f>(MTCaw.air.aC*MTCaw.water.wC/(FRorig.w1*MTCaw.air.aC*Kaw.C+MTCaw.water.wC))*Kaw.C*(FRw.w0C*FRorig.w1)*(SYSTEMAREA.C*AREAFRAC.w0C)</f>
        <v>4.6475597939825327E-16</v>
      </c>
      <c r="C924" s="317" t="s">
        <v>1058</v>
      </c>
    </row>
    <row r="925" spans="1:3" ht="14.5" x14ac:dyDescent="0.3">
      <c r="A925" s="317" t="s">
        <v>4669</v>
      </c>
      <c r="B925" s="318" t="e">
        <v>#NAME?</v>
      </c>
      <c r="C925" s="317" t="s">
        <v>1058</v>
      </c>
    </row>
    <row r="926" spans="1:3" ht="14.5" x14ac:dyDescent="0.3">
      <c r="A926" s="317" t="s">
        <v>4670</v>
      </c>
      <c r="B926" s="318">
        <f>(MTCaw.air.aC*MTCaw.water.wC/(FRorig.w1*MTCaw.air.aC*Kaw.C+MTCaw.water.wC))*Kaw.C*(FRw.w1C*FRorig.w1)*(SYSTEMAREA.C*AREAFRAC.w1C)</f>
        <v>2.2085730292866289E-15</v>
      </c>
      <c r="C926" s="317" t="s">
        <v>1058</v>
      </c>
    </row>
    <row r="927" spans="1:3" ht="14.5" x14ac:dyDescent="0.3">
      <c r="A927" s="317" t="s">
        <v>4671</v>
      </c>
      <c r="B927" s="318" t="e">
        <v>#NAME?</v>
      </c>
      <c r="C927" s="317" t="s">
        <v>1058</v>
      </c>
    </row>
    <row r="928" spans="1:3" ht="14.5" x14ac:dyDescent="0.3">
      <c r="A928" s="317" t="s">
        <v>4672</v>
      </c>
      <c r="B928" s="318">
        <f>(MTCaw.air.aA*MTCaw.water.wA/(FRorig.w1*MTCaw.air.aA*Kaw.A+MTCaw.water.wA))*Kaw.A*(FRw.w2A*FRorig.w1)*(SYSTEMAREA.A*AREAFRAC.wA)</f>
        <v>2.1510517262191325E-18</v>
      </c>
      <c r="C928" s="321" t="s">
        <v>1058</v>
      </c>
    </row>
    <row r="929" spans="1:3" ht="14.5" x14ac:dyDescent="0.3">
      <c r="A929" s="317" t="s">
        <v>4673</v>
      </c>
      <c r="B929" s="318">
        <f>(MTCaw.air.aC*MTCaw.water.wC/(FRorig.w2*MTCaw.air.aC*Kaw.C+MTCaw.water.wC))*Kaw.C*(FRw.w2C*FRorig.w2)*(SYSTEMAREA.C*AREAFRAC.w2C)</f>
        <v>1.4064972049126101E-13</v>
      </c>
      <c r="C929" s="317" t="s">
        <v>1058</v>
      </c>
    </row>
    <row r="930" spans="1:3" ht="14.5" x14ac:dyDescent="0.3">
      <c r="A930" s="317" t="s">
        <v>4674</v>
      </c>
      <c r="B930" s="318">
        <f>(MTCaw.air.aM*MTCaw.water.wM/(FRorig.w1*MTCaw.air.aM*Kaw.M+MTCaw.water.wM))*Kaw.M*(FRw.w2M*FRorig.w1)*(SYSTEMAREA.M*AREAFRAC.wM)</f>
        <v>1.4690493084762113E-12</v>
      </c>
      <c r="C930" s="321" t="s">
        <v>1058</v>
      </c>
    </row>
    <row r="931" spans="1:3" ht="14.5" x14ac:dyDescent="0.3">
      <c r="A931" s="317" t="s">
        <v>4675</v>
      </c>
      <c r="B931" s="318" t="e">
        <v>#NAME?</v>
      </c>
      <c r="C931" s="317" t="s">
        <v>1058</v>
      </c>
    </row>
    <row r="932" spans="1:3" ht="14.5" x14ac:dyDescent="0.3">
      <c r="A932" s="317" t="s">
        <v>4676</v>
      </c>
      <c r="B932" s="318">
        <f>(MTCaw.air.aT*MTCaw.water.wT/(FRorig.w1*MTCaw.air.aT*Kaw.T+MTCaw.water.wT))*Kaw.T*(FRw.w2T*FRorig.w1)*(SYSTEMAREA.T*AREAFRAC.wT)</f>
        <v>2.9887425354296049E-9</v>
      </c>
      <c r="C932" s="321" t="s">
        <v>1058</v>
      </c>
    </row>
    <row r="933" spans="1:3" ht="14.5" x14ac:dyDescent="0.3">
      <c r="A933" s="317" t="s">
        <v>2954</v>
      </c>
      <c r="B933" s="318">
        <f>SYSTEMAREA.A*HEIGHT.aA</f>
        <v>4.25E+16</v>
      </c>
      <c r="C933" s="321" t="s">
        <v>950</v>
      </c>
    </row>
    <row r="934" spans="1:3" ht="14.5" x14ac:dyDescent="0.3">
      <c r="A934" s="317" t="s">
        <v>1927</v>
      </c>
      <c r="B934" s="318">
        <f>SYSTEMAREA.C*HEIGHT.aC</f>
        <v>7199250000000000</v>
      </c>
      <c r="C934" s="321" t="s">
        <v>950</v>
      </c>
    </row>
    <row r="935" spans="1:3" ht="14.5" x14ac:dyDescent="0.3">
      <c r="A935" s="317" t="s">
        <v>2525</v>
      </c>
      <c r="B935" s="318">
        <f>SYSTEMAREA.M*HEIGHT.aM</f>
        <v>7.757118E+16</v>
      </c>
      <c r="C935" s="321" t="s">
        <v>950</v>
      </c>
    </row>
    <row r="936" spans="1:3" ht="14.5" x14ac:dyDescent="0.3">
      <c r="A936" s="317" t="s">
        <v>949</v>
      </c>
      <c r="B936" s="318">
        <f>SYSTEMAREA.R*HEIGHT.aR</f>
        <v>229570000000000</v>
      </c>
      <c r="C936" s="317" t="s">
        <v>950</v>
      </c>
    </row>
    <row r="937" spans="1:3" ht="14.5" x14ac:dyDescent="0.3">
      <c r="A937" s="317" t="s">
        <v>3277</v>
      </c>
      <c r="B937" s="318">
        <f>SYSTEMAREA.T*HEIGHT.aT</f>
        <v>1.275E+17</v>
      </c>
      <c r="C937" s="317" t="s">
        <v>950</v>
      </c>
    </row>
    <row r="938" spans="1:3" ht="14.5" x14ac:dyDescent="0.3">
      <c r="A938" s="317" t="s">
        <v>1937</v>
      </c>
      <c r="B938" s="318">
        <f>SYSTEMAREA.C*AREAFRAC.s1C*DEPTH.s1C</f>
        <v>47058840000.000015</v>
      </c>
      <c r="C938" s="321" t="s">
        <v>950</v>
      </c>
    </row>
    <row r="939" spans="1:3" ht="14.5" x14ac:dyDescent="0.3">
      <c r="A939" s="317" t="s">
        <v>968</v>
      </c>
      <c r="B939" s="318">
        <f>SYSTEMAREA.R*AREAFRAC.s1R*DEPTH.s1R</f>
        <v>3085695000.0000005</v>
      </c>
      <c r="C939" s="317" t="s">
        <v>950</v>
      </c>
    </row>
    <row r="940" spans="1:3" ht="14.5" x14ac:dyDescent="0.3">
      <c r="A940" s="317" t="s">
        <v>1938</v>
      </c>
      <c r="B940" s="318">
        <f>SYSTEMAREA.C*AREAFRAC.s2C*DEPTH.s2C</f>
        <v>418300800000.00006</v>
      </c>
      <c r="C940" s="321" t="s">
        <v>950</v>
      </c>
    </row>
    <row r="941" spans="1:3" ht="14.5" x14ac:dyDescent="0.3">
      <c r="A941" s="317" t="s">
        <v>970</v>
      </c>
      <c r="B941" s="318">
        <f>SYSTEMAREA.R*AREAFRAC.s2R*DEPTH.s2R</f>
        <v>27428400000</v>
      </c>
      <c r="C941" s="317" t="s">
        <v>950</v>
      </c>
    </row>
    <row r="942" spans="1:3" ht="14.5" x14ac:dyDescent="0.3">
      <c r="A942" s="317" t="s">
        <v>1939</v>
      </c>
      <c r="B942" s="318">
        <f>SYSTEMAREA.C*AREAFRAC.s3C*DEPTH.s3C</f>
        <v>17429200000</v>
      </c>
      <c r="C942" s="321" t="s">
        <v>950</v>
      </c>
    </row>
    <row r="943" spans="1:3" ht="14.5" x14ac:dyDescent="0.3">
      <c r="A943" s="317" t="s">
        <v>972</v>
      </c>
      <c r="B943" s="318">
        <f>SYSTEMAREA.R*AREAFRAC.s3R*DEPTH.s3R</f>
        <v>1142850000</v>
      </c>
      <c r="C943" s="317" t="s">
        <v>950</v>
      </c>
    </row>
    <row r="944" spans="1:3" ht="14.5" x14ac:dyDescent="0.3">
      <c r="A944" s="317" t="s">
        <v>2961</v>
      </c>
      <c r="B944" s="318">
        <f>SYSTEMAREA.A*DEPTH.sA*AREAFRAC.sA</f>
        <v>850000000000</v>
      </c>
      <c r="C944" s="321" t="s">
        <v>950</v>
      </c>
    </row>
    <row r="945" spans="1:3" ht="14.5" x14ac:dyDescent="0.3">
      <c r="A945" s="317" t="s">
        <v>1935</v>
      </c>
      <c r="B945" s="318">
        <f>SYSTEMAREA.C*AREAFRAC.w1C*DEPTH.sd1C</f>
        <v>2875818000</v>
      </c>
      <c r="C945" s="321" t="s">
        <v>950</v>
      </c>
    </row>
    <row r="946" spans="1:3" ht="14.5" x14ac:dyDescent="0.3">
      <c r="A946" s="317" t="s">
        <v>964</v>
      </c>
      <c r="B946" s="318">
        <f>SYSTEMAREA.R*AREAFRAC.w1R*DEPTH.sd1R</f>
        <v>188570250</v>
      </c>
      <c r="C946" s="317" t="s">
        <v>950</v>
      </c>
    </row>
    <row r="947" spans="1:3" ht="14.5" x14ac:dyDescent="0.3">
      <c r="A947" s="317" t="s">
        <v>1936</v>
      </c>
      <c r="B947" s="318">
        <f>SYSTEMAREA.C*AREAFRAC.w2C*DEPTH.sd2C</f>
        <v>111402300000</v>
      </c>
      <c r="C947" s="321" t="s">
        <v>950</v>
      </c>
    </row>
    <row r="948" spans="1:3" ht="14.5" x14ac:dyDescent="0.3">
      <c r="A948" s="317" t="s">
        <v>966</v>
      </c>
      <c r="B948" s="318">
        <f>SYSTEMAREA.R*AREAFRAC.w2R*DEPTH.sd2R</f>
        <v>30000000.00000003</v>
      </c>
      <c r="C948" s="317" t="s">
        <v>950</v>
      </c>
    </row>
    <row r="949" spans="1:3" ht="14.5" x14ac:dyDescent="0.3">
      <c r="A949" s="317" t="s">
        <v>2960</v>
      </c>
      <c r="B949" s="318">
        <f>SYSTEMAREA.A*DEPTH.sdA*AREAFRAC.wA</f>
        <v>765000000000</v>
      </c>
      <c r="C949" s="321" t="s">
        <v>950</v>
      </c>
    </row>
    <row r="950" spans="1:3" ht="14.5" x14ac:dyDescent="0.3">
      <c r="A950" s="317" t="s">
        <v>2532</v>
      </c>
      <c r="B950" s="318">
        <f>SYSTEMAREA.M*DEPTH.sdM*AREAFRAC.wM</f>
        <v>1163567700000</v>
      </c>
      <c r="C950" s="321" t="s">
        <v>950</v>
      </c>
    </row>
    <row r="951" spans="1:3" ht="14.5" x14ac:dyDescent="0.3">
      <c r="A951" s="317" t="s">
        <v>3281</v>
      </c>
      <c r="B951" s="318">
        <f>SYSTEMAREA.T*DEPTH.sdT*AREAFRAC.wT</f>
        <v>2677500000000</v>
      </c>
      <c r="C951" s="317" t="s">
        <v>950</v>
      </c>
    </row>
    <row r="952" spans="1:3" ht="14.5" x14ac:dyDescent="0.3">
      <c r="A952" s="317" t="s">
        <v>2534</v>
      </c>
      <c r="B952" s="318">
        <f>SYSTEMAREA.M*DEPTH.sM*AREAFRAC.sM</f>
        <v>1939279500000</v>
      </c>
      <c r="C952" s="321" t="s">
        <v>950</v>
      </c>
    </row>
    <row r="953" spans="1:3" ht="14.5" x14ac:dyDescent="0.3">
      <c r="A953" s="317" t="s">
        <v>3282</v>
      </c>
      <c r="B953" s="318">
        <f>SYSTEMAREA.T*DEPTH.sT*AREAFRAC.sT</f>
        <v>1912500000000.0002</v>
      </c>
      <c r="C953" s="317" t="s">
        <v>950</v>
      </c>
    </row>
    <row r="954" spans="1:3" ht="14.5" x14ac:dyDescent="0.3">
      <c r="A954" s="317" t="s">
        <v>1930</v>
      </c>
      <c r="B954" s="318">
        <f>SYSTEMAREA.C*AREAFRAC.w0C*DEPTH.w0C</f>
        <v>871460000000</v>
      </c>
      <c r="C954" s="317" t="s">
        <v>950</v>
      </c>
    </row>
    <row r="955" spans="1:3" ht="14.5" x14ac:dyDescent="0.3">
      <c r="A955" s="317" t="s">
        <v>956</v>
      </c>
      <c r="B955" s="318">
        <f>SYSTEMAREA.R*AREAFRAC.w0R*DEPTH.w0R</f>
        <v>57142500000</v>
      </c>
      <c r="C955" s="317" t="s">
        <v>950</v>
      </c>
    </row>
    <row r="956" spans="1:3" ht="14.5" x14ac:dyDescent="0.3">
      <c r="A956" s="317" t="s">
        <v>1931</v>
      </c>
      <c r="B956" s="318">
        <f>SYSTEMAREA.C*AREAFRAC.w1C*DEPTH.w1C</f>
        <v>287581800000</v>
      </c>
      <c r="C956" s="321" t="s">
        <v>950</v>
      </c>
    </row>
    <row r="957" spans="1:3" ht="14.5" x14ac:dyDescent="0.3">
      <c r="A957" s="317" t="s">
        <v>958</v>
      </c>
      <c r="B957" s="318">
        <f>SYSTEMAREA.R*AREAFRAC.w1R*DEPTH.w1R</f>
        <v>18857025000</v>
      </c>
      <c r="C957" s="317" t="s">
        <v>950</v>
      </c>
    </row>
    <row r="958" spans="1:3" ht="14.5" x14ac:dyDescent="0.3">
      <c r="A958" s="317" t="s">
        <v>2957</v>
      </c>
      <c r="B958" s="318">
        <f>SYSTEMAREA.A*DEPTH.w2A*AREAFRAC.wA</f>
        <v>2550000000000000</v>
      </c>
      <c r="C958" s="321" t="s">
        <v>950</v>
      </c>
    </row>
    <row r="959" spans="1:3" ht="14.5" x14ac:dyDescent="0.3">
      <c r="A959" s="317" t="s">
        <v>1932</v>
      </c>
      <c r="B959" s="318">
        <f>SYSTEMAREA.C*AREAFRAC.w2C*DEPTH.w2C</f>
        <v>742682000000000</v>
      </c>
      <c r="C959" s="321" t="s">
        <v>950</v>
      </c>
    </row>
    <row r="960" spans="1:3" ht="14.5" x14ac:dyDescent="0.3">
      <c r="A960" s="317" t="s">
        <v>2528</v>
      </c>
      <c r="B960" s="318">
        <f>SYSTEMAREA.M*DEPTH.w2M*AREAFRAC.wM</f>
        <v>3878559000000000</v>
      </c>
      <c r="C960" s="321" t="s">
        <v>950</v>
      </c>
    </row>
    <row r="961" spans="1:3" ht="14.5" x14ac:dyDescent="0.3">
      <c r="A961" s="317" t="s">
        <v>960</v>
      </c>
      <c r="B961" s="318">
        <f>SYSTEMAREA.R*AREAFRAC.w2R*DEPTH.w2R</f>
        <v>10000000000.000011</v>
      </c>
      <c r="C961" s="317" t="s">
        <v>950</v>
      </c>
    </row>
    <row r="962" spans="1:3" ht="14.5" x14ac:dyDescent="0.3">
      <c r="A962" s="317" t="s">
        <v>3279</v>
      </c>
      <c r="B962" s="318">
        <f>SYSTEMAREA.T*DEPTH.w2T*AREAFRAC.wT</f>
        <v>8924999999999999</v>
      </c>
      <c r="C962" s="321" t="s">
        <v>950</v>
      </c>
    </row>
    <row r="963" spans="1:3" ht="14.5" x14ac:dyDescent="0.3">
      <c r="A963" s="317" t="s">
        <v>2959</v>
      </c>
      <c r="B963" s="318">
        <f>SYSTEMAREA.A*DEPTH.w3A*AREAFRAC.wA</f>
        <v>7.65E+16</v>
      </c>
      <c r="C963" s="321" t="s">
        <v>950</v>
      </c>
    </row>
    <row r="964" spans="1:3" ht="14.5" x14ac:dyDescent="0.3">
      <c r="A964" s="317" t="s">
        <v>2530</v>
      </c>
      <c r="B964" s="318">
        <f>SYSTEMAREA.M*DEPTH.w3M*AREAFRAC.wM</f>
        <v>1.1635677E+17</v>
      </c>
      <c r="C964" s="321" t="s">
        <v>950</v>
      </c>
    </row>
    <row r="965" spans="1:3" ht="14.5" x14ac:dyDescent="0.3">
      <c r="A965" s="317" t="s">
        <v>3280</v>
      </c>
      <c r="B965" s="318">
        <f>SYSTEMAREA.T*DEPTH.w3T*AREAFRAC.wT</f>
        <v>2.6774999999999997E+17</v>
      </c>
      <c r="C965" s="321" t="s">
        <v>950</v>
      </c>
    </row>
    <row r="966" spans="1:3" ht="14.5" x14ac:dyDescent="0.3">
      <c r="A966" s="319" t="s">
        <v>1991</v>
      </c>
      <c r="B966" s="318">
        <f>0.1*WATERflow.w1C.w2C</f>
        <v>2089.1164383561645</v>
      </c>
      <c r="C966" s="317" t="s">
        <v>1058</v>
      </c>
    </row>
    <row r="967" spans="1:3" ht="14.5" x14ac:dyDescent="0.3">
      <c r="A967" s="319" t="s">
        <v>1993</v>
      </c>
      <c r="B967" s="318">
        <v>0</v>
      </c>
      <c r="C967" s="317" t="s">
        <v>1058</v>
      </c>
    </row>
    <row r="968" spans="1:3" ht="14.5" x14ac:dyDescent="0.3">
      <c r="A968" s="319" t="s">
        <v>1057</v>
      </c>
      <c r="B968" s="318">
        <f>0.1*WATERflow.w2R.w2C</f>
        <v>1369.8544520547946</v>
      </c>
      <c r="C968" s="317" t="s">
        <v>1058</v>
      </c>
    </row>
    <row r="969" spans="1:3" ht="14.5" x14ac:dyDescent="0.3">
      <c r="A969" s="319" t="s">
        <v>1061</v>
      </c>
      <c r="B969" s="318">
        <v>0</v>
      </c>
      <c r="C969" s="317" t="s">
        <v>1058</v>
      </c>
    </row>
    <row r="970" spans="1:3" ht="14.5" x14ac:dyDescent="0.3">
      <c r="A970" s="319" t="s">
        <v>1995</v>
      </c>
      <c r="B970" s="318">
        <v>0</v>
      </c>
      <c r="C970" s="317" t="s">
        <v>1058</v>
      </c>
    </row>
    <row r="971" spans="1:3" ht="14.5" x14ac:dyDescent="0.3">
      <c r="A971" s="319" t="s">
        <v>1997</v>
      </c>
      <c r="B971" s="318">
        <f>((AREAFRAC.w1C+AREAFRAC.s1C*FRACrun.s1C+AREAFRAC.s2C*FRACrun.s2C+AREAFRAC.s3C*FRACrun.s3C)*RAINrate.C*SYSTEMAREA.C+WATERflow.w0C.w1C)*FRAC.w1C.w1R</f>
        <v>0</v>
      </c>
      <c r="C971" s="321" t="s">
        <v>1058</v>
      </c>
    </row>
    <row r="972" spans="1:3" ht="14.5" x14ac:dyDescent="0.3">
      <c r="A972" s="319" t="s">
        <v>1999</v>
      </c>
      <c r="B972" s="318">
        <f>((AREAFRAC.w1C+AREAFRAC.s1C*FRACrun.s1C+AREAFRAC.s2C*FRACrun.s2C+AREAFRAC.s3C*FRACrun.s3C)*RAINrate.C*SYSTEMAREA.C)*(1-FRAC.w1C.w1R)</f>
        <v>20891.164383561645</v>
      </c>
      <c r="C972" s="321" t="s">
        <v>1058</v>
      </c>
    </row>
    <row r="973" spans="1:3" ht="14.5" x14ac:dyDescent="0.3">
      <c r="A973" s="319" t="s">
        <v>1063</v>
      </c>
      <c r="B973" s="318">
        <v>0</v>
      </c>
      <c r="C973" s="317" t="s">
        <v>1058</v>
      </c>
    </row>
    <row r="974" spans="1:3" ht="14.5" x14ac:dyDescent="0.3">
      <c r="A974" s="319" t="s">
        <v>1065</v>
      </c>
      <c r="B974" s="318" t="e">
        <f>((AREAFRAC.w1R+AREAFRAC.s1R*FRACrun.s1R+AREAFRACs2R*FRACrun.s2R+AREAFRAC.s3R*FRACrun.s3R)*RAINrate.R*SYSTEMAREA.R+WATERflow.w1C.w1R)*(1-FRAC.w1R.w1C)</f>
        <v>#NAME?</v>
      </c>
      <c r="C974" s="317" t="s">
        <v>1058</v>
      </c>
    </row>
    <row r="975" spans="1:3" ht="14.5" x14ac:dyDescent="0.3">
      <c r="A975" s="319" t="s">
        <v>2991</v>
      </c>
      <c r="B975" s="318">
        <f>0</f>
        <v>0</v>
      </c>
      <c r="C975" s="321" t="s">
        <v>1058</v>
      </c>
    </row>
    <row r="976" spans="1:3" ht="14.5" x14ac:dyDescent="0.3">
      <c r="A976" s="319" t="s">
        <v>2007</v>
      </c>
      <c r="B976" s="318">
        <f>(VOLUME.w2C/TAU.w2C)-WATERflow.w2R.w2C</f>
        <v>23536593.185565703</v>
      </c>
      <c r="C976" s="321" t="s">
        <v>1058</v>
      </c>
    </row>
    <row r="977" spans="1:3" ht="14.5" x14ac:dyDescent="0.3">
      <c r="A977" s="319" t="s">
        <v>2005</v>
      </c>
      <c r="B977" s="318">
        <f>(10-1)*WATERflow.w1R.w2R</f>
        <v>12328.69006849315</v>
      </c>
      <c r="C977" s="321" t="s">
        <v>1058</v>
      </c>
    </row>
    <row r="978" spans="1:3" ht="14.5" x14ac:dyDescent="0.3">
      <c r="A978" s="319" t="s">
        <v>2580</v>
      </c>
      <c r="B978" s="318">
        <f>OceanCurrent</f>
        <v>150000000</v>
      </c>
      <c r="C978" s="321" t="s">
        <v>1058</v>
      </c>
    </row>
    <row r="979" spans="1:3" ht="14.5" x14ac:dyDescent="0.3">
      <c r="A979" s="319" t="s">
        <v>2578</v>
      </c>
      <c r="B979" s="318">
        <f>WATERflow.w2C.w2M</f>
        <v>23536593.185565703</v>
      </c>
      <c r="C979" s="321" t="s">
        <v>1058</v>
      </c>
    </row>
    <row r="980" spans="1:3" ht="14.5" x14ac:dyDescent="0.3">
      <c r="A980" s="319" t="s">
        <v>2582</v>
      </c>
      <c r="B980" s="318">
        <f>0</f>
        <v>0</v>
      </c>
      <c r="C980" s="321" t="s">
        <v>1058</v>
      </c>
    </row>
    <row r="981" spans="1:3" ht="14.5" x14ac:dyDescent="0.3">
      <c r="A981" s="319" t="s">
        <v>1067</v>
      </c>
      <c r="B981" s="318">
        <f>WATERflow.w1R.w2R+WATERflow.w2C.w2R</f>
        <v>13698.544520547945</v>
      </c>
      <c r="C981" s="317" t="s">
        <v>1058</v>
      </c>
    </row>
    <row r="982" spans="1:3" ht="14.5" x14ac:dyDescent="0.3">
      <c r="A982" s="319" t="s">
        <v>3309</v>
      </c>
      <c r="B982" s="318">
        <f>OceanCurrent</f>
        <v>150000000</v>
      </c>
      <c r="C982" s="321" t="s">
        <v>1058</v>
      </c>
    </row>
    <row r="983" spans="1:3" ht="14.5" x14ac:dyDescent="0.3">
      <c r="A983" s="317" t="s">
        <v>3051</v>
      </c>
      <c r="B983" s="318">
        <v>3</v>
      </c>
      <c r="C983" s="320" t="s">
        <v>1195</v>
      </c>
    </row>
    <row r="984" spans="1:3" ht="14.5" x14ac:dyDescent="0.3">
      <c r="A984" s="321" t="s">
        <v>740</v>
      </c>
      <c r="B984" s="321">
        <v>3</v>
      </c>
      <c r="C984" s="321" t="s">
        <v>690</v>
      </c>
    </row>
    <row r="985" spans="1:3" ht="14.5" x14ac:dyDescent="0.3">
      <c r="A985" s="317" t="s">
        <v>2679</v>
      </c>
      <c r="B985" s="318">
        <v>3</v>
      </c>
      <c r="C985" s="320" t="s">
        <v>1195</v>
      </c>
    </row>
    <row r="986" spans="1:3" ht="14.5" x14ac:dyDescent="0.3">
      <c r="A986" s="321" t="s">
        <v>689</v>
      </c>
      <c r="B986" s="321">
        <v>3</v>
      </c>
      <c r="C986" s="321" t="s">
        <v>690</v>
      </c>
    </row>
    <row r="987" spans="1:3" ht="14.5" x14ac:dyDescent="0.3">
      <c r="A987" s="317" t="s">
        <v>3364</v>
      </c>
      <c r="B987" s="321">
        <v>3</v>
      </c>
      <c r="C987" s="320" t="s">
        <v>1195</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4677</v>
      </c>
      <c r="X1" s="410" t="s">
        <v>4678</v>
      </c>
      <c r="Y1" s="11"/>
      <c r="Z1" s="11"/>
      <c r="AA1" s="11"/>
      <c r="AB1" s="11"/>
      <c r="AC1" s="11"/>
      <c r="AD1" s="11"/>
      <c r="AE1" s="11">
        <v>5</v>
      </c>
      <c r="AF1" s="11"/>
      <c r="AG1" s="11"/>
      <c r="AH1" s="11"/>
      <c r="AI1" s="11"/>
      <c r="AJ1" s="11"/>
      <c r="AK1" s="410">
        <v>5</v>
      </c>
      <c r="AL1" s="410" t="s">
        <v>4679</v>
      </c>
      <c r="AM1" s="11"/>
      <c r="AN1" s="11"/>
      <c r="AO1" s="11"/>
      <c r="AP1" s="11"/>
      <c r="AQ1" s="11"/>
      <c r="AR1" s="410" t="s">
        <v>4680</v>
      </c>
      <c r="AS1" s="410" t="s">
        <v>4681</v>
      </c>
    </row>
    <row r="2" spans="1:45" ht="12.75" customHeight="1" x14ac:dyDescent="0.35">
      <c r="A2" s="17"/>
      <c r="B2" s="47" t="s">
        <v>52</v>
      </c>
      <c r="C2" s="38"/>
      <c r="D2" s="38"/>
      <c r="E2" s="38"/>
      <c r="F2" s="38"/>
      <c r="G2" s="38"/>
      <c r="H2" s="38"/>
      <c r="I2" s="38"/>
      <c r="J2" s="38"/>
      <c r="K2" s="38"/>
      <c r="L2" s="38"/>
      <c r="M2" s="17"/>
      <c r="N2" s="156"/>
      <c r="O2" s="11"/>
      <c r="P2" t="s">
        <v>4677</v>
      </c>
      <c r="Q2"/>
      <c r="R2" s="11"/>
      <c r="S2" s="11"/>
      <c r="T2" s="11"/>
      <c r="U2" s="11"/>
      <c r="V2" s="11"/>
      <c r="W2" s="11"/>
      <c r="X2"/>
      <c r="Y2" s="11"/>
      <c r="Z2" s="11"/>
      <c r="AA2" s="11"/>
      <c r="AB2" s="11"/>
      <c r="AC2" s="11"/>
      <c r="AD2" s="11"/>
      <c r="AE2" s="471" t="s">
        <v>246</v>
      </c>
      <c r="AF2" s="465"/>
      <c r="AG2" s="465" t="s">
        <v>112</v>
      </c>
      <c r="AH2" s="465" t="s">
        <v>4682</v>
      </c>
      <c r="AI2" s="465" t="s">
        <v>4683</v>
      </c>
      <c r="AJ2" s="466" t="s">
        <v>4684</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246</v>
      </c>
      <c r="R3" s="465" t="s">
        <v>247</v>
      </c>
      <c r="S3" s="465" t="s">
        <v>4685</v>
      </c>
      <c r="T3" s="465" t="s">
        <v>248</v>
      </c>
      <c r="U3" s="465" t="s">
        <v>249</v>
      </c>
      <c r="V3" s="466" t="s">
        <v>4686</v>
      </c>
      <c r="W3" s="11"/>
      <c r="X3"/>
      <c r="Y3" s="11"/>
      <c r="Z3" s="11"/>
      <c r="AA3" s="11"/>
      <c r="AB3" s="11"/>
      <c r="AC3" s="11"/>
      <c r="AD3" s="11"/>
      <c r="AE3" s="960"/>
      <c r="AF3" s="410" t="s">
        <v>4687</v>
      </c>
      <c r="AG3" s="685">
        <f>C12</f>
        <v>8.9624714958651481E-15</v>
      </c>
      <c r="AH3" s="685">
        <f>SUM(C20,C36,C52)</f>
        <v>2843628.1513688848</v>
      </c>
      <c r="AI3" s="685">
        <f>SUM(C28,C44,C68)</f>
        <v>189980172.05620041</v>
      </c>
      <c r="AJ3" s="961">
        <f>SUM(C76,C84,C92)</f>
        <v>25873654470.579758</v>
      </c>
      <c r="AK3" s="11"/>
      <c r="AL3"/>
      <c r="AM3" s="11"/>
      <c r="AN3" s="11"/>
      <c r="AO3" s="11"/>
      <c r="AP3" s="11"/>
      <c r="AQ3" s="11"/>
      <c r="AR3" s="11"/>
      <c r="AS3"/>
    </row>
    <row r="4" spans="1:45" ht="12.75" customHeight="1" x14ac:dyDescent="0.3">
      <c r="A4" s="17"/>
      <c r="B4" s="21" t="s">
        <v>57</v>
      </c>
      <c r="C4" s="38" t="str">
        <f>CONCATENATE(version!$B$2," ",version!$B$3," ",version!$C$3)</f>
        <v>SimpleBox4plastics vs 4.02-plastic 45338</v>
      </c>
      <c r="D4" s="38"/>
      <c r="E4" s="38"/>
      <c r="F4" s="38"/>
      <c r="G4" s="21"/>
      <c r="H4" s="21"/>
      <c r="I4" s="21"/>
      <c r="J4" s="21"/>
      <c r="K4" s="38"/>
      <c r="L4" s="38"/>
      <c r="M4" s="17"/>
      <c r="N4" s="156"/>
      <c r="O4" s="11"/>
      <c r="P4" s="467" t="s">
        <v>112</v>
      </c>
      <c r="Q4" s="685">
        <f>$C$11</f>
        <v>33413.438582467475</v>
      </c>
      <c r="R4" s="11">
        <f>$E$11</f>
        <v>122229.14982520255</v>
      </c>
      <c r="S4" s="685">
        <f>SUM(T4:V4)</f>
        <v>114843.71869031386</v>
      </c>
      <c r="T4" s="11">
        <f>$G$11</f>
        <v>75902.47163171065</v>
      </c>
      <c r="U4" s="11">
        <f>$I$11</f>
        <v>15635.318261719507</v>
      </c>
      <c r="V4" s="962">
        <f>$K$11</f>
        <v>23305.928796883698</v>
      </c>
      <c r="W4" s="11"/>
      <c r="X4" s="11"/>
      <c r="Y4" s="11"/>
      <c r="Z4" s="11"/>
      <c r="AA4" s="11"/>
      <c r="AB4" s="11"/>
      <c r="AC4" s="11"/>
      <c r="AD4" s="11"/>
      <c r="AE4" s="960"/>
      <c r="AF4" s="410" t="s">
        <v>4688</v>
      </c>
      <c r="AG4" s="685">
        <f>C15</f>
        <v>6088.0683363256967</v>
      </c>
      <c r="AH4" s="685">
        <f>SUM(C23,C39,C55)</f>
        <v>224.09794798152484</v>
      </c>
      <c r="AI4" s="685">
        <f>SUM(C31,C47,C71)</f>
        <v>6.4512755972196457E-6</v>
      </c>
      <c r="AJ4" s="961">
        <f>SUM(C79,C87,C95)</f>
        <v>17.580102104515895</v>
      </c>
      <c r="AK4" s="11"/>
      <c r="AL4" s="11"/>
      <c r="AM4" s="11"/>
      <c r="AN4" s="11"/>
      <c r="AO4" s="11"/>
      <c r="AP4" s="11"/>
      <c r="AQ4" s="11"/>
      <c r="AR4" s="11"/>
      <c r="AS4" s="11"/>
    </row>
    <row r="5" spans="1:45" ht="12.75" customHeight="1" x14ac:dyDescent="0.45">
      <c r="A5" s="17"/>
      <c r="B5" s="21" t="s">
        <v>61</v>
      </c>
      <c r="C5" s="918" t="str">
        <f>ChemName</f>
        <v>nAg_10nm</v>
      </c>
      <c r="D5" s="38"/>
      <c r="E5" s="38"/>
      <c r="F5" s="38"/>
      <c r="G5" s="447"/>
      <c r="H5" s="448"/>
      <c r="I5" s="448"/>
      <c r="J5" s="448"/>
      <c r="K5" s="38"/>
      <c r="L5" s="38"/>
      <c r="M5" s="17"/>
      <c r="N5" s="156"/>
      <c r="O5" s="11"/>
      <c r="P5" s="467" t="s">
        <v>4682</v>
      </c>
      <c r="Q5" s="685">
        <f>SUM(C19,C35,C51)</f>
        <v>4045132.8274221835</v>
      </c>
      <c r="R5" s="685">
        <f>SUM(E19,E35,E51)</f>
        <v>79832840.566638395</v>
      </c>
      <c r="S5" s="685">
        <f>SUM(T5:V5)</f>
        <v>55735641758.748947</v>
      </c>
      <c r="T5" s="685">
        <f>SUM(G51,G59)</f>
        <v>13493165491.590191</v>
      </c>
      <c r="U5" s="685">
        <f>SUM(I51,I59)</f>
        <v>8940186046.1921291</v>
      </c>
      <c r="V5" s="961">
        <f>SUM(K51,K59)</f>
        <v>33302290220.966625</v>
      </c>
      <c r="W5" s="11"/>
      <c r="X5" s="11"/>
      <c r="Y5" s="11"/>
      <c r="Z5" s="11"/>
      <c r="AA5" s="11"/>
      <c r="AB5" s="11"/>
      <c r="AC5" s="11"/>
      <c r="AD5" s="11"/>
      <c r="AE5" s="960"/>
      <c r="AF5" s="410" t="s">
        <v>4689</v>
      </c>
      <c r="AG5" s="685">
        <f>C16</f>
        <v>27303.458969486273</v>
      </c>
      <c r="AH5" s="685">
        <f>SUM(C24,C40,C56)</f>
        <v>1193563.9459782338</v>
      </c>
      <c r="AI5" s="685">
        <f>SUM(C32,C48,C72)</f>
        <v>119908.73166248428</v>
      </c>
      <c r="AJ5" s="961">
        <f>SUM(C80,C88,C96)</f>
        <v>55551.417226588979</v>
      </c>
      <c r="AK5" s="11"/>
      <c r="AL5" s="11"/>
      <c r="AM5" s="11"/>
      <c r="AN5" s="11"/>
      <c r="AO5" s="11"/>
      <c r="AP5" s="11"/>
      <c r="AQ5" s="11"/>
      <c r="AR5" s="11"/>
      <c r="AS5" s="11"/>
    </row>
    <row r="6" spans="1:45" ht="12.75" customHeight="1" x14ac:dyDescent="0.3">
      <c r="A6" s="17"/>
      <c r="B6" s="21" t="s">
        <v>63</v>
      </c>
      <c r="C6" s="934" t="str">
        <f>ScenarioName</f>
        <v>default scenario</v>
      </c>
      <c r="D6" s="38"/>
      <c r="E6" s="38"/>
      <c r="F6" s="38"/>
      <c r="G6" s="21"/>
      <c r="H6" s="21"/>
      <c r="I6" s="21"/>
      <c r="J6" s="21"/>
      <c r="K6" s="38"/>
      <c r="L6" s="38"/>
      <c r="M6" s="17"/>
      <c r="N6" s="156"/>
      <c r="O6" s="11"/>
      <c r="P6" s="467" t="s">
        <v>4683</v>
      </c>
      <c r="Q6" s="685">
        <f>SUM(C27,C43,C67)</f>
        <v>190566256.07203156</v>
      </c>
      <c r="R6" s="685">
        <f>SUM(E27,E43,E67)</f>
        <v>393133735.71762848</v>
      </c>
      <c r="S6" s="685">
        <f>SUM(T6:V6)</f>
        <v>17344125450.821014</v>
      </c>
      <c r="T6" s="685">
        <f>G67</f>
        <v>4198019139.1633477</v>
      </c>
      <c r="U6" s="685">
        <f>I67</f>
        <v>2762016754.908493</v>
      </c>
      <c r="V6" s="961">
        <f>K67</f>
        <v>10384089556.749176</v>
      </c>
      <c r="W6" s="11"/>
      <c r="X6" s="11"/>
      <c r="Y6" s="11"/>
      <c r="Z6" s="11"/>
      <c r="AA6" s="11"/>
      <c r="AB6" s="11"/>
      <c r="AC6" s="11"/>
      <c r="AD6" s="11"/>
      <c r="AE6" s="963"/>
      <c r="AF6" s="479" t="s">
        <v>4690</v>
      </c>
      <c r="AG6" s="964">
        <f>C17</f>
        <v>21.911276655502284</v>
      </c>
      <c r="AH6" s="964">
        <f>SUM(C25,C41,C57)</f>
        <v>7716.6321270830013</v>
      </c>
      <c r="AI6" s="964">
        <f>SUM(C33,C49,C73)</f>
        <v>466175.2841621855</v>
      </c>
      <c r="AJ6" s="965">
        <f>SUM(C81,C89,C97)</f>
        <v>16495.409935401844</v>
      </c>
      <c r="AK6" s="11"/>
      <c r="AL6" s="11"/>
      <c r="AM6" s="11"/>
      <c r="AN6" s="11"/>
      <c r="AO6" s="11"/>
      <c r="AP6" s="11"/>
      <c r="AQ6" s="11"/>
      <c r="AR6" s="11"/>
      <c r="AS6" s="11"/>
    </row>
    <row r="7" spans="1:45" ht="12.75" customHeight="1" x14ac:dyDescent="0.3">
      <c r="A7" s="17"/>
      <c r="B7" s="21" t="s">
        <v>65</v>
      </c>
      <c r="C7" s="934" t="str">
        <f>CaseName</f>
        <v>defaults only</v>
      </c>
      <c r="D7" s="38"/>
      <c r="E7" s="38"/>
      <c r="F7" s="38"/>
      <c r="G7" s="449"/>
      <c r="H7" s="21"/>
      <c r="I7" s="21"/>
      <c r="J7" s="21"/>
      <c r="K7" s="38"/>
      <c r="L7" s="38"/>
      <c r="M7" s="17"/>
      <c r="N7" s="156"/>
      <c r="O7" s="11"/>
      <c r="P7" s="464" t="s">
        <v>4684</v>
      </c>
      <c r="Q7" s="964">
        <f>SUM(C75,C83,C91)</f>
        <v>25873726534.987022</v>
      </c>
      <c r="R7" s="964">
        <f>SUM(E75,E83,E91)</f>
        <v>1651995434.4384661</v>
      </c>
      <c r="S7" s="964">
        <f>SUM(T7:V7)</f>
        <v>1496444516.2581427</v>
      </c>
      <c r="T7" s="964">
        <f>G91</f>
        <v>1125838083.5970201</v>
      </c>
      <c r="U7" s="964">
        <f>I91</f>
        <v>151292550.89237493</v>
      </c>
      <c r="V7" s="965">
        <f>K91</f>
        <v>219313881.76874751</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247</v>
      </c>
      <c r="AF8" s="465" t="s">
        <v>4687</v>
      </c>
      <c r="AG8" s="966">
        <f>E12</f>
        <v>3.5820033433236931E-14</v>
      </c>
      <c r="AH8" s="966">
        <f>SUM(E20,E36,E52)</f>
        <v>79809558.623557612</v>
      </c>
      <c r="AI8" s="966">
        <f>SUM(E28,E44,E68)</f>
        <v>393132191.16668552</v>
      </c>
      <c r="AJ8" s="967">
        <f>SUM(E76,E84,E92)</f>
        <v>1651989766.1880338</v>
      </c>
      <c r="AK8" s="11"/>
      <c r="AL8" s="11"/>
      <c r="AM8" s="11"/>
      <c r="AN8" s="11"/>
      <c r="AO8" s="11"/>
      <c r="AP8" s="11"/>
      <c r="AQ8" s="11"/>
      <c r="AR8" s="11"/>
      <c r="AS8" s="11"/>
    </row>
    <row r="9" spans="1:45" ht="12.75" customHeight="1" x14ac:dyDescent="0.3">
      <c r="A9" s="17"/>
      <c r="B9" s="157"/>
      <c r="C9" s="105" t="s">
        <v>68</v>
      </c>
      <c r="D9" s="79"/>
      <c r="E9" s="79"/>
      <c r="F9" s="79"/>
      <c r="G9" s="79"/>
      <c r="H9" s="79"/>
      <c r="I9" s="79"/>
      <c r="J9" s="79"/>
      <c r="K9" s="79"/>
      <c r="L9" s="102"/>
      <c r="M9" s="17"/>
      <c r="N9" s="156"/>
      <c r="O9" s="11"/>
      <c r="P9" s="959"/>
      <c r="Q9" s="474" t="s">
        <v>246</v>
      </c>
      <c r="R9" s="474" t="s">
        <v>247</v>
      </c>
      <c r="S9" s="474" t="s">
        <v>4685</v>
      </c>
      <c r="T9" s="474" t="s">
        <v>248</v>
      </c>
      <c r="U9" s="474" t="s">
        <v>249</v>
      </c>
      <c r="V9" s="475" t="s">
        <v>4686</v>
      </c>
      <c r="W9" s="11"/>
      <c r="X9" s="11"/>
      <c r="Y9" s="11"/>
      <c r="Z9" s="11"/>
      <c r="AA9" s="11"/>
      <c r="AB9" s="11"/>
      <c r="AC9" s="11"/>
      <c r="AD9" s="11"/>
      <c r="AE9" s="467"/>
      <c r="AF9" s="410" t="s">
        <v>4688</v>
      </c>
      <c r="AG9" s="685">
        <f>E15</f>
        <v>1256.9250445136479</v>
      </c>
      <c r="AH9" s="685">
        <f>SUM(E23,E39,E55)</f>
        <v>1.25576172820976</v>
      </c>
      <c r="AI9" s="685">
        <f>SUM(E31,E47,E71)</f>
        <v>9.5180632983884788E-10</v>
      </c>
      <c r="AJ9" s="961">
        <f>SUM(E79,E87,E95)</f>
        <v>0.11799343213432149</v>
      </c>
      <c r="AK9" s="11"/>
      <c r="AL9" s="11"/>
      <c r="AM9" s="11"/>
      <c r="AN9" s="11"/>
      <c r="AO9" s="11"/>
      <c r="AP9" s="11"/>
      <c r="AQ9" s="11"/>
      <c r="AR9" s="11"/>
      <c r="AS9" s="11"/>
    </row>
    <row r="10" spans="1:45" ht="12.75" customHeight="1" x14ac:dyDescent="0.3">
      <c r="A10" s="17"/>
      <c r="B10" s="158"/>
      <c r="C10" s="43" t="s">
        <v>103</v>
      </c>
      <c r="D10" s="43"/>
      <c r="E10" s="43" t="s">
        <v>104</v>
      </c>
      <c r="F10" s="43"/>
      <c r="G10" s="43" t="s">
        <v>105</v>
      </c>
      <c r="H10" s="43"/>
      <c r="I10" s="43" t="s">
        <v>106</v>
      </c>
      <c r="J10" s="43"/>
      <c r="K10" s="43" t="s">
        <v>107</v>
      </c>
      <c r="L10" s="44"/>
      <c r="M10" s="17"/>
      <c r="N10" s="156"/>
      <c r="O10" s="11"/>
      <c r="P10" s="467" t="s">
        <v>218</v>
      </c>
      <c r="Q10" s="685">
        <f>C99</f>
        <v>26066478270.787327</v>
      </c>
      <c r="R10" s="685">
        <f>E99</f>
        <v>2124931515.9782772</v>
      </c>
      <c r="S10" s="685">
        <f>SUM(T10:V10)</f>
        <v>74576192935.303497</v>
      </c>
      <c r="T10" s="685">
        <f>G99</f>
        <v>18817010216.866123</v>
      </c>
      <c r="U10" s="685">
        <f>I99</f>
        <v>11853493344.936769</v>
      </c>
      <c r="V10" s="961">
        <f>K99</f>
        <v>43905689373.50061</v>
      </c>
      <c r="W10" s="11"/>
      <c r="X10" s="11"/>
      <c r="Y10" s="11"/>
      <c r="Z10" s="11"/>
      <c r="AA10" s="11"/>
      <c r="AB10" s="11"/>
      <c r="AC10" s="11"/>
      <c r="AD10" s="11"/>
      <c r="AE10" s="467"/>
      <c r="AF10" s="410" t="s">
        <v>4689</v>
      </c>
      <c r="AG10" s="685">
        <f>E16</f>
        <v>120964.55813355632</v>
      </c>
      <c r="AH10" s="685">
        <f>SUM(E24,E40,E56)</f>
        <v>23255.2821054265</v>
      </c>
      <c r="AI10" s="685">
        <f>SUM(E32,E48,E72)</f>
        <v>1341.5848927183592</v>
      </c>
      <c r="AJ10" s="961">
        <f>SUM(E80,E88,E96)</f>
        <v>5520.3807951642866</v>
      </c>
      <c r="AK10" s="11"/>
      <c r="AL10" s="11"/>
      <c r="AM10" s="11"/>
      <c r="AN10" s="11"/>
      <c r="AO10" s="11"/>
      <c r="AP10" s="11"/>
      <c r="AQ10" s="11"/>
      <c r="AR10" s="11"/>
      <c r="AS10" s="11"/>
    </row>
    <row r="11" spans="1:45" ht="12.75" customHeight="1" x14ac:dyDescent="0.3">
      <c r="A11" s="17"/>
      <c r="B11" s="452" t="s">
        <v>112</v>
      </c>
      <c r="C11" s="453">
        <f>SUM(C12,C15:C17)</f>
        <v>33413.438582467475</v>
      </c>
      <c r="D11" s="446">
        <f t="shared" ref="D11:D17" si="0">C11/$C$103</f>
        <v>1.2817616470970569E-6</v>
      </c>
      <c r="E11" s="453">
        <f>SUM(E12,E15:E17)</f>
        <v>122229.14982520255</v>
      </c>
      <c r="F11" s="446">
        <f t="shared" ref="F11:F17" si="1">E11/$E$103</f>
        <v>5.7517319799300124E-5</v>
      </c>
      <c r="G11" s="445">
        <f>SUM(G12,G15:G17)</f>
        <v>75902.47163171065</v>
      </c>
      <c r="H11" s="446">
        <f t="shared" ref="H11:H17" si="2">G11/$G$103</f>
        <v>4.0336968614202312E-6</v>
      </c>
      <c r="I11" s="445">
        <f>SUM(I12,I15:I17)</f>
        <v>15635.318261719507</v>
      </c>
      <c r="J11" s="446">
        <f t="shared" ref="J11:J17" si="3">I11/$I$103</f>
        <v>1.3190453257652127E-6</v>
      </c>
      <c r="K11" s="445">
        <f>SUM(K12,K15:K17)</f>
        <v>23305.928796883698</v>
      </c>
      <c r="L11" s="461">
        <f t="shared" ref="L11:L17" si="4">K11/$K$103</f>
        <v>5.3081763395967105E-7</v>
      </c>
      <c r="M11" s="17"/>
      <c r="N11" s="156"/>
      <c r="O11" s="11"/>
      <c r="P11" s="467" t="s">
        <v>219</v>
      </c>
      <c r="Q11" s="685">
        <f>C100</f>
        <v>6329.7463928630123</v>
      </c>
      <c r="R11" s="685">
        <f>E100</f>
        <v>1258.2987996749437</v>
      </c>
      <c r="S11" s="685">
        <f>SUM(T11:V11)</f>
        <v>38.849766476126945</v>
      </c>
      <c r="T11" s="685">
        <f>G100</f>
        <v>37.998054369192047</v>
      </c>
      <c r="U11" s="685">
        <f>I100</f>
        <v>0.33349527229168707</v>
      </c>
      <c r="V11" s="961">
        <f>K100</f>
        <v>0.51821683464321522</v>
      </c>
      <c r="W11" s="11"/>
      <c r="X11" s="11"/>
      <c r="Y11" s="11"/>
      <c r="Z11" s="11"/>
      <c r="AA11" s="11"/>
      <c r="AB11" s="11"/>
      <c r="AC11" s="11"/>
      <c r="AD11" s="11"/>
      <c r="AE11" s="464"/>
      <c r="AF11" s="479" t="s">
        <v>4690</v>
      </c>
      <c r="AG11" s="964">
        <f>E17</f>
        <v>7.6666471325835897</v>
      </c>
      <c r="AH11" s="964">
        <f>SUM(E25,E41,E57)</f>
        <v>25.405213620246116</v>
      </c>
      <c r="AI11" s="964">
        <f>SUM(E33,E49,E73)</f>
        <v>202.96605026368209</v>
      </c>
      <c r="AJ11" s="965">
        <f>SUM(E81,E89,E97)</f>
        <v>147.75164336176505</v>
      </c>
      <c r="AK11" s="11"/>
      <c r="AL11" s="11"/>
      <c r="AM11" s="11"/>
      <c r="AN11" s="11"/>
      <c r="AO11" s="11"/>
      <c r="AP11" s="11"/>
      <c r="AQ11" s="11"/>
      <c r="AR11" s="11"/>
      <c r="AS11" s="11"/>
    </row>
    <row r="12" spans="1:45" ht="12.75" customHeight="1" x14ac:dyDescent="0.3">
      <c r="A12" s="17"/>
      <c r="B12" s="443" t="s">
        <v>116</v>
      </c>
      <c r="C12" s="295">
        <f>(M.aRG)*Molweight</f>
        <v>8.9624714958651481E-15</v>
      </c>
      <c r="D12" s="446">
        <f t="shared" si="0"/>
        <v>3.4380634600799001E-25</v>
      </c>
      <c r="E12" s="296">
        <f>(M.aCG)*Molweight</f>
        <v>3.5820033433236931E-14</v>
      </c>
      <c r="F12" s="446">
        <f t="shared" si="1"/>
        <v>1.6855818118243194E-23</v>
      </c>
      <c r="G12" s="296">
        <f>(M.aMG)*Molweight</f>
        <v>1.7906379440700514E-12</v>
      </c>
      <c r="H12" s="446">
        <f t="shared" si="2"/>
        <v>9.516015091026036E-23</v>
      </c>
      <c r="I12" s="296">
        <f>(M.aAG)*Molweight</f>
        <v>7.7986473842876308E-14</v>
      </c>
      <c r="J12" s="446">
        <f t="shared" si="3"/>
        <v>6.5791877129365234E-24</v>
      </c>
      <c r="K12" s="296">
        <f>(M.aTG)*Molweight</f>
        <v>3.9944936323499558E-11</v>
      </c>
      <c r="L12" s="461">
        <f t="shared" si="4"/>
        <v>9.0978895424862588E-22</v>
      </c>
      <c r="M12" s="17"/>
      <c r="N12" s="156"/>
      <c r="O12" s="11"/>
      <c r="P12" s="467" t="s">
        <v>220</v>
      </c>
      <c r="Q12" s="685">
        <f>C101</f>
        <v>1396327.5538367936</v>
      </c>
      <c r="R12" s="685">
        <f>E101</f>
        <v>151081.80592686549</v>
      </c>
      <c r="S12" s="685">
        <f>SUM(T12:V12)</f>
        <v>133587.94165897384</v>
      </c>
      <c r="T12" s="685">
        <f>G101</f>
        <v>88354.634778992957</v>
      </c>
      <c r="U12" s="685">
        <f>I101</f>
        <v>17641.986551585105</v>
      </c>
      <c r="V12" s="961">
        <f>K101</f>
        <v>27591.320328395788</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118</v>
      </c>
      <c r="C13" s="295">
        <f>FRgas.aR*C12</f>
        <v>3.7935679684226597E-27</v>
      </c>
      <c r="D13" s="446">
        <f t="shared" si="0"/>
        <v>1.4552378126480715E-37</v>
      </c>
      <c r="E13" s="296">
        <f>FRgas.aC*E12</f>
        <v>1.5161636109286092E-26</v>
      </c>
      <c r="F13" s="446">
        <f t="shared" si="1"/>
        <v>7.1346047487488499E-36</v>
      </c>
      <c r="G13" s="296">
        <f>FRgas.aC*G12</f>
        <v>7.5792784956697182E-25</v>
      </c>
      <c r="H13" s="446">
        <f t="shared" si="2"/>
        <v>4.0278677653811947E-35</v>
      </c>
      <c r="I13" s="296">
        <f>FRgas.aC*I12</f>
        <v>3.3009531944068852E-26</v>
      </c>
      <c r="J13" s="446">
        <f t="shared" si="3"/>
        <v>2.7847894163513517E-36</v>
      </c>
      <c r="K13" s="296">
        <f>FRgas.aC*K12</f>
        <v>1.6907594183972705E-23</v>
      </c>
      <c r="L13" s="461">
        <f t="shared" si="4"/>
        <v>3.8508867073715329E-34</v>
      </c>
      <c r="M13" s="17"/>
      <c r="N13" s="156"/>
      <c r="O13" s="11"/>
      <c r="P13" s="464" t="s">
        <v>222</v>
      </c>
      <c r="Q13" s="964">
        <f>C102</f>
        <v>490409.2375013259</v>
      </c>
      <c r="R13" s="964">
        <f>E102</f>
        <v>383.78955437827682</v>
      </c>
      <c r="S13" s="964">
        <f>SUM(T13:V13)</f>
        <v>7.4518667120811681</v>
      </c>
      <c r="T13" s="964">
        <f>G102</f>
        <v>7.3232354598648035</v>
      </c>
      <c r="U13" s="964">
        <f>I102</f>
        <v>5.4440943687635156E-2</v>
      </c>
      <c r="V13" s="965">
        <f>K102</f>
        <v>7.4190308528729557E-2</v>
      </c>
      <c r="W13" s="11"/>
      <c r="X13" s="11"/>
      <c r="Y13" s="11"/>
      <c r="Z13" s="11"/>
      <c r="AA13" s="11"/>
      <c r="AB13" s="11"/>
      <c r="AC13" s="11"/>
      <c r="AD13" s="11"/>
      <c r="AE13" s="471" t="s">
        <v>4685</v>
      </c>
      <c r="AF13" s="465" t="s">
        <v>4687</v>
      </c>
      <c r="AG13" s="966">
        <f t="shared" ref="AG13:AJ16" si="5">SUM(AG18,AG23,AG28)</f>
        <v>4.1813560741412487E-11</v>
      </c>
      <c r="AH13" s="966">
        <f t="shared" si="5"/>
        <v>55735632020.871239</v>
      </c>
      <c r="AI13" s="966">
        <f t="shared" si="5"/>
        <v>17344125450.820721</v>
      </c>
      <c r="AJ13" s="967">
        <f t="shared" si="5"/>
        <v>1496435463.6115458</v>
      </c>
      <c r="AK13" s="11"/>
      <c r="AL13" s="11"/>
      <c r="AM13" s="11"/>
      <c r="AN13" s="11"/>
      <c r="AO13" s="11"/>
      <c r="AP13" s="11"/>
      <c r="AQ13" s="11"/>
      <c r="AR13" s="11"/>
      <c r="AS13" s="11"/>
    </row>
    <row r="14" spans="1:45" ht="12.75" customHeight="1" x14ac:dyDescent="0.3">
      <c r="A14" s="17"/>
      <c r="B14" s="159" t="s">
        <v>121</v>
      </c>
      <c r="C14" s="295">
        <f>(1-FRgas.aR)*C12</f>
        <v>8.9624714958613552E-15</v>
      </c>
      <c r="D14" s="446">
        <f t="shared" si="0"/>
        <v>3.438063460078445E-25</v>
      </c>
      <c r="E14" s="296">
        <f>(1-FRgas.aC)*E12</f>
        <v>3.5820033433221772E-14</v>
      </c>
      <c r="F14" s="446">
        <f t="shared" si="1"/>
        <v>1.6855818118236062E-23</v>
      </c>
      <c r="G14" s="296">
        <f>(1-FRgas.aC)*G12</f>
        <v>1.7906379440692935E-12</v>
      </c>
      <c r="H14" s="446">
        <f t="shared" si="2"/>
        <v>9.5160150910220087E-23</v>
      </c>
      <c r="I14" s="296">
        <f>(1-FRgas.aC)*I12</f>
        <v>7.7986473842843302E-14</v>
      </c>
      <c r="J14" s="446">
        <f t="shared" si="3"/>
        <v>6.5791877129337389E-24</v>
      </c>
      <c r="K14" s="296">
        <f>(1-FRgas.aC)*K12</f>
        <v>3.9944936323482652E-11</v>
      </c>
      <c r="L14" s="461">
        <f t="shared" si="4"/>
        <v>9.0978895424824088E-22</v>
      </c>
      <c r="M14" s="17"/>
      <c r="N14" s="156"/>
      <c r="O14" s="11"/>
      <c r="P14" t="s">
        <v>4691</v>
      </c>
      <c r="Q14" s="335"/>
      <c r="R14" s="685"/>
      <c r="S14" s="685"/>
      <c r="T14" s="685"/>
      <c r="U14" s="685"/>
      <c r="V14" s="685"/>
      <c r="W14" s="11"/>
      <c r="X14" s="11"/>
      <c r="Y14" s="11"/>
      <c r="Z14" s="11"/>
      <c r="AA14" s="11"/>
      <c r="AB14" s="11"/>
      <c r="AC14" s="11"/>
      <c r="AD14" s="11"/>
      <c r="AE14" s="467"/>
      <c r="AF14" s="410" t="s">
        <v>4688</v>
      </c>
      <c r="AG14" s="685">
        <f t="shared" si="5"/>
        <v>38.823341063629698</v>
      </c>
      <c r="AH14" s="685">
        <f t="shared" si="5"/>
        <v>2.2761100525050988E-2</v>
      </c>
      <c r="AI14" s="685">
        <f t="shared" si="5"/>
        <v>7.0996573591434519E-18</v>
      </c>
      <c r="AJ14" s="961">
        <f t="shared" si="5"/>
        <v>3.664311972209689E-3</v>
      </c>
      <c r="AK14" s="11"/>
      <c r="AL14" s="11"/>
      <c r="AM14" s="11"/>
      <c r="AN14" s="11"/>
      <c r="AO14" s="11"/>
      <c r="AP14" s="11"/>
      <c r="AQ14" s="11"/>
      <c r="AR14" s="11"/>
      <c r="AS14" s="11"/>
    </row>
    <row r="15" spans="1:45" ht="12.75" customHeight="1" x14ac:dyDescent="0.3">
      <c r="A15" s="17"/>
      <c r="B15" s="159" t="s">
        <v>123</v>
      </c>
      <c r="C15" s="295">
        <f>(M.aRS+M.cwRS)*Molweight</f>
        <v>6088.0683363256967</v>
      </c>
      <c r="D15" s="446">
        <f t="shared" si="0"/>
        <v>2.3354233594212752E-7</v>
      </c>
      <c r="E15" s="296">
        <f>(M.aCS+M.cwCS)*Molweight</f>
        <v>1256.9250445136479</v>
      </c>
      <c r="F15" s="446">
        <f t="shared" si="1"/>
        <v>5.9147069134022948E-7</v>
      </c>
      <c r="G15" s="296">
        <f>(M.aMS+M.cwMS)*Molweight</f>
        <v>37.972348907731359</v>
      </c>
      <c r="H15" s="446">
        <f t="shared" si="2"/>
        <v>2.0179704470371788E-9</v>
      </c>
      <c r="I15" s="296">
        <f>(M.aAS+M.cwAS)*Molweight</f>
        <v>0.33326386307473155</v>
      </c>
      <c r="J15" s="446">
        <f t="shared" si="3"/>
        <v>2.8115202612245273E-11</v>
      </c>
      <c r="K15" s="296">
        <f>(M.aTS+M.cwTS)*Molweight</f>
        <v>0.51772829282360511</v>
      </c>
      <c r="L15" s="461">
        <f t="shared" si="4"/>
        <v>1.1791819576285355E-11</v>
      </c>
      <c r="M15" s="17"/>
      <c r="N15" s="156"/>
      <c r="O15" s="11"/>
      <c r="P15" s="476"/>
      <c r="Q15" s="477" t="s">
        <v>246</v>
      </c>
      <c r="R15" s="477" t="s">
        <v>247</v>
      </c>
      <c r="S15" s="477" t="s">
        <v>4685</v>
      </c>
      <c r="T15" s="477" t="s">
        <v>248</v>
      </c>
      <c r="U15" s="477" t="s">
        <v>249</v>
      </c>
      <c r="V15" s="478" t="s">
        <v>4686</v>
      </c>
      <c r="W15" s="11"/>
      <c r="X15" s="11"/>
      <c r="Y15" s="11"/>
      <c r="Z15" s="11"/>
      <c r="AA15" s="11"/>
      <c r="AB15" s="11"/>
      <c r="AC15" s="11"/>
      <c r="AD15" s="11"/>
      <c r="AE15" s="467"/>
      <c r="AF15" s="410" t="s">
        <v>4689</v>
      </c>
      <c r="AG15" s="685">
        <f t="shared" si="5"/>
        <v>114804.59880898254</v>
      </c>
      <c r="AH15" s="685">
        <f t="shared" si="5"/>
        <v>9737.2327906730443</v>
      </c>
      <c r="AI15" s="685">
        <f t="shared" si="5"/>
        <v>2.7501977191250358E-4</v>
      </c>
      <c r="AJ15" s="961">
        <f t="shared" si="5"/>
        <v>9046.1097842984709</v>
      </c>
      <c r="AK15" s="11"/>
      <c r="AL15" s="11"/>
      <c r="AM15" s="11"/>
      <c r="AN15" s="11"/>
      <c r="AO15" s="11"/>
      <c r="AP15" s="11"/>
      <c r="AQ15" s="11"/>
      <c r="AR15" s="11"/>
      <c r="AS15" s="11"/>
    </row>
    <row r="16" spans="1:45" ht="12.75" customHeight="1" x14ac:dyDescent="0.3">
      <c r="A16" s="17"/>
      <c r="B16" s="159" t="s">
        <v>126</v>
      </c>
      <c r="C16" s="295">
        <f>(M.aRA+M.cwRA)*Molweight</f>
        <v>27303.458969486273</v>
      </c>
      <c r="D16" s="446">
        <f t="shared" si="0"/>
        <v>1.0473787800618292E-6</v>
      </c>
      <c r="E16" s="296">
        <f>(M.aCA+M.cwCA)*Molweight</f>
        <v>120964.55813355632</v>
      </c>
      <c r="F16" s="446">
        <f t="shared" si="1"/>
        <v>5.6922241417032295E-5</v>
      </c>
      <c r="G16" s="296">
        <f>(M.aMA+M.cwMA)*Molweight</f>
        <v>75864.212318035119</v>
      </c>
      <c r="H16" s="446">
        <f t="shared" si="2"/>
        <v>4.0316636407598827E-6</v>
      </c>
      <c r="I16" s="296">
        <f>(M.aAA+M.cwAA)*Molweight</f>
        <v>15634.97794134946</v>
      </c>
      <c r="J16" s="446">
        <f t="shared" si="3"/>
        <v>1.3190166152531619E-6</v>
      </c>
      <c r="K16" s="296">
        <f>(M.aTA+M.cwTA)*Molweight</f>
        <v>23305.408549597967</v>
      </c>
      <c r="L16" s="461">
        <f t="shared" si="4"/>
        <v>5.308057847673177E-7</v>
      </c>
      <c r="M16" s="17"/>
      <c r="N16" s="156"/>
      <c r="O16" s="11"/>
      <c r="P16" s="472" t="s">
        <v>219</v>
      </c>
      <c r="Q16" s="968">
        <f t="shared" ref="Q16:V18" si="6">Q11</f>
        <v>6329.7463928630123</v>
      </c>
      <c r="R16" s="968">
        <f t="shared" si="6"/>
        <v>1258.2987996749437</v>
      </c>
      <c r="S16" s="968">
        <f t="shared" si="6"/>
        <v>38.849766476126945</v>
      </c>
      <c r="T16" s="968">
        <f t="shared" si="6"/>
        <v>37.998054369192047</v>
      </c>
      <c r="U16" s="968">
        <f t="shared" si="6"/>
        <v>0.33349527229168707</v>
      </c>
      <c r="V16" s="969">
        <f t="shared" si="6"/>
        <v>0.51821683464321522</v>
      </c>
      <c r="W16" s="11"/>
      <c r="X16" s="11"/>
      <c r="Y16" s="11"/>
      <c r="Z16" s="11"/>
      <c r="AA16" s="11"/>
      <c r="AB16" s="11"/>
      <c r="AC16" s="11"/>
      <c r="AD16" s="11"/>
      <c r="AE16" s="464"/>
      <c r="AF16" s="479" t="s">
        <v>4690</v>
      </c>
      <c r="AG16" s="964">
        <f t="shared" si="5"/>
        <v>0.29654026764396257</v>
      </c>
      <c r="AH16" s="964">
        <f t="shared" si="5"/>
        <v>0.62215566480954021</v>
      </c>
      <c r="AI16" s="964">
        <f t="shared" si="5"/>
        <v>2.2691778278004614E-5</v>
      </c>
      <c r="AJ16" s="965">
        <f t="shared" si="5"/>
        <v>6.5331480878493871</v>
      </c>
      <c r="AK16" s="11"/>
      <c r="AL16" s="11"/>
      <c r="AM16" s="11"/>
      <c r="AN16" s="11"/>
      <c r="AO16" s="11"/>
      <c r="AP16" s="11"/>
      <c r="AQ16" s="11"/>
      <c r="AR16" s="11"/>
      <c r="AS16" s="11"/>
    </row>
    <row r="17" spans="1:45" ht="12.75" customHeight="1" x14ac:dyDescent="0.3">
      <c r="A17" s="17"/>
      <c r="B17" s="159" t="s">
        <v>128</v>
      </c>
      <c r="C17" s="295">
        <f>(M.aRP+M.cwRP)*Molweight</f>
        <v>21.911276655502284</v>
      </c>
      <c r="D17" s="446">
        <f t="shared" si="0"/>
        <v>8.4053109310014368E-10</v>
      </c>
      <c r="E17" s="296">
        <f>(M.aCP+M.cwCP)*Molweight</f>
        <v>7.6666471325835897</v>
      </c>
      <c r="F17" s="446">
        <f t="shared" si="1"/>
        <v>3.6076909276045265E-9</v>
      </c>
      <c r="G17" s="296">
        <f>(M.aMP+M.cwMP)*Molweight</f>
        <v>0.2869647678032779</v>
      </c>
      <c r="H17" s="446">
        <f t="shared" si="2"/>
        <v>1.5250213311139043E-11</v>
      </c>
      <c r="I17" s="296">
        <f>(M.aAP+M.cwAP)*Molweight</f>
        <v>7.0565069728663948E-3</v>
      </c>
      <c r="J17" s="446">
        <f t="shared" si="3"/>
        <v>5.9530943873255131E-13</v>
      </c>
      <c r="K17" s="296">
        <f>(M.aTP+M.cwTP)*Molweight</f>
        <v>2.5189928678182355E-3</v>
      </c>
      <c r="L17" s="461">
        <f t="shared" si="4"/>
        <v>5.7372776073844049E-14</v>
      </c>
      <c r="M17" s="17"/>
      <c r="N17" s="156"/>
      <c r="O17" s="11"/>
      <c r="P17" s="472" t="s">
        <v>220</v>
      </c>
      <c r="Q17" s="968">
        <f t="shared" si="6"/>
        <v>1396327.5538367936</v>
      </c>
      <c r="R17" s="968">
        <f t="shared" si="6"/>
        <v>151081.80592686549</v>
      </c>
      <c r="S17" s="968">
        <f t="shared" si="6"/>
        <v>133587.94165897384</v>
      </c>
      <c r="T17" s="968">
        <f t="shared" si="6"/>
        <v>88354.634778992957</v>
      </c>
      <c r="U17" s="968">
        <f t="shared" si="6"/>
        <v>17641.986551585105</v>
      </c>
      <c r="V17" s="969">
        <f t="shared" si="6"/>
        <v>27591.320328395788</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222</v>
      </c>
      <c r="Q18" s="970">
        <f t="shared" si="6"/>
        <v>490409.2375013259</v>
      </c>
      <c r="R18" s="970">
        <f t="shared" si="6"/>
        <v>383.78955437827682</v>
      </c>
      <c r="S18" s="970">
        <f t="shared" si="6"/>
        <v>7.4518667120811681</v>
      </c>
      <c r="T18" s="970">
        <f t="shared" si="6"/>
        <v>7.3232354598648035</v>
      </c>
      <c r="U18" s="970">
        <f t="shared" si="6"/>
        <v>5.4440943687635156E-2</v>
      </c>
      <c r="V18" s="971">
        <f t="shared" si="6"/>
        <v>7.4190308528729557E-2</v>
      </c>
      <c r="W18" s="11"/>
      <c r="X18" s="11"/>
      <c r="Y18" s="11"/>
      <c r="Z18" s="11"/>
      <c r="AA18" s="11"/>
      <c r="AB18" s="11"/>
      <c r="AC18" s="11"/>
      <c r="AD18" s="11"/>
      <c r="AE18" s="471" t="s">
        <v>248</v>
      </c>
      <c r="AF18" s="465" t="s">
        <v>4687</v>
      </c>
      <c r="AG18" s="966">
        <f>G12</f>
        <v>1.7906379440700514E-12</v>
      </c>
      <c r="AH18" s="966">
        <f>SUM(G52,G60)</f>
        <v>13493159734.970613</v>
      </c>
      <c r="AI18" s="966">
        <f>G68</f>
        <v>4198019139.1631608</v>
      </c>
      <c r="AJ18" s="967">
        <f>G92</f>
        <v>1125831342.7323482</v>
      </c>
      <c r="AK18" s="11"/>
      <c r="AL18" s="11"/>
      <c r="AM18" s="11"/>
      <c r="AN18" s="11"/>
      <c r="AO18" s="11"/>
      <c r="AP18" s="11"/>
      <c r="AQ18" s="11"/>
      <c r="AR18" s="11"/>
      <c r="AS18" s="11"/>
    </row>
    <row r="19" spans="1:45" ht="12.75" customHeight="1" x14ac:dyDescent="0.3">
      <c r="A19" s="17"/>
      <c r="B19" s="104" t="s">
        <v>133</v>
      </c>
      <c r="C19" s="295">
        <f>SUM(C20,C23:C25)</f>
        <v>1885567.2283467851</v>
      </c>
      <c r="D19" s="446">
        <f t="shared" ref="D19:D25" si="7">C19/$C$103</f>
        <v>7.2331608444099597E-5</v>
      </c>
      <c r="E19" s="295">
        <f>SUM(E20,E23:E25)</f>
        <v>165948.36835367838</v>
      </c>
      <c r="F19" s="446">
        <f t="shared" ref="F19:F25" si="8">E19/$E$103</f>
        <v>7.8090254136763235E-5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4688</v>
      </c>
      <c r="AG19" s="685">
        <f>G15</f>
        <v>37.972348907731359</v>
      </c>
      <c r="AH19" s="685">
        <f>SUM(G55,G63)</f>
        <v>2.2095635265555063E-2</v>
      </c>
      <c r="AI19" s="335">
        <f>G71</f>
        <v>6.8987262493968103E-18</v>
      </c>
      <c r="AJ19" s="961">
        <f>G95</f>
        <v>3.6098261951399532E-3</v>
      </c>
      <c r="AK19" s="11"/>
      <c r="AL19" s="11"/>
      <c r="AM19" s="11"/>
      <c r="AN19" s="11"/>
      <c r="AO19" s="11"/>
      <c r="AP19" s="11"/>
      <c r="AQ19" s="11"/>
      <c r="AR19" s="11"/>
      <c r="AS19" s="11"/>
    </row>
    <row r="20" spans="1:45" ht="12.75" customHeight="1" x14ac:dyDescent="0.3">
      <c r="A20" s="17"/>
      <c r="B20" s="443" t="s">
        <v>116</v>
      </c>
      <c r="C20" s="295">
        <f>M.w0RD*Molweight</f>
        <v>1881741.1335167584</v>
      </c>
      <c r="D20" s="446">
        <f t="shared" si="7"/>
        <v>7.2184836910868121E-5</v>
      </c>
      <c r="E20" s="295">
        <f>M.w0CD*Molweight</f>
        <v>164002.82845348647</v>
      </c>
      <c r="F20" s="446">
        <f t="shared" si="8"/>
        <v>7.7174742241428398E-5</v>
      </c>
      <c r="G20" s="296"/>
      <c r="H20" s="446"/>
      <c r="I20" s="296"/>
      <c r="J20" s="446"/>
      <c r="K20" s="296"/>
      <c r="L20" s="461"/>
      <c r="M20" s="17"/>
      <c r="N20" s="156"/>
      <c r="O20" s="11"/>
      <c r="P20" s="959"/>
      <c r="Q20" s="474" t="s">
        <v>246</v>
      </c>
      <c r="R20" s="474" t="s">
        <v>247</v>
      </c>
      <c r="S20" s="474" t="s">
        <v>4685</v>
      </c>
      <c r="T20" s="474" t="s">
        <v>248</v>
      </c>
      <c r="U20" s="474" t="s">
        <v>249</v>
      </c>
      <c r="V20" s="475" t="s">
        <v>4686</v>
      </c>
      <c r="W20" s="11"/>
      <c r="X20" s="11"/>
      <c r="Y20" s="11"/>
      <c r="Z20" s="11"/>
      <c r="AA20" s="11"/>
      <c r="AB20" s="11"/>
      <c r="AC20" s="11"/>
      <c r="AD20" s="11"/>
      <c r="AE20" s="467"/>
      <c r="AF20" s="410" t="s">
        <v>4689</v>
      </c>
      <c r="AG20" s="685">
        <f>G16</f>
        <v>75864.212318035119</v>
      </c>
      <c r="AH20" s="685">
        <f>SUM(G56,G64)</f>
        <v>5755.995236437474</v>
      </c>
      <c r="AI20" s="335">
        <f>G72</f>
        <v>1.6500461457250948E-4</v>
      </c>
      <c r="AJ20" s="961">
        <f>G96</f>
        <v>6734.4270595157368</v>
      </c>
      <c r="AK20" s="11"/>
      <c r="AL20" s="11"/>
      <c r="AM20" s="11"/>
      <c r="AN20" s="11"/>
      <c r="AO20" s="11"/>
      <c r="AP20" s="11"/>
      <c r="AQ20" s="11"/>
      <c r="AR20" s="11"/>
      <c r="AS20" s="11"/>
    </row>
    <row r="21" spans="1:45" ht="12.75" customHeight="1" x14ac:dyDescent="0.3">
      <c r="A21" s="17"/>
      <c r="B21" s="159" t="s">
        <v>137</v>
      </c>
      <c r="C21" s="295">
        <f>FRwD.w0R*C20</f>
        <v>1796034.3732263946</v>
      </c>
      <c r="D21" s="446">
        <f t="shared" si="7"/>
        <v>6.8897068788290874E-5</v>
      </c>
      <c r="E21" s="295">
        <f>FRw.w0C*E20</f>
        <v>156533.07033700458</v>
      </c>
      <c r="F21" s="446">
        <f t="shared" si="8"/>
        <v>7.3659701295602245E-5</v>
      </c>
      <c r="G21" s="296"/>
      <c r="H21" s="446"/>
      <c r="I21" s="296"/>
      <c r="J21" s="446"/>
      <c r="K21" s="296"/>
      <c r="L21" s="461"/>
      <c r="M21" s="17"/>
      <c r="N21" s="156"/>
      <c r="O21" s="11"/>
      <c r="P21" s="464" t="s">
        <v>4692</v>
      </c>
      <c r="Q21" s="964">
        <f>$C$103</f>
        <v>26068371337.325058</v>
      </c>
      <c r="R21" s="964">
        <f>$E$103</f>
        <v>2125084239.8725581</v>
      </c>
      <c r="S21" s="964">
        <f>SUM(T21:V21)</f>
        <v>74576326569.546799</v>
      </c>
      <c r="T21" s="964">
        <f>$G$103</f>
        <v>18817098616.822193</v>
      </c>
      <c r="U21" s="964">
        <f>$I$103</f>
        <v>11853510987.311258</v>
      </c>
      <c r="V21" s="965">
        <f>$K$103</f>
        <v>43905716965.413345</v>
      </c>
      <c r="W21" s="410">
        <v>2</v>
      </c>
      <c r="X21" s="410" t="s">
        <v>4693</v>
      </c>
      <c r="Y21" s="11"/>
      <c r="Z21" s="11"/>
      <c r="AA21" s="11"/>
      <c r="AB21" s="11"/>
      <c r="AC21" s="11"/>
      <c r="AD21" s="11"/>
      <c r="AE21" s="467"/>
      <c r="AF21" s="410" t="s">
        <v>4690</v>
      </c>
      <c r="AG21" s="685">
        <f>G17</f>
        <v>0.2869647678032779</v>
      </c>
      <c r="AH21" s="685">
        <f>SUM(G57,G65)</f>
        <v>0.60224613539418503</v>
      </c>
      <c r="AI21" s="335">
        <f>G73</f>
        <v>2.1970524078842872E-5</v>
      </c>
      <c r="AJ21" s="961">
        <f>G97</f>
        <v>6.4340025861432615</v>
      </c>
      <c r="AK21" s="410">
        <v>6</v>
      </c>
      <c r="AL21" s="410" t="s">
        <v>4694</v>
      </c>
      <c r="AM21" s="11"/>
      <c r="AN21" s="11"/>
      <c r="AO21" s="11"/>
      <c r="AP21" s="11"/>
      <c r="AQ21" s="11"/>
      <c r="AR21" s="11"/>
      <c r="AS21" s="11"/>
    </row>
    <row r="22" spans="1:45" ht="12.75" customHeight="1" x14ac:dyDescent="0.3">
      <c r="A22" s="17"/>
      <c r="B22" s="159" t="s">
        <v>139</v>
      </c>
      <c r="C22" s="295">
        <f>(1-FRwD.w0R)*C20</f>
        <v>85706.760290363818</v>
      </c>
      <c r="D22" s="446">
        <f t="shared" si="7"/>
        <v>3.2877681225772507E-6</v>
      </c>
      <c r="E22" s="295">
        <f>(1-FRw.w0C)*E20</f>
        <v>7469.7581164818821</v>
      </c>
      <c r="F22" s="446">
        <f t="shared" si="8"/>
        <v>3.5150409458261502E-6</v>
      </c>
      <c r="G22" s="296"/>
      <c r="H22" s="446"/>
      <c r="I22" s="296"/>
      <c r="J22" s="446"/>
      <c r="K22" s="296"/>
      <c r="L22" s="461"/>
      <c r="M22" s="17"/>
      <c r="N22" s="156"/>
      <c r="O22" s="11"/>
      <c r="P22" s="11"/>
      <c r="Q22" s="11"/>
      <c r="R22" s="11"/>
      <c r="S22" s="11"/>
      <c r="T22" s="11"/>
      <c r="U22" s="11"/>
      <c r="V22" s="11"/>
      <c r="W22" s="11"/>
      <c r="X22" t="s">
        <v>4695</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123</v>
      </c>
      <c r="C23" s="295">
        <f>M.w0RS*Molweight</f>
        <v>0.20211887102730647</v>
      </c>
      <c r="D23" s="446">
        <f t="shared" si="7"/>
        <v>7.7534138367098462E-12</v>
      </c>
      <c r="E23" s="295">
        <f>M.w0CS*Molweight</f>
        <v>2.0276656051959958E-2</v>
      </c>
      <c r="F23" s="446">
        <f t="shared" si="8"/>
        <v>9.5415775391454384E-12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249</v>
      </c>
      <c r="AF23" s="410" t="s">
        <v>4687</v>
      </c>
      <c r="AG23" s="685">
        <f>I12</f>
        <v>7.7986473842876308E-14</v>
      </c>
      <c r="AH23" s="685">
        <f>SUM(I52,I60)</f>
        <v>8940184845.4960957</v>
      </c>
      <c r="AI23" s="685">
        <f>I68</f>
        <v>2762016754.9084554</v>
      </c>
      <c r="AJ23" s="961">
        <f>I92</f>
        <v>151291744.53221974</v>
      </c>
      <c r="AK23" s="11"/>
      <c r="AL23"/>
      <c r="AM23" s="11"/>
      <c r="AN23" s="11"/>
      <c r="AO23" s="11"/>
      <c r="AP23" s="11"/>
      <c r="AQ23" s="11"/>
      <c r="AR23" s="410" t="s">
        <v>4696</v>
      </c>
      <c r="AS23" s="410" t="s">
        <v>4697</v>
      </c>
    </row>
    <row r="24" spans="1:45" ht="12.75" customHeight="1" x14ac:dyDescent="0.3">
      <c r="A24" s="17"/>
      <c r="B24" s="159" t="s">
        <v>126</v>
      </c>
      <c r="C24" s="295">
        <f>M.w0RA*Molweight</f>
        <v>3819.2670375090693</v>
      </c>
      <c r="D24" s="446">
        <f t="shared" si="7"/>
        <v>1.4650961458572554E-7</v>
      </c>
      <c r="E24" s="295">
        <f>M.w0CA*Molweight</f>
        <v>1944.5230245105445</v>
      </c>
      <c r="F24" s="446">
        <f t="shared" si="8"/>
        <v>9.1503338457169028E-7</v>
      </c>
      <c r="G24" s="296"/>
      <c r="H24" s="446"/>
      <c r="I24" s="296"/>
      <c r="J24" s="446"/>
      <c r="K24" s="296"/>
      <c r="L24" s="461"/>
      <c r="M24" s="17"/>
      <c r="N24" s="156"/>
      <c r="O24" s="11"/>
      <c r="P24" s="11">
        <v>4</v>
      </c>
      <c r="Q24" s="410" t="s">
        <v>4698</v>
      </c>
      <c r="R24" s="11"/>
      <c r="S24" s="11"/>
      <c r="T24" s="11"/>
      <c r="U24" s="11"/>
      <c r="V24" s="11"/>
      <c r="W24" s="11"/>
      <c r="X24" s="11"/>
      <c r="Y24" s="11"/>
      <c r="Z24" s="11"/>
      <c r="AA24" s="11"/>
      <c r="AB24" s="11"/>
      <c r="AC24" s="11"/>
      <c r="AD24" s="11"/>
      <c r="AE24" s="467"/>
      <c r="AF24" s="410" t="s">
        <v>4688</v>
      </c>
      <c r="AG24" s="685">
        <f>I15</f>
        <v>0.33326386307473155</v>
      </c>
      <c r="AH24" s="685">
        <f>SUM(I55,I63)</f>
        <v>2.0996383260624501E-4</v>
      </c>
      <c r="AI24" s="685">
        <f>I71</f>
        <v>7.8057582855757681E-20</v>
      </c>
      <c r="AJ24" s="961">
        <f>I95</f>
        <v>2.1445384349287605E-5</v>
      </c>
      <c r="AK24" s="11"/>
      <c r="AL24" s="11"/>
      <c r="AM24" s="11"/>
      <c r="AN24" s="11"/>
      <c r="AO24" s="11"/>
      <c r="AP24" s="11"/>
      <c r="AQ24" s="11"/>
      <c r="AR24" s="11"/>
      <c r="AS24"/>
    </row>
    <row r="25" spans="1:45" ht="12.75" customHeight="1" x14ac:dyDescent="0.3">
      <c r="A25" s="17"/>
      <c r="B25" s="159" t="s">
        <v>128</v>
      </c>
      <c r="C25" s="295">
        <f>M.w0RP*Molweight</f>
        <v>6.6256736465689618</v>
      </c>
      <c r="D25" s="446">
        <f t="shared" si="7"/>
        <v>2.5416523191390285E-10</v>
      </c>
      <c r="E25" s="295">
        <f>M.w0CP*Molweight</f>
        <v>0.99659902531361388</v>
      </c>
      <c r="F25" s="446">
        <f t="shared" si="8"/>
        <v>4.6896918560432231E-10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4689</v>
      </c>
      <c r="AG25" s="685">
        <f>I16</f>
        <v>15634.97794134946</v>
      </c>
      <c r="AH25" s="685">
        <f>SUM(I56,I64)</f>
        <v>1200.6881826014751</v>
      </c>
      <c r="AI25" s="685">
        <f>I72</f>
        <v>3.7130485957595628E-5</v>
      </c>
      <c r="AJ25" s="961">
        <f>I96</f>
        <v>806.3203905036828</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4690</v>
      </c>
      <c r="AG26" s="685">
        <f>I17</f>
        <v>7.0565069728663948E-3</v>
      </c>
      <c r="AH26" s="685">
        <f>SUM(I57,I65)</f>
        <v>7.6409120357943169E-3</v>
      </c>
      <c r="AI26" s="685">
        <f>I73</f>
        <v>2.8857749739472527E-7</v>
      </c>
      <c r="AJ26" s="961">
        <f>I97</f>
        <v>3.974323610147705E-2</v>
      </c>
      <c r="AK26" s="11"/>
      <c r="AL26" s="11"/>
      <c r="AM26" s="11"/>
      <c r="AN26" s="11"/>
      <c r="AO26" s="11"/>
      <c r="AP26" s="11"/>
      <c r="AQ26" s="11"/>
      <c r="AR26" s="11"/>
      <c r="AS26" s="11"/>
    </row>
    <row r="27" spans="1:45" ht="12.75" customHeight="1" x14ac:dyDescent="0.3">
      <c r="A27" s="17"/>
      <c r="B27" s="104" t="s">
        <v>150</v>
      </c>
      <c r="C27" s="295">
        <f>SUM(C28,C31:C33)</f>
        <v>8707196.4060070366</v>
      </c>
      <c r="D27" s="446">
        <f t="shared" ref="D27:D33" si="9">C27/$C$103</f>
        <v>3.3401382439032356E-4</v>
      </c>
      <c r="E27" s="295">
        <f>SUM(E28,E31:E33)</f>
        <v>752423.0027627676</v>
      </c>
      <c r="F27" s="446">
        <f t="shared" ref="F27:F33" si="10">E27/$E$103</f>
        <v>3.5406737702214133E-4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116</v>
      </c>
      <c r="C28" s="295">
        <f>M.sd0RD*Molweight</f>
        <v>8707168.06830463</v>
      </c>
      <c r="D28" s="446">
        <f t="shared" si="9"/>
        <v>3.340127373372799E-4</v>
      </c>
      <c r="E28" s="295">
        <f>M.sd0CD*Molweight</f>
        <v>752413.75551193312</v>
      </c>
      <c r="F28" s="446">
        <f t="shared" si="10"/>
        <v>3.5406302554719224E-4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4686</v>
      </c>
      <c r="AF28" s="410" t="s">
        <v>4687</v>
      </c>
      <c r="AG28" s="685">
        <f>K12</f>
        <v>3.9944936323499558E-11</v>
      </c>
      <c r="AH28" s="685">
        <f>SUM(K52,K60)</f>
        <v>33302287440.40453</v>
      </c>
      <c r="AI28" s="685">
        <f>K68</f>
        <v>10384089556.749104</v>
      </c>
      <c r="AJ28" s="961">
        <f>K92</f>
        <v>219312376.34697792</v>
      </c>
      <c r="AK28" s="11"/>
      <c r="AL28" s="11"/>
      <c r="AM28" s="11"/>
      <c r="AN28" s="11"/>
      <c r="AO28" s="11"/>
      <c r="AP28" s="11"/>
      <c r="AQ28" s="11"/>
      <c r="AR28" s="11"/>
      <c r="AS28" s="11"/>
    </row>
    <row r="29" spans="1:45" ht="12.75" customHeight="1" x14ac:dyDescent="0.3">
      <c r="A29" s="17"/>
      <c r="B29" s="159" t="s">
        <v>154</v>
      </c>
      <c r="C29" s="295">
        <f>C28*FRACw.sdR</f>
        <v>6965734.454643704</v>
      </c>
      <c r="D29" s="446">
        <f t="shared" si="9"/>
        <v>2.672101898698239E-4</v>
      </c>
      <c r="E29" s="295">
        <f>E28*FRACw.sdC</f>
        <v>601931.0044095465</v>
      </c>
      <c r="F29" s="446">
        <f t="shared" si="10"/>
        <v>2.8325042043775376E-4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4688</v>
      </c>
      <c r="AG29" s="335">
        <f>K15</f>
        <v>0.51772829282360511</v>
      </c>
      <c r="AH29" s="335">
        <f>SUM(K55,K63)</f>
        <v>4.5550142688968167E-4</v>
      </c>
      <c r="AI29" s="335">
        <f>K71</f>
        <v>1.2287352689088356E-19</v>
      </c>
      <c r="AJ29" s="468">
        <f>K95</f>
        <v>3.3040392720448103E-5</v>
      </c>
      <c r="AK29" s="11"/>
      <c r="AL29" s="11"/>
      <c r="AM29" s="11"/>
      <c r="AN29" s="11"/>
      <c r="AO29" s="11"/>
      <c r="AP29" s="11"/>
      <c r="AQ29" s="11"/>
      <c r="AR29" s="11"/>
      <c r="AS29" s="11"/>
    </row>
    <row r="30" spans="1:45" ht="12.75" customHeight="1" x14ac:dyDescent="0.3">
      <c r="A30" s="17"/>
      <c r="B30" s="159" t="s">
        <v>155</v>
      </c>
      <c r="C30" s="295">
        <f>C28*FRACs.sdR</f>
        <v>1741433.6136609255</v>
      </c>
      <c r="D30" s="446">
        <f t="shared" si="9"/>
        <v>6.680254746745596E-5</v>
      </c>
      <c r="E30" s="295">
        <f>E28*FRACs.sdC</f>
        <v>150482.7511023866</v>
      </c>
      <c r="F30" s="446">
        <f t="shared" si="10"/>
        <v>7.0812605109438426E-5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4689</v>
      </c>
      <c r="AG30" s="335">
        <f>K16</f>
        <v>23305.408549597967</v>
      </c>
      <c r="AH30" s="335">
        <f>SUM(K56,K64)</f>
        <v>2780.5493716340948</v>
      </c>
      <c r="AI30" s="335">
        <f>K72</f>
        <v>7.2884671382398477E-5</v>
      </c>
      <c r="AJ30" s="468">
        <f>K96</f>
        <v>1505.3623342790509</v>
      </c>
      <c r="AK30" s="11"/>
      <c r="AL30" s="11"/>
      <c r="AM30" s="11"/>
      <c r="AN30" s="11"/>
      <c r="AO30" s="11"/>
      <c r="AP30" s="11"/>
      <c r="AQ30" s="11"/>
      <c r="AR30" s="11"/>
      <c r="AS30" s="11"/>
    </row>
    <row r="31" spans="1:45" ht="12.75" customHeight="1" x14ac:dyDescent="0.3">
      <c r="A31" s="17"/>
      <c r="B31" s="159" t="s">
        <v>123</v>
      </c>
      <c r="C31" s="295">
        <f>M.sd0RS*Molweight</f>
        <v>2.1882535318169594E-10</v>
      </c>
      <c r="D31" s="446">
        <f t="shared" si="9"/>
        <v>8.3942855635318785E-21</v>
      </c>
      <c r="E31" s="295">
        <f>M.sd0CS*Molweight</f>
        <v>6.4176147330638947E-12</v>
      </c>
      <c r="F31" s="446">
        <f t="shared" si="10"/>
        <v>3.0199342749107964E-21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4690</v>
      </c>
      <c r="AG31" s="469">
        <f>K17</f>
        <v>2.5189928678182355E-3</v>
      </c>
      <c r="AH31" s="469">
        <f>SUM(K57,K65)</f>
        <v>1.2268617379560899E-2</v>
      </c>
      <c r="AI31" s="469">
        <f>K73</f>
        <v>4.3267670176701891E-7</v>
      </c>
      <c r="AJ31" s="470">
        <f>K97</f>
        <v>5.940226560464866E-2</v>
      </c>
      <c r="AK31" s="11"/>
      <c r="AL31" s="11"/>
      <c r="AM31" s="11"/>
      <c r="AN31" s="11"/>
      <c r="AO31" s="11"/>
      <c r="AP31" s="11"/>
      <c r="AQ31" s="11"/>
      <c r="AR31" s="11"/>
      <c r="AS31" s="11"/>
    </row>
    <row r="32" spans="1:45" ht="12.75" customHeight="1" x14ac:dyDescent="0.3">
      <c r="A32" s="17"/>
      <c r="B32" s="159" t="s">
        <v>126</v>
      </c>
      <c r="C32" s="295">
        <f>M.sd0RA*Molweight</f>
        <v>13.892141481443643</v>
      </c>
      <c r="D32" s="446">
        <f t="shared" si="9"/>
        <v>5.3291175354528888E-10</v>
      </c>
      <c r="E32" s="295">
        <f>M.sd0CA*Molweight</f>
        <v>7.0740850608177661</v>
      </c>
      <c r="F32" s="446">
        <f t="shared" si="10"/>
        <v>3.3288492418738189E-9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128</v>
      </c>
      <c r="C33" s="295">
        <f>M.sd0RP*Molweight</f>
        <v>14.445560924679254</v>
      </c>
      <c r="D33" s="446">
        <f t="shared" si="9"/>
        <v>5.541412901386708E-10</v>
      </c>
      <c r="E33" s="295">
        <f>M.sd0CP*Molweight</f>
        <v>2.1731657736322894</v>
      </c>
      <c r="F33" s="446">
        <f t="shared" si="10"/>
        <v>1.0226257071873135E-9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4680</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246</v>
      </c>
      <c r="AF34" s="973"/>
      <c r="AG34" s="973" t="s">
        <v>112</v>
      </c>
      <c r="AH34" s="973" t="s">
        <v>4682</v>
      </c>
      <c r="AI34" s="973" t="s">
        <v>4683</v>
      </c>
      <c r="AJ34" s="974" t="s">
        <v>4684</v>
      </c>
      <c r="AK34" s="11"/>
      <c r="AL34" s="11"/>
      <c r="AM34" s="11"/>
      <c r="AN34" s="11"/>
      <c r="AO34" s="11"/>
      <c r="AP34" s="11"/>
      <c r="AQ34" s="11"/>
      <c r="AR34" s="11"/>
      <c r="AS34" s="11"/>
    </row>
    <row r="35" spans="1:45" ht="12.75" customHeight="1" x14ac:dyDescent="0.3">
      <c r="A35" s="17"/>
      <c r="B35" s="104" t="s">
        <v>180</v>
      </c>
      <c r="C35" s="295">
        <f>SUM(C36,C39:C41)</f>
        <v>2055641.5549341748</v>
      </c>
      <c r="D35" s="446">
        <f t="shared" ref="D35:D41" si="11">C35/$C$103</f>
        <v>7.8855772320186282E-5</v>
      </c>
      <c r="E35" s="295">
        <f>SUM(E36,E39:E41)</f>
        <v>56552.471580161189</v>
      </c>
      <c r="F35" s="446">
        <f t="shared" ref="F35:F41" si="12">E35/$E$103</f>
        <v>2.6611872846768963E-5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4688</v>
      </c>
      <c r="AG35" s="968">
        <f t="shared" ref="AG35:AJ37" si="13">AG4</f>
        <v>6088.0683363256967</v>
      </c>
      <c r="AH35" s="968">
        <f t="shared" si="13"/>
        <v>224.09794798152484</v>
      </c>
      <c r="AI35" s="968">
        <f t="shared" si="13"/>
        <v>6.4512755972196457E-6</v>
      </c>
      <c r="AJ35" s="969">
        <f t="shared" si="13"/>
        <v>17.580102104515895</v>
      </c>
      <c r="AK35" s="11"/>
      <c r="AL35" s="11"/>
      <c r="AM35" s="11"/>
      <c r="AN35" s="11"/>
      <c r="AO35" s="11"/>
      <c r="AP35" s="11"/>
      <c r="AQ35" s="11"/>
      <c r="AR35" s="11"/>
      <c r="AS35" s="11"/>
    </row>
    <row r="36" spans="1:45" ht="12.75" customHeight="1" x14ac:dyDescent="0.3">
      <c r="A36" s="17"/>
      <c r="B36" s="443" t="s">
        <v>116</v>
      </c>
      <c r="C36" s="295">
        <f>M.w1RD*Molweight</f>
        <v>864545.93757309334</v>
      </c>
      <c r="D36" s="446">
        <f t="shared" si="11"/>
        <v>3.3164555099582473E-5</v>
      </c>
      <c r="E36" s="295">
        <f>M.w1CD*Molweight</f>
        <v>43419.454788802905</v>
      </c>
      <c r="F36" s="446">
        <f t="shared" si="12"/>
        <v>2.0431874640135103E-5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4689</v>
      </c>
      <c r="AG36" s="968">
        <f t="shared" si="13"/>
        <v>27303.458969486273</v>
      </c>
      <c r="AH36" s="968">
        <f t="shared" si="13"/>
        <v>1193563.9459782338</v>
      </c>
      <c r="AI36" s="968">
        <f t="shared" si="13"/>
        <v>119908.73166248428</v>
      </c>
      <c r="AJ36" s="969">
        <f t="shared" si="13"/>
        <v>55551.417226588979</v>
      </c>
      <c r="AK36" s="11"/>
      <c r="AL36" s="11"/>
      <c r="AM36" s="11"/>
      <c r="AN36" s="11"/>
      <c r="AO36" s="11"/>
      <c r="AP36" s="11"/>
      <c r="AQ36" s="11"/>
      <c r="AR36" s="11"/>
      <c r="AS36" s="11"/>
    </row>
    <row r="37" spans="1:45" ht="12.75" customHeight="1" x14ac:dyDescent="0.3">
      <c r="A37" s="17"/>
      <c r="B37" s="159" t="s">
        <v>137</v>
      </c>
      <c r="C37" s="295">
        <f>FRwD.w1R*C36</f>
        <v>356481.44810495269</v>
      </c>
      <c r="D37" s="446">
        <f t="shared" si="11"/>
        <v>1.3674864589432083E-5</v>
      </c>
      <c r="E37" s="295">
        <f>FRw.w1C*E36</f>
        <v>17903.305592401062</v>
      </c>
      <c r="F37" s="446">
        <f t="shared" si="12"/>
        <v>8.4247510082116697E-6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4690</v>
      </c>
      <c r="AG37" s="970">
        <f t="shared" si="13"/>
        <v>21.911276655502284</v>
      </c>
      <c r="AH37" s="970">
        <f t="shared" si="13"/>
        <v>7716.6321270830013</v>
      </c>
      <c r="AI37" s="970">
        <f t="shared" si="13"/>
        <v>466175.2841621855</v>
      </c>
      <c r="AJ37" s="971">
        <f t="shared" si="13"/>
        <v>16495.409935401844</v>
      </c>
      <c r="AK37" s="11"/>
      <c r="AL37" s="11"/>
      <c r="AM37" s="11"/>
      <c r="AN37" s="11"/>
      <c r="AO37" s="11"/>
      <c r="AP37" s="11"/>
      <c r="AQ37" s="11"/>
      <c r="AR37" s="11"/>
      <c r="AS37" s="11"/>
    </row>
    <row r="38" spans="1:45" ht="12.75" customHeight="1" x14ac:dyDescent="0.3">
      <c r="A38" s="17"/>
      <c r="B38" s="159" t="s">
        <v>139</v>
      </c>
      <c r="C38" s="295">
        <f>(1-FRwD.w1R)*C36</f>
        <v>508064.48946814059</v>
      </c>
      <c r="D38" s="446">
        <f t="shared" si="11"/>
        <v>1.948969051015039E-5</v>
      </c>
      <c r="E38" s="295">
        <f>(1-FRw.w1C)*E36</f>
        <v>25516.149196401839</v>
      </c>
      <c r="F38" s="446">
        <f t="shared" si="12"/>
        <v>1.2007123631923433E-5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4696</v>
      </c>
      <c r="AF38" s="11"/>
      <c r="AG38" s="685"/>
      <c r="AH38" s="685"/>
      <c r="AI38" s="685"/>
      <c r="AJ38" s="685"/>
      <c r="AK38" s="11"/>
      <c r="AL38" s="11"/>
      <c r="AM38" s="11"/>
      <c r="AN38" s="11"/>
      <c r="AO38" s="11"/>
      <c r="AP38" s="11"/>
      <c r="AQ38" s="11"/>
      <c r="AR38" s="11"/>
      <c r="AS38" s="11"/>
    </row>
    <row r="39" spans="1:45" ht="12.75" customHeight="1" x14ac:dyDescent="0.3">
      <c r="A39" s="17"/>
      <c r="B39" s="159" t="s">
        <v>123</v>
      </c>
      <c r="C39" s="295">
        <f>M.w1RS*Molweight</f>
        <v>223.84334269117008</v>
      </c>
      <c r="D39" s="446">
        <f t="shared" si="11"/>
        <v>8.5867789665351312E-9</v>
      </c>
      <c r="E39" s="295">
        <f>M.w1CS*Molweight</f>
        <v>8.2994239353367263E-2</v>
      </c>
      <c r="F39" s="446">
        <f t="shared" si="12"/>
        <v>3.9054564424394043E-11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247</v>
      </c>
      <c r="AF39" s="978" t="s">
        <v>4688</v>
      </c>
      <c r="AG39" s="973">
        <f t="shared" ref="AG39:AJ41" si="14">AG9</f>
        <v>1256.9250445136479</v>
      </c>
      <c r="AH39" s="973">
        <f t="shared" si="14"/>
        <v>1.25576172820976</v>
      </c>
      <c r="AI39" s="973">
        <f t="shared" si="14"/>
        <v>9.5180632983884788E-10</v>
      </c>
      <c r="AJ39" s="974">
        <f t="shared" si="14"/>
        <v>0.11799343213432149</v>
      </c>
      <c r="AK39" s="11"/>
      <c r="AL39" s="11"/>
      <c r="AM39" s="11"/>
      <c r="AN39" s="11"/>
      <c r="AO39" s="11"/>
      <c r="AP39" s="11"/>
      <c r="AQ39" s="11"/>
      <c r="AR39" s="11"/>
      <c r="AS39" s="11"/>
    </row>
    <row r="40" spans="1:45" ht="12.75" customHeight="1" x14ac:dyDescent="0.3">
      <c r="A40" s="17"/>
      <c r="B40" s="159" t="s">
        <v>126</v>
      </c>
      <c r="C40" s="295">
        <f>M.w1RA*Molweight</f>
        <v>1183196.7609677941</v>
      </c>
      <c r="D40" s="446">
        <f t="shared" si="11"/>
        <v>4.5388211854788046E-5</v>
      </c>
      <c r="E40" s="295">
        <f>M.w1CA*Molweight</f>
        <v>13129.641870895985</v>
      </c>
      <c r="F40" s="446">
        <f t="shared" si="12"/>
        <v>6.1784100717265559E-6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4689</v>
      </c>
      <c r="AG40" s="968">
        <f t="shared" si="14"/>
        <v>120964.55813355632</v>
      </c>
      <c r="AH40" s="968">
        <f t="shared" si="14"/>
        <v>23255.2821054265</v>
      </c>
      <c r="AI40" s="968">
        <f t="shared" si="14"/>
        <v>1341.5848927183592</v>
      </c>
      <c r="AJ40" s="969">
        <f t="shared" si="14"/>
        <v>5520.3807951642866</v>
      </c>
      <c r="AK40" s="11"/>
      <c r="AL40" s="11"/>
      <c r="AM40" s="11"/>
      <c r="AN40" s="11"/>
      <c r="AO40" s="11"/>
      <c r="AP40" s="11"/>
      <c r="AQ40" s="11"/>
      <c r="AR40" s="11"/>
      <c r="AS40" s="11"/>
    </row>
    <row r="41" spans="1:45" ht="12.75" customHeight="1" x14ac:dyDescent="0.3">
      <c r="A41" s="17"/>
      <c r="B41" s="159" t="s">
        <v>128</v>
      </c>
      <c r="C41" s="295">
        <f>M.w1RP*Molweight</f>
        <v>7675.0130505961952</v>
      </c>
      <c r="D41" s="446">
        <f t="shared" si="11"/>
        <v>2.9441858684922922E-7</v>
      </c>
      <c r="E41" s="295">
        <f>M.w1CP*Molweight</f>
        <v>3.2919262229498152</v>
      </c>
      <c r="F41" s="446">
        <f t="shared" si="12"/>
        <v>1.5490803428795994E-9</v>
      </c>
      <c r="G41" s="296"/>
      <c r="H41" s="446"/>
      <c r="I41" s="296"/>
      <c r="J41" s="446"/>
      <c r="K41" s="296"/>
      <c r="L41" s="461"/>
      <c r="M41" s="17"/>
      <c r="N41" s="156"/>
      <c r="O41" s="11"/>
      <c r="P41" s="11"/>
      <c r="Q41" s="11"/>
      <c r="R41" s="11"/>
      <c r="S41" s="11"/>
      <c r="T41" s="11"/>
      <c r="U41" s="11"/>
      <c r="V41" s="11"/>
      <c r="W41" s="410" t="s">
        <v>4691</v>
      </c>
      <c r="X41" s="410" t="s">
        <v>4699</v>
      </c>
      <c r="Y41" s="11"/>
      <c r="Z41" s="11"/>
      <c r="AA41" s="11"/>
      <c r="AB41" s="11"/>
      <c r="AC41" s="11"/>
      <c r="AD41" s="11"/>
      <c r="AE41" s="981"/>
      <c r="AF41" s="982" t="s">
        <v>4690</v>
      </c>
      <c r="AG41" s="970">
        <f t="shared" si="14"/>
        <v>7.6666471325835897</v>
      </c>
      <c r="AH41" s="970">
        <f t="shared" si="14"/>
        <v>25.405213620246116</v>
      </c>
      <c r="AI41" s="970">
        <f t="shared" si="14"/>
        <v>202.96605026368209</v>
      </c>
      <c r="AJ41" s="971">
        <f t="shared" si="14"/>
        <v>147.75164336176505</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4700</v>
      </c>
      <c r="AF42" s="11"/>
      <c r="AG42" s="685"/>
      <c r="AH42" s="685"/>
      <c r="AI42" s="685"/>
      <c r="AJ42" s="685"/>
      <c r="AK42" s="410">
        <v>7</v>
      </c>
      <c r="AL42" s="410" t="s">
        <v>4701</v>
      </c>
      <c r="AM42" s="11"/>
      <c r="AN42" s="11"/>
      <c r="AO42" s="11"/>
      <c r="AP42" s="11"/>
      <c r="AQ42" s="11"/>
      <c r="AR42" s="11"/>
      <c r="AS42" s="11"/>
    </row>
    <row r="43" spans="1:45" ht="12.75" customHeight="1" x14ac:dyDescent="0.3">
      <c r="A43" s="17"/>
      <c r="B43" s="104" t="s">
        <v>185</v>
      </c>
      <c r="C43" s="295">
        <f>SUM(C44,C47:C49)</f>
        <v>172456703.55670142</v>
      </c>
      <c r="D43" s="446">
        <f t="shared" ref="D43:D49" si="15">C43/$C$103</f>
        <v>6.6155534354298351E-3</v>
      </c>
      <c r="E43" s="295">
        <f>SUM(E44,E47:E49)</f>
        <v>8508243.9673797451</v>
      </c>
      <c r="F43" s="446">
        <f t="shared" ref="F43:F49" si="16">E43/$E$103</f>
        <v>4.0037207973882419E-3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4685</v>
      </c>
      <c r="AF43" s="978" t="s">
        <v>4688</v>
      </c>
      <c r="AG43" s="973">
        <f t="shared" ref="AG43:AJ45" si="17">AG14</f>
        <v>38.823341063629698</v>
      </c>
      <c r="AH43" s="973">
        <f t="shared" si="17"/>
        <v>2.2761100525050988E-2</v>
      </c>
      <c r="AI43" s="973">
        <f t="shared" si="17"/>
        <v>7.0996573591434519E-18</v>
      </c>
      <c r="AJ43" s="974">
        <f t="shared" si="17"/>
        <v>3.664311972209689E-3</v>
      </c>
      <c r="AK43" s="685"/>
      <c r="AL43"/>
      <c r="AM43" s="11"/>
      <c r="AN43" s="11"/>
      <c r="AO43" s="11"/>
      <c r="AP43" s="11"/>
      <c r="AQ43" s="11"/>
      <c r="AR43" s="410" t="s">
        <v>4700</v>
      </c>
      <c r="AS43" s="410" t="s">
        <v>4702</v>
      </c>
    </row>
    <row r="44" spans="1:45" ht="12.75" customHeight="1" x14ac:dyDescent="0.3">
      <c r="A44" s="17"/>
      <c r="B44" s="443" t="s">
        <v>116</v>
      </c>
      <c r="C44" s="295">
        <f>M.sd1RD*Molweight</f>
        <v>171870659.31360564</v>
      </c>
      <c r="D44" s="446">
        <f t="shared" si="15"/>
        <v>6.5930723898933738E-3</v>
      </c>
      <c r="E44" s="295">
        <f>M.sd1CD*Molweight</f>
        <v>8506709.0965842046</v>
      </c>
      <c r="F44" s="446">
        <f t="shared" si="16"/>
        <v>4.002998533881346E-3</v>
      </c>
      <c r="G44" s="296"/>
      <c r="H44" s="446"/>
      <c r="I44" s="296"/>
      <c r="J44" s="446"/>
      <c r="K44" s="296"/>
      <c r="L44" s="461"/>
      <c r="M44" s="17"/>
      <c r="N44" s="156"/>
      <c r="O44" s="11"/>
      <c r="P44" s="410">
        <v>4</v>
      </c>
      <c r="Q44" s="410" t="s">
        <v>4698</v>
      </c>
      <c r="R44" s="11"/>
      <c r="S44" s="11"/>
      <c r="T44" s="11"/>
      <c r="U44" s="11"/>
      <c r="V44" s="11"/>
      <c r="W44" s="11"/>
      <c r="X44" s="11"/>
      <c r="Y44" s="11"/>
      <c r="Z44" s="11"/>
      <c r="AA44" s="11"/>
      <c r="AB44" s="11"/>
      <c r="AC44" s="11"/>
      <c r="AD44" s="11"/>
      <c r="AE44" s="979"/>
      <c r="AF44" s="980" t="s">
        <v>4689</v>
      </c>
      <c r="AG44" s="968">
        <f t="shared" si="17"/>
        <v>114804.59880898254</v>
      </c>
      <c r="AH44" s="968">
        <f t="shared" si="17"/>
        <v>9737.2327906730443</v>
      </c>
      <c r="AI44" s="968">
        <f t="shared" si="17"/>
        <v>2.7501977191250358E-4</v>
      </c>
      <c r="AJ44" s="969">
        <f t="shared" si="17"/>
        <v>9046.1097842984709</v>
      </c>
      <c r="AK44" s="11"/>
      <c r="AL44"/>
      <c r="AM44" s="11"/>
      <c r="AN44" s="11"/>
      <c r="AO44" s="11"/>
      <c r="AP44" s="11"/>
      <c r="AQ44" s="11"/>
      <c r="AR44" s="11"/>
      <c r="AS44"/>
    </row>
    <row r="45" spans="1:45" ht="12.75" customHeight="1" x14ac:dyDescent="0.3">
      <c r="A45" s="17"/>
      <c r="B45" s="159" t="s">
        <v>154</v>
      </c>
      <c r="C45" s="295">
        <f>C44*FRACw.sdR</f>
        <v>137496527.45088452</v>
      </c>
      <c r="D45" s="446">
        <f t="shared" si="15"/>
        <v>5.2744579119146989E-3</v>
      </c>
      <c r="E45" s="295">
        <f>E44*FRACw.sdC</f>
        <v>6805367.2772673639</v>
      </c>
      <c r="F45" s="446">
        <f t="shared" si="16"/>
        <v>3.2023988271050767E-3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4690</v>
      </c>
      <c r="AG45" s="970">
        <f t="shared" si="17"/>
        <v>0.29654026764396257</v>
      </c>
      <c r="AH45" s="970">
        <f t="shared" si="17"/>
        <v>0.62215566480954021</v>
      </c>
      <c r="AI45" s="970">
        <f t="shared" si="17"/>
        <v>2.2691778278004614E-5</v>
      </c>
      <c r="AJ45" s="971">
        <f t="shared" si="17"/>
        <v>6.5331480878493871</v>
      </c>
      <c r="AK45" s="11"/>
      <c r="AL45" s="11"/>
      <c r="AM45" s="11"/>
      <c r="AN45" s="11"/>
      <c r="AO45" s="11"/>
      <c r="AP45" s="11"/>
      <c r="AQ45" s="11"/>
      <c r="AR45" s="11"/>
      <c r="AS45"/>
    </row>
    <row r="46" spans="1:45" ht="12.75" customHeight="1" x14ac:dyDescent="0.3">
      <c r="A46" s="17"/>
      <c r="B46" s="159" t="s">
        <v>155</v>
      </c>
      <c r="C46" s="295">
        <f>C44*FRACs.sdR</f>
        <v>34374131.862721123</v>
      </c>
      <c r="D46" s="446">
        <f t="shared" si="15"/>
        <v>1.3186144779786745E-3</v>
      </c>
      <c r="E46" s="295">
        <f>E44*FRACs.sdC</f>
        <v>1701341.8193168405</v>
      </c>
      <c r="F46" s="446">
        <f t="shared" si="16"/>
        <v>8.0059970677626895E-4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123</v>
      </c>
      <c r="C47" s="295">
        <f>M.sd1RS*Molweight</f>
        <v>6.4507876993070042E-6</v>
      </c>
      <c r="D47" s="446">
        <f t="shared" si="15"/>
        <v>2.4745649108008052E-16</v>
      </c>
      <c r="E47" s="295">
        <f>M.sd1CS*Molweight</f>
        <v>8.1545593885788619E-10</v>
      </c>
      <c r="F47" s="446">
        <f t="shared" si="16"/>
        <v>3.8372875933934236E-19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126</v>
      </c>
      <c r="C48" s="295">
        <f>M.sd1RA*Molweight</f>
        <v>119892.11903347586</v>
      </c>
      <c r="D48" s="446">
        <f t="shared" si="15"/>
        <v>4.5991411385878431E-6</v>
      </c>
      <c r="E48" s="295">
        <f>M.sd1CA*Molweight</f>
        <v>1334.3408533804363</v>
      </c>
      <c r="F48" s="446">
        <f t="shared" si="16"/>
        <v>6.2790021606882608E-7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128</v>
      </c>
      <c r="C49" s="295">
        <f>M.sd1RP*Molweight</f>
        <v>466152.12405586254</v>
      </c>
      <c r="D49" s="446">
        <f t="shared" si="15"/>
        <v>1.7881904397626078E-5</v>
      </c>
      <c r="E49" s="295">
        <f>M.sd1CP*Molweight</f>
        <v>200.52994216135187</v>
      </c>
      <c r="F49" s="446">
        <f t="shared" si="16"/>
        <v>9.4363290828121576E-8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196</v>
      </c>
      <c r="C51" s="295">
        <f>SUM(C52,C55:C57)</f>
        <v>103924.04414122346</v>
      </c>
      <c r="D51" s="446">
        <f t="shared" ref="D51:D57" si="18">C51/$C$103</f>
        <v>3.9865952036836138E-6</v>
      </c>
      <c r="E51" s="295">
        <f>SUM(E52,E55:E57)</f>
        <v>79610339.726704553</v>
      </c>
      <c r="F51" s="446">
        <f t="shared" ref="F51:F57" si="19">E51/$E$103</f>
        <v>3.7462204195481116E-2</v>
      </c>
      <c r="G51" s="296">
        <f>SUM(G52,G55:G57)</f>
        <v>435265041.0279417</v>
      </c>
      <c r="H51" s="446">
        <f t="shared" ref="H51:H57" si="20">G51/$G$103</f>
        <v>2.3131357808733675E-2</v>
      </c>
      <c r="I51" s="296">
        <f>SUM(I52,I55:I57)</f>
        <v>348958036.61154175</v>
      </c>
      <c r="J51" s="446">
        <f t="shared" ref="J51:J57" si="21">I51/$I$103</f>
        <v>2.9439213156767504E-2</v>
      </c>
      <c r="K51" s="296">
        <f>SUM(K52,K55:K57)</f>
        <v>1002674093.3174068</v>
      </c>
      <c r="L51" s="461">
        <f t="shared" ref="L51:L57" si="22">K51/$K$103</f>
        <v>2.2836982575805825E-2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116</v>
      </c>
      <c r="C52" s="295">
        <f>M.w2RD*Molweight</f>
        <v>97341.080279033136</v>
      </c>
      <c r="D52" s="446">
        <f t="shared" si="18"/>
        <v>3.7340683474022335E-6</v>
      </c>
      <c r="E52" s="295">
        <f>M.w2CD*Molweight</f>
        <v>79602136.340315327</v>
      </c>
      <c r="F52" s="446">
        <f t="shared" si="19"/>
        <v>3.7458343931386501E-2</v>
      </c>
      <c r="G52" s="296">
        <f>M.w2MD*Molweight</f>
        <v>435259403.57769394</v>
      </c>
      <c r="H52" s="446">
        <f t="shared" si="20"/>
        <v>2.3131058216837894E-2</v>
      </c>
      <c r="I52" s="296">
        <f>M.w2AD*Molweight</f>
        <v>348956862.72621161</v>
      </c>
      <c r="J52" s="446">
        <f t="shared" si="21"/>
        <v>2.9439114124056316E-2</v>
      </c>
      <c r="K52" s="296">
        <f>M.w2TD*Molweight</f>
        <v>1002671365.3827714</v>
      </c>
      <c r="L52" s="461">
        <f t="shared" si="22"/>
        <v>2.2836920444155917E-2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137</v>
      </c>
      <c r="C53" s="295">
        <f>FRwD.w2R*C52</f>
        <v>65984.111033631008</v>
      </c>
      <c r="D53" s="446">
        <f t="shared" si="18"/>
        <v>2.5311942268964857E-6</v>
      </c>
      <c r="E53" s="295">
        <f>FRw.w2C*E52</f>
        <v>53959501.864342481</v>
      </c>
      <c r="F53" s="446">
        <f t="shared" si="19"/>
        <v>2.5391700174473293E-2</v>
      </c>
      <c r="G53" s="296">
        <f>FRw.w2M*G52</f>
        <v>295047114.04244375</v>
      </c>
      <c r="H53" s="446">
        <f t="shared" si="20"/>
        <v>1.5679734695054223E-2</v>
      </c>
      <c r="I53" s="296">
        <f>FRw.w2A*I52</f>
        <v>236545642.4982115</v>
      </c>
      <c r="J53" s="446">
        <f t="shared" si="21"/>
        <v>1.9955744989937987E-2</v>
      </c>
      <c r="K53" s="296">
        <f>FRw.w2T*K52</f>
        <v>679675821.49291039</v>
      </c>
      <c r="L53" s="461">
        <f t="shared" si="22"/>
        <v>1.5480348994831901E-2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139</v>
      </c>
      <c r="C54" s="295">
        <f>(1-FRwD.w2R)*C52</f>
        <v>31356.969245402135</v>
      </c>
      <c r="D54" s="446">
        <f t="shared" si="18"/>
        <v>1.2028741205057482E-6</v>
      </c>
      <c r="E54" s="295">
        <f>(1-FRw.w2C)*E52</f>
        <v>25642634.475972842</v>
      </c>
      <c r="F54" s="446">
        <f t="shared" si="19"/>
        <v>1.2066643756913202E-2</v>
      </c>
      <c r="G54" s="296">
        <f>(1-FRw.w2M)*G52</f>
        <v>140212289.53525016</v>
      </c>
      <c r="H54" s="446">
        <f t="shared" si="20"/>
        <v>7.4513235217836694E-3</v>
      </c>
      <c r="I54" s="296">
        <f>(1-FRw.w2A)*I52</f>
        <v>112411220.2280001</v>
      </c>
      <c r="J54" s="446">
        <f t="shared" si="21"/>
        <v>9.4833691341183329E-3</v>
      </c>
      <c r="K54" s="296">
        <f>(1-FRw.w2T)*K52</f>
        <v>322995543.88986099</v>
      </c>
      <c r="L54" s="461">
        <f t="shared" si="22"/>
        <v>7.3565714493240182E-3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123</v>
      </c>
      <c r="C55" s="295">
        <f>M.w2RS*Molweight</f>
        <v>5.2486419327473208E-2</v>
      </c>
      <c r="D55" s="446">
        <f t="shared" si="18"/>
        <v>2.0134138281328846E-12</v>
      </c>
      <c r="E55" s="295">
        <f>M.w2CS*Molweight</f>
        <v>1.1524908328044328</v>
      </c>
      <c r="F55" s="446">
        <f t="shared" si="19"/>
        <v>5.4232712811118866E-10</v>
      </c>
      <c r="G55" s="296">
        <f>M.w2MS*Molweight</f>
        <v>2.2094717400295422E-2</v>
      </c>
      <c r="H55" s="446">
        <f t="shared" si="20"/>
        <v>1.1741830050538763E-12</v>
      </c>
      <c r="I55" s="296">
        <f>M.w2AS*Molweight</f>
        <v>2.0995362182127232E-4</v>
      </c>
      <c r="J55" s="446">
        <f t="shared" si="21"/>
        <v>1.771235729616481E-14</v>
      </c>
      <c r="K55" s="296">
        <f>M.w2TS*Molweight</f>
        <v>4.5548491434718844E-4</v>
      </c>
      <c r="L55" s="461">
        <f t="shared" si="22"/>
        <v>1.0374159581678074E-14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126</v>
      </c>
      <c r="C56" s="295">
        <f>M.w2RA*Molweight</f>
        <v>6547.9179729307625</v>
      </c>
      <c r="D56" s="446">
        <f t="shared" si="18"/>
        <v>2.5118247274448492E-7</v>
      </c>
      <c r="E56" s="295">
        <f>M.w2CA*Molweight</f>
        <v>8181.1172100199692</v>
      </c>
      <c r="F56" s="446">
        <f t="shared" si="19"/>
        <v>3.8497848962969082E-6</v>
      </c>
      <c r="G56" s="296">
        <f>M.w2MA*Molweight</f>
        <v>5636.8523734212904</v>
      </c>
      <c r="H56" s="446">
        <f t="shared" si="20"/>
        <v>2.9956012285454209E-7</v>
      </c>
      <c r="I56" s="296">
        <f>M.w2AA*Molweight</f>
        <v>1173.8778269413021</v>
      </c>
      <c r="J56" s="446">
        <f t="shared" si="21"/>
        <v>9.9032078191676252E-8</v>
      </c>
      <c r="K56" s="296">
        <f>M.w2TA*Molweight</f>
        <v>2727.9224325669952</v>
      </c>
      <c r="L56" s="461">
        <f t="shared" si="22"/>
        <v>6.2131371974085095E-8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128</v>
      </c>
      <c r="C57" s="295">
        <f>M.w2RP*Molweight</f>
        <v>34.993402840236563</v>
      </c>
      <c r="D57" s="446">
        <f t="shared" si="18"/>
        <v>1.3423701230668186E-9</v>
      </c>
      <c r="E57" s="295">
        <f>M.w2CP*Molweight</f>
        <v>21.116688371982686</v>
      </c>
      <c r="F57" s="446">
        <f t="shared" si="19"/>
        <v>9.9368711958680097E-9</v>
      </c>
      <c r="G57" s="296">
        <f>M.w2MP*Molweight</f>
        <v>0.57577958803397633</v>
      </c>
      <c r="H57" s="446">
        <f t="shared" si="20"/>
        <v>3.0598744246322775E-11</v>
      </c>
      <c r="I57" s="296">
        <f>M.w2AP*Molweight</f>
        <v>7.2932803646086524E-3</v>
      </c>
      <c r="J57" s="446">
        <f t="shared" si="21"/>
        <v>6.1528439737524494E-13</v>
      </c>
      <c r="K57" s="296">
        <f>M.w2TP*Molweight</f>
        <v>1.1747398242573594E-2</v>
      </c>
      <c r="L57" s="461">
        <f t="shared" si="22"/>
        <v>2.6755964950595358E-13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209</v>
      </c>
      <c r="C59" s="295"/>
      <c r="D59" s="446"/>
      <c r="E59" s="296"/>
      <c r="F59" s="446"/>
      <c r="G59" s="296">
        <f>SUM(G60,G63:G65)</f>
        <v>13057900450.562248</v>
      </c>
      <c r="H59" s="446">
        <f t="shared" ref="H59:H65" si="23">G59/$G$103</f>
        <v>0.69393803563790057</v>
      </c>
      <c r="I59" s="296">
        <f>SUM(I60,I63:I65)</f>
        <v>8591228009.5805874</v>
      </c>
      <c r="J59" s="446">
        <f t="shared" ref="J59:J65" si="24">I59/$I$103</f>
        <v>0.72478340120300022</v>
      </c>
      <c r="K59" s="296">
        <f>SUM(K60,K63:K65)</f>
        <v>32299616127.64922</v>
      </c>
      <c r="L59" s="461">
        <f t="shared" ref="L59:L65" si="25">K59/$K$103</f>
        <v>0.73565855109696054</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116</v>
      </c>
      <c r="C60" s="295"/>
      <c r="D60" s="446"/>
      <c r="E60" s="296"/>
      <c r="F60" s="446"/>
      <c r="G60" s="296">
        <f>M.w3MD*Molweight</f>
        <v>13057900331.39292</v>
      </c>
      <c r="H60" s="446">
        <f t="shared" si="23"/>
        <v>0.69393802930486637</v>
      </c>
      <c r="I60" s="296">
        <f>M.w3AD*Molweight</f>
        <v>8591227982.7698841</v>
      </c>
      <c r="J60" s="446">
        <f t="shared" si="24"/>
        <v>0.72478339894116384</v>
      </c>
      <c r="K60" s="296">
        <f>M.w3TD*Molweight</f>
        <v>32299616075.021759</v>
      </c>
      <c r="L60" s="461">
        <f t="shared" si="25"/>
        <v>0.73565854989831336</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137</v>
      </c>
      <c r="C61" s="295"/>
      <c r="D61" s="446"/>
      <c r="E61" s="296"/>
      <c r="F61" s="446"/>
      <c r="G61" s="296">
        <f>FRw.w3M*G60</f>
        <v>8851493561.2267456</v>
      </c>
      <c r="H61" s="446">
        <f t="shared" si="23"/>
        <v>0.47039629974164288</v>
      </c>
      <c r="I61" s="296">
        <f>FRw.w3A*I60</f>
        <v>5823692725.6747351</v>
      </c>
      <c r="J61" s="446">
        <f t="shared" si="24"/>
        <v>0.49130529611933382</v>
      </c>
      <c r="K61" s="296">
        <f>FRw.w3T*K60</f>
        <v>21894779134.652294</v>
      </c>
      <c r="L61" s="461">
        <f t="shared" si="25"/>
        <v>0.49867718028383112</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139</v>
      </c>
      <c r="C62" s="295"/>
      <c r="D62" s="446"/>
      <c r="E62" s="296"/>
      <c r="F62" s="446"/>
      <c r="G62" s="296">
        <f>(1-FRw.w3M)*G60</f>
        <v>4206406770.1661749</v>
      </c>
      <c r="H62" s="446">
        <f t="shared" si="23"/>
        <v>0.22354172956322357</v>
      </c>
      <c r="I62" s="296">
        <f>(1-FRw.w3A)*I60</f>
        <v>2767535257.0951486</v>
      </c>
      <c r="J62" s="446">
        <f t="shared" si="24"/>
        <v>0.2334781028218299</v>
      </c>
      <c r="K62" s="296">
        <f>(1-FRw.w3T)*K60</f>
        <v>10404836940.369465</v>
      </c>
      <c r="L62" s="461">
        <f t="shared" si="25"/>
        <v>0.23698136961448227</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123</v>
      </c>
      <c r="C63" s="295"/>
      <c r="D63" s="446"/>
      <c r="E63" s="296"/>
      <c r="F63" s="446"/>
      <c r="G63" s="296">
        <f>M.w3MS*Molweight</f>
        <v>9.1786525964257328E-7</v>
      </c>
      <c r="H63" s="446">
        <f t="shared" si="23"/>
        <v>4.8778256325978756E-17</v>
      </c>
      <c r="I63" s="296">
        <f>M.w3AS*Molweight</f>
        <v>1.0210784972685428E-8</v>
      </c>
      <c r="J63" s="446">
        <f t="shared" si="24"/>
        <v>8.6141439305330658E-19</v>
      </c>
      <c r="K63" s="296">
        <f>M.w3TS*Molweight</f>
        <v>1.6512542493240216E-8</v>
      </c>
      <c r="L63" s="461">
        <f t="shared" si="25"/>
        <v>3.7609094292317202E-19</v>
      </c>
      <c r="M63" s="17"/>
      <c r="N63" s="156"/>
      <c r="O63" s="11"/>
      <c r="P63" s="11"/>
      <c r="Q63" s="11"/>
      <c r="R63" s="11"/>
      <c r="S63" s="11"/>
      <c r="T63" s="11"/>
      <c r="U63" s="11"/>
      <c r="V63" s="11"/>
      <c r="W63" s="11"/>
      <c r="X63" s="11"/>
      <c r="Y63" s="11"/>
      <c r="Z63" s="11"/>
      <c r="AA63" s="11"/>
      <c r="AB63" s="11"/>
      <c r="AC63" s="11"/>
      <c r="AD63" s="11"/>
      <c r="AE63" s="11"/>
      <c r="AF63" t="s">
        <v>4703</v>
      </c>
      <c r="AG63" s="11"/>
      <c r="AH63" s="11"/>
      <c r="AI63" s="11"/>
      <c r="AJ63" s="11"/>
      <c r="AK63" s="11"/>
      <c r="AL63" s="11"/>
      <c r="AM63" s="11"/>
      <c r="AN63" s="11"/>
    </row>
    <row r="64" spans="1:40" ht="12.75" customHeight="1" x14ac:dyDescent="0.3">
      <c r="A64" s="17"/>
      <c r="B64" s="159" t="s">
        <v>126</v>
      </c>
      <c r="C64" s="295"/>
      <c r="D64" s="446"/>
      <c r="E64" s="296"/>
      <c r="F64" s="446"/>
      <c r="G64" s="296">
        <f>M.w3MA*Molweight</f>
        <v>119.14286301618371</v>
      </c>
      <c r="H64" s="446">
        <f t="shared" si="23"/>
        <v>6.3316277095806818E-9</v>
      </c>
      <c r="I64" s="296">
        <f>M.w3AA*Molweight</f>
        <v>26.810355660173034</v>
      </c>
      <c r="J64" s="446">
        <f t="shared" si="24"/>
        <v>2.2618071294549371E-9</v>
      </c>
      <c r="K64" s="296">
        <f>M.w3TA*Molweight</f>
        <v>52.626939067099613</v>
      </c>
      <c r="L64" s="461">
        <f t="shared" si="25"/>
        <v>1.1986352280400385E-9</v>
      </c>
      <c r="M64" s="17"/>
      <c r="N64" s="156"/>
      <c r="O64" s="11"/>
      <c r="P64" s="11"/>
      <c r="Q64" s="11"/>
      <c r="R64" s="11"/>
      <c r="S64" s="11"/>
      <c r="T64" s="11"/>
      <c r="U64" s="11"/>
      <c r="V64" s="11"/>
      <c r="W64" s="11"/>
      <c r="X64" s="11"/>
      <c r="Y64" s="11"/>
      <c r="Z64" s="11"/>
      <c r="AA64" s="11"/>
      <c r="AB64" s="11"/>
      <c r="AC64" s="11"/>
      <c r="AD64" s="11"/>
      <c r="AE64" s="11"/>
      <c r="AF64" s="480" t="s">
        <v>246</v>
      </c>
      <c r="AG64" s="973"/>
      <c r="AH64" s="973" t="s">
        <v>112</v>
      </c>
      <c r="AI64" s="973"/>
      <c r="AJ64" s="973" t="s">
        <v>4682</v>
      </c>
      <c r="AK64" s="973"/>
      <c r="AL64" s="973" t="s">
        <v>4683</v>
      </c>
      <c r="AM64" s="973"/>
      <c r="AN64" s="974" t="s">
        <v>4684</v>
      </c>
    </row>
    <row r="65" spans="1:51" ht="12.75" customHeight="1" x14ac:dyDescent="0.3">
      <c r="A65" s="17"/>
      <c r="B65" s="454" t="s">
        <v>128</v>
      </c>
      <c r="C65" s="295"/>
      <c r="D65" s="446"/>
      <c r="E65" s="296"/>
      <c r="F65" s="446"/>
      <c r="G65" s="296">
        <f>M.w3MP*Molweight</f>
        <v>2.6466547360208731E-2</v>
      </c>
      <c r="H65" s="446">
        <f t="shared" si="23"/>
        <v>1.4065158449320156E-12</v>
      </c>
      <c r="I65" s="296">
        <f>M.w3AP*Molweight</f>
        <v>3.4763167118566466E-4</v>
      </c>
      <c r="J65" s="446">
        <f t="shared" si="24"/>
        <v>2.9327316738288885E-14</v>
      </c>
      <c r="K65" s="296">
        <f>M.w3TP*Molweight</f>
        <v>5.2121913698730503E-4</v>
      </c>
      <c r="L65" s="461">
        <f t="shared" si="25"/>
        <v>1.1871327312520475E-14</v>
      </c>
      <c r="M65" s="17"/>
      <c r="N65" s="156"/>
      <c r="O65" s="11"/>
      <c r="P65" s="11"/>
      <c r="Q65" s="11"/>
      <c r="R65" s="11"/>
      <c r="S65" s="11"/>
      <c r="T65" s="11"/>
      <c r="U65" s="11"/>
      <c r="V65" s="11"/>
      <c r="W65" s="11"/>
      <c r="X65" s="11"/>
      <c r="Y65" s="11"/>
      <c r="Z65" s="11"/>
      <c r="AA65" s="11"/>
      <c r="AB65" s="11"/>
      <c r="AC65" s="11"/>
      <c r="AD65" s="11"/>
      <c r="AE65" s="11"/>
      <c r="AF65" s="975"/>
      <c r="AG65" s="968" t="s">
        <v>4688</v>
      </c>
      <c r="AH65" s="968">
        <f>AG35</f>
        <v>6088.0683363256967</v>
      </c>
      <c r="AI65" s="968" t="s">
        <v>4688</v>
      </c>
      <c r="AJ65" s="968">
        <f>AH35</f>
        <v>224.09794798152484</v>
      </c>
      <c r="AK65" s="968" t="s">
        <v>4688</v>
      </c>
      <c r="AL65" s="968">
        <f>AI35</f>
        <v>6.4512755972196457E-6</v>
      </c>
      <c r="AM65" s="968" t="s">
        <v>4688</v>
      </c>
      <c r="AN65" s="969">
        <f>AJ35</f>
        <v>17.580102104515895</v>
      </c>
      <c r="AO65" s="11"/>
      <c r="AP65" s="11"/>
      <c r="AQ65" t="s">
        <v>4704</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4689</v>
      </c>
      <c r="AH66" s="968">
        <f>AG36</f>
        <v>27303.458969486273</v>
      </c>
      <c r="AI66" s="968" t="s">
        <v>4689</v>
      </c>
      <c r="AJ66" s="968">
        <f>AH36</f>
        <v>1193563.9459782338</v>
      </c>
      <c r="AK66" s="968" t="s">
        <v>4689</v>
      </c>
      <c r="AL66" s="968">
        <f>AI36</f>
        <v>119908.73166248428</v>
      </c>
      <c r="AM66" s="968" t="s">
        <v>4689</v>
      </c>
      <c r="AN66" s="969">
        <f>AJ36</f>
        <v>55551.417226588979</v>
      </c>
      <c r="AO66" s="11"/>
      <c r="AP66" s="11"/>
      <c r="AQ66" s="977" t="s">
        <v>4685</v>
      </c>
      <c r="AR66" s="978"/>
      <c r="AS66" s="973" t="s">
        <v>112</v>
      </c>
      <c r="AT66" s="978"/>
      <c r="AU66" s="973" t="s">
        <v>4682</v>
      </c>
      <c r="AV66" s="978"/>
      <c r="AW66" s="973" t="s">
        <v>4683</v>
      </c>
      <c r="AX66" s="978"/>
      <c r="AY66" s="974" t="s">
        <v>4684</v>
      </c>
    </row>
    <row r="67" spans="1:51" ht="12.75" customHeight="1" x14ac:dyDescent="0.3">
      <c r="A67" s="17"/>
      <c r="B67" s="104" t="s">
        <v>212</v>
      </c>
      <c r="C67" s="295">
        <f>SUM(C68,C71:C73)</f>
        <v>9402356.1093230881</v>
      </c>
      <c r="D67" s="446">
        <f t="shared" ref="D67:D73" si="26">C67/$C$103</f>
        <v>3.6068061129161005E-4</v>
      </c>
      <c r="E67" s="295">
        <f>SUM(E68,E71:E73)</f>
        <v>383873068.747486</v>
      </c>
      <c r="F67" s="446">
        <f t="shared" ref="F67:F73" si="27">E67/$E$103</f>
        <v>0.18063898905509129</v>
      </c>
      <c r="G67" s="296">
        <f>SUM(G68,G71:G73)</f>
        <v>4198019139.1633477</v>
      </c>
      <c r="H67" s="446">
        <f t="shared" ref="H67:H73" si="28">G67/$G$103</f>
        <v>0.2230959843836065</v>
      </c>
      <c r="I67" s="296">
        <f>SUM(I68,I71:I73)</f>
        <v>2762016754.908493</v>
      </c>
      <c r="J67" s="446">
        <f t="shared" ref="J67:J73" si="29">I67/$I$103</f>
        <v>0.23301254437315064</v>
      </c>
      <c r="K67" s="296">
        <f>SUM(K68,K71:K73)</f>
        <v>10384089556.749176</v>
      </c>
      <c r="L67" s="461">
        <f t="shared" ref="L67:L73" si="30">K67/$K$103</f>
        <v>0.23650882560303538</v>
      </c>
      <c r="M67" s="17"/>
      <c r="N67" s="156"/>
      <c r="O67" s="11"/>
      <c r="P67" t="s">
        <v>4705</v>
      </c>
      <c r="Q67" s="11"/>
      <c r="R67" s="11"/>
      <c r="S67" s="11"/>
      <c r="T67" s="11"/>
      <c r="U67" s="11"/>
      <c r="V67" s="11"/>
      <c r="W67" t="s">
        <v>4706</v>
      </c>
      <c r="X67" s="11"/>
      <c r="Y67" s="11"/>
      <c r="Z67" s="11"/>
      <c r="AA67" s="11"/>
      <c r="AB67" s="11"/>
      <c r="AC67" s="11"/>
      <c r="AD67" s="11"/>
      <c r="AE67" s="11"/>
      <c r="AF67" s="976"/>
      <c r="AG67" s="970" t="s">
        <v>4690</v>
      </c>
      <c r="AH67" s="970">
        <f>AG37</f>
        <v>21.911276655502284</v>
      </c>
      <c r="AI67" s="970" t="s">
        <v>4690</v>
      </c>
      <c r="AJ67" s="970">
        <f>AH37</f>
        <v>7716.6321270830013</v>
      </c>
      <c r="AK67" s="970" t="s">
        <v>4690</v>
      </c>
      <c r="AL67" s="970">
        <f>AI37</f>
        <v>466175.2841621855</v>
      </c>
      <c r="AM67" s="970" t="s">
        <v>4690</v>
      </c>
      <c r="AN67" s="971">
        <f>AJ37</f>
        <v>16495.409935401844</v>
      </c>
      <c r="AO67" s="11"/>
      <c r="AP67" s="11"/>
      <c r="AQ67" s="979"/>
      <c r="AR67" s="980" t="s">
        <v>4688</v>
      </c>
      <c r="AS67" s="968">
        <f>AG43</f>
        <v>38.823341063629698</v>
      </c>
      <c r="AT67" s="980" t="s">
        <v>4688</v>
      </c>
      <c r="AU67" s="968">
        <f>AH43</f>
        <v>2.2761100525050988E-2</v>
      </c>
      <c r="AV67" s="980" t="s">
        <v>4688</v>
      </c>
      <c r="AW67" s="968">
        <f>AI43</f>
        <v>7.0996573591434519E-18</v>
      </c>
      <c r="AX67" s="980" t="s">
        <v>4688</v>
      </c>
      <c r="AY67" s="969">
        <f>AJ43</f>
        <v>3.664311972209689E-3</v>
      </c>
    </row>
    <row r="68" spans="1:51" ht="12.75" customHeight="1" x14ac:dyDescent="0.3">
      <c r="A68" s="17"/>
      <c r="B68" s="443" t="s">
        <v>116</v>
      </c>
      <c r="C68" s="295">
        <f>M.sd2RD*Molweight</f>
        <v>9402344.6742901616</v>
      </c>
      <c r="D68" s="446">
        <f t="shared" si="26"/>
        <v>3.6068017263616897E-4</v>
      </c>
      <c r="E68" s="295">
        <f>M.sd2CD*Molweight</f>
        <v>383873068.31458938</v>
      </c>
      <c r="F68" s="446">
        <f t="shared" si="27"/>
        <v>0.1806389888513833</v>
      </c>
      <c r="G68" s="296">
        <f>M.sdMD*Molweight</f>
        <v>4198019139.1631608</v>
      </c>
      <c r="H68" s="446">
        <f t="shared" si="28"/>
        <v>0.22309598438359657</v>
      </c>
      <c r="I68" s="296">
        <f>M.sdAD*Molweight</f>
        <v>2762016754.9084554</v>
      </c>
      <c r="J68" s="446">
        <f t="shared" si="29"/>
        <v>0.23301254437314745</v>
      </c>
      <c r="K68" s="296">
        <f>M.sdTD*Molweight</f>
        <v>10384089556.749104</v>
      </c>
      <c r="L68" s="461">
        <f t="shared" si="30"/>
        <v>0.23650882560303371</v>
      </c>
      <c r="M68" s="166"/>
      <c r="N68" s="156"/>
      <c r="O68" s="11"/>
      <c r="P68" s="977"/>
      <c r="Q68" s="978" t="s">
        <v>246</v>
      </c>
      <c r="R68" s="977"/>
      <c r="S68" s="978" t="s">
        <v>247</v>
      </c>
      <c r="T68" s="977"/>
      <c r="U68" s="978" t="s">
        <v>4685</v>
      </c>
      <c r="V68" s="11"/>
      <c r="W68" s="977"/>
      <c r="X68" s="978" t="s">
        <v>246</v>
      </c>
      <c r="Y68" s="977"/>
      <c r="Z68" s="978" t="s">
        <v>247</v>
      </c>
      <c r="AA68" s="977"/>
      <c r="AB68" s="978" t="s">
        <v>4685</v>
      </c>
      <c r="AC68" s="11"/>
      <c r="AD68" s="11"/>
      <c r="AE68" s="11"/>
      <c r="AF68" s="11"/>
      <c r="AG68" s="11"/>
      <c r="AH68" s="11"/>
      <c r="AI68" s="11"/>
      <c r="AJ68" s="11"/>
      <c r="AK68" s="11"/>
      <c r="AL68" s="11"/>
      <c r="AM68" s="11"/>
      <c r="AN68" s="11"/>
      <c r="AO68" s="11"/>
      <c r="AP68" s="11"/>
      <c r="AQ68" s="979"/>
      <c r="AR68" s="980" t="s">
        <v>4689</v>
      </c>
      <c r="AS68" s="968">
        <f>AG44</f>
        <v>114804.59880898254</v>
      </c>
      <c r="AT68" s="980" t="s">
        <v>4689</v>
      </c>
      <c r="AU68" s="968">
        <f>AH44</f>
        <v>9737.2327906730443</v>
      </c>
      <c r="AV68" s="980" t="s">
        <v>4689</v>
      </c>
      <c r="AW68" s="968">
        <f>AI44</f>
        <v>2.7501977191250358E-4</v>
      </c>
      <c r="AX68" s="980" t="s">
        <v>4689</v>
      </c>
      <c r="AY68" s="969">
        <f>AJ44</f>
        <v>9046.1097842984709</v>
      </c>
    </row>
    <row r="69" spans="1:51" ht="12.75" customHeight="1" x14ac:dyDescent="0.3">
      <c r="A69" s="17"/>
      <c r="B69" s="159" t="s">
        <v>154</v>
      </c>
      <c r="C69" s="295">
        <f>C68*FRACw.sdR</f>
        <v>7521875.73943213</v>
      </c>
      <c r="D69" s="446">
        <f t="shared" si="26"/>
        <v>2.8854413810893521E-4</v>
      </c>
      <c r="E69" s="295">
        <f>E68*FRACw.sdC</f>
        <v>307098454.65167153</v>
      </c>
      <c r="F69" s="446">
        <f t="shared" si="27"/>
        <v>0.14451119108110666</v>
      </c>
      <c r="G69" s="296">
        <f>FRACw.sdM*G68</f>
        <v>3358415311.3305287</v>
      </c>
      <c r="H69" s="446">
        <f t="shared" si="28"/>
        <v>0.17847678750687726</v>
      </c>
      <c r="I69" s="296">
        <f>FRACw.sdA*I68</f>
        <v>2209613403.9267645</v>
      </c>
      <c r="J69" s="446">
        <f t="shared" si="29"/>
        <v>0.18641003549851798</v>
      </c>
      <c r="K69" s="296">
        <f>FRACw.sdT*K68</f>
        <v>8307271645.3992834</v>
      </c>
      <c r="L69" s="461">
        <f t="shared" si="30"/>
        <v>0.189207060482427</v>
      </c>
      <c r="M69" s="166"/>
      <c r="N69" s="156"/>
      <c r="O69" s="11"/>
      <c r="P69" s="979" t="s">
        <v>112</v>
      </c>
      <c r="Q69" s="968">
        <f>Q4</f>
        <v>33413.438582467475</v>
      </c>
      <c r="R69" s="979" t="s">
        <v>112</v>
      </c>
      <c r="S69" s="980">
        <f>R4</f>
        <v>122229.14982520255</v>
      </c>
      <c r="T69" s="979" t="s">
        <v>112</v>
      </c>
      <c r="U69" s="968">
        <f>S4</f>
        <v>114843.71869031386</v>
      </c>
      <c r="V69" s="11"/>
      <c r="W69" s="979" t="s">
        <v>219</v>
      </c>
      <c r="X69" s="968">
        <f>Q16</f>
        <v>6329.7463928630123</v>
      </c>
      <c r="Y69" s="979" t="s">
        <v>219</v>
      </c>
      <c r="Z69" s="968">
        <f>R16</f>
        <v>1258.2987996749437</v>
      </c>
      <c r="AA69" s="979" t="s">
        <v>219</v>
      </c>
      <c r="AB69" s="968">
        <f>S16</f>
        <v>38.849766476126945</v>
      </c>
      <c r="AC69" s="11"/>
      <c r="AD69" s="11"/>
      <c r="AE69" s="11"/>
      <c r="AF69" s="11"/>
      <c r="AG69" s="11"/>
      <c r="AH69" s="11"/>
      <c r="AI69" s="11"/>
      <c r="AJ69" s="11"/>
      <c r="AK69" s="11"/>
      <c r="AL69" s="11"/>
      <c r="AM69" s="11"/>
      <c r="AN69" s="11"/>
      <c r="AO69" s="11"/>
      <c r="AP69" s="11"/>
      <c r="AQ69" s="981"/>
      <c r="AR69" s="982" t="s">
        <v>4690</v>
      </c>
      <c r="AS69" s="970">
        <f>AG45</f>
        <v>0.29654026764396257</v>
      </c>
      <c r="AT69" s="982" t="s">
        <v>4690</v>
      </c>
      <c r="AU69" s="970">
        <f>AH45</f>
        <v>0.62215566480954021</v>
      </c>
      <c r="AV69" s="982" t="s">
        <v>4690</v>
      </c>
      <c r="AW69" s="970">
        <f>AI45</f>
        <v>2.2691778278004614E-5</v>
      </c>
      <c r="AX69" s="982" t="s">
        <v>4690</v>
      </c>
      <c r="AY69" s="971">
        <f>AJ45</f>
        <v>6.5331480878493871</v>
      </c>
    </row>
    <row r="70" spans="1:51" ht="12.75" customHeight="1" x14ac:dyDescent="0.3">
      <c r="A70" s="17"/>
      <c r="B70" s="159" t="s">
        <v>155</v>
      </c>
      <c r="C70" s="295">
        <f>C68*FRACs.sdR</f>
        <v>1880468.9348580318</v>
      </c>
      <c r="D70" s="446">
        <f t="shared" si="26"/>
        <v>7.2136034527233776E-5</v>
      </c>
      <c r="E70" s="295">
        <f>E68*FRACs.sdC</f>
        <v>76774613.662917852</v>
      </c>
      <c r="F70" s="446">
        <f t="shared" si="27"/>
        <v>3.6127797770276651E-2</v>
      </c>
      <c r="G70" s="296">
        <f>(1-FRACw.sdM)*G68</f>
        <v>839603827.83263195</v>
      </c>
      <c r="H70" s="446">
        <f t="shared" si="28"/>
        <v>4.4619196876719301E-2</v>
      </c>
      <c r="I70" s="296">
        <f>(1-FRACw.sdA)*I68</f>
        <v>552403350.981691</v>
      </c>
      <c r="J70" s="446">
        <f t="shared" si="29"/>
        <v>4.6602508874629481E-2</v>
      </c>
      <c r="K70" s="296">
        <f>(1-FRACw.sdT)*K68</f>
        <v>2076817911.3498201</v>
      </c>
      <c r="L70" s="461">
        <f t="shared" si="30"/>
        <v>4.7301765120606729E-2</v>
      </c>
      <c r="M70" s="166"/>
      <c r="N70" s="156"/>
      <c r="O70" s="11"/>
      <c r="P70" s="979" t="s">
        <v>4682</v>
      </c>
      <c r="Q70" s="968">
        <f>Q5</f>
        <v>4045132.8274221835</v>
      </c>
      <c r="R70" s="979" t="s">
        <v>4682</v>
      </c>
      <c r="S70" s="968">
        <f>R5</f>
        <v>79832840.566638395</v>
      </c>
      <c r="T70" s="979" t="s">
        <v>4682</v>
      </c>
      <c r="U70" s="968">
        <f>S5</f>
        <v>55735641758.748947</v>
      </c>
      <c r="V70" s="11"/>
      <c r="W70" s="979" t="s">
        <v>220</v>
      </c>
      <c r="X70" s="968">
        <f>Q17</f>
        <v>1396327.5538367936</v>
      </c>
      <c r="Y70" s="979" t="s">
        <v>220</v>
      </c>
      <c r="Z70" s="968">
        <f>R17</f>
        <v>151081.80592686549</v>
      </c>
      <c r="AA70" s="979" t="s">
        <v>220</v>
      </c>
      <c r="AB70" s="968">
        <f>S17</f>
        <v>133587.94165897384</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123</v>
      </c>
      <c r="C71" s="295">
        <f>M.sd2RS*Molweight</f>
        <v>2.6907255945960018E-10</v>
      </c>
      <c r="D71" s="446">
        <f t="shared" si="26"/>
        <v>1.0321801695157623E-20</v>
      </c>
      <c r="E71" s="295">
        <f>M.sd2CS*Molweight</f>
        <v>1.2993277624789772E-10</v>
      </c>
      <c r="F71" s="446">
        <f t="shared" si="27"/>
        <v>6.1142412055952112E-20</v>
      </c>
      <c r="G71" s="296">
        <f>M.sdMS*Molweight</f>
        <v>6.8987262493968103E-18</v>
      </c>
      <c r="H71" s="446">
        <f t="shared" si="28"/>
        <v>3.6662008261090029E-28</v>
      </c>
      <c r="I71" s="296">
        <f>M.sdAS*Molweight</f>
        <v>7.8057582855757681E-20</v>
      </c>
      <c r="J71" s="446">
        <f t="shared" si="29"/>
        <v>6.5851866961034093E-30</v>
      </c>
      <c r="K71" s="296">
        <f>M.sdTS*Molweight</f>
        <v>1.2287352689088356E-19</v>
      </c>
      <c r="L71" s="461">
        <f t="shared" si="30"/>
        <v>2.798576936750104E-30</v>
      </c>
      <c r="M71" s="166"/>
      <c r="N71" s="156"/>
      <c r="O71" s="11"/>
      <c r="P71" s="979" t="s">
        <v>4683</v>
      </c>
      <c r="Q71" s="968">
        <f>Q6</f>
        <v>190566256.07203156</v>
      </c>
      <c r="R71" s="979" t="s">
        <v>4683</v>
      </c>
      <c r="S71" s="968">
        <f>R6</f>
        <v>393133735.71762848</v>
      </c>
      <c r="T71" s="979" t="s">
        <v>4683</v>
      </c>
      <c r="U71" s="968">
        <f>S6</f>
        <v>17344125450.821014</v>
      </c>
      <c r="V71" s="11"/>
      <c r="W71" s="981" t="s">
        <v>222</v>
      </c>
      <c r="X71" s="970">
        <f>Q18</f>
        <v>490409.2375013259</v>
      </c>
      <c r="Y71" s="981" t="s">
        <v>222</v>
      </c>
      <c r="Z71" s="970">
        <f>R18</f>
        <v>383.78955437827682</v>
      </c>
      <c r="AA71" s="981" t="s">
        <v>222</v>
      </c>
      <c r="AB71" s="970">
        <f>S18</f>
        <v>7.4518667120811681</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126</v>
      </c>
      <c r="C72" s="295">
        <f>M.sd2RA*Molweight</f>
        <v>2.7204875269769535</v>
      </c>
      <c r="D72" s="446">
        <f t="shared" si="26"/>
        <v>1.0435970440093131E-10</v>
      </c>
      <c r="E72" s="295">
        <f>M.sd2CA*Molweight</f>
        <v>0.1699542771050136</v>
      </c>
      <c r="F72" s="446">
        <f t="shared" si="27"/>
        <v>7.9975312938750048E-11</v>
      </c>
      <c r="G72" s="296">
        <f>M.sdMA*Molweight</f>
        <v>1.6500461457250948E-4</v>
      </c>
      <c r="H72" s="446">
        <f t="shared" si="28"/>
        <v>8.7688659092745532E-15</v>
      </c>
      <c r="I72" s="296">
        <f>M.sdAA*Molweight</f>
        <v>3.7130485957595628E-5</v>
      </c>
      <c r="J72" s="446">
        <f t="shared" si="29"/>
        <v>3.1324462429184423E-15</v>
      </c>
      <c r="K72" s="296">
        <f>M.sdTA*Molweight</f>
        <v>7.2884671382398477E-5</v>
      </c>
      <c r="L72" s="461">
        <f t="shared" si="30"/>
        <v>1.6600269035536591E-15</v>
      </c>
      <c r="M72" s="166"/>
      <c r="N72" s="156"/>
      <c r="O72" s="11"/>
      <c r="P72" s="981" t="s">
        <v>4684</v>
      </c>
      <c r="Q72" s="970">
        <f>Q7</f>
        <v>25873726534.987022</v>
      </c>
      <c r="R72" s="981" t="s">
        <v>4684</v>
      </c>
      <c r="S72" s="970">
        <f>R7</f>
        <v>1651995434.4384661</v>
      </c>
      <c r="T72" s="981" t="s">
        <v>4684</v>
      </c>
      <c r="U72" s="970">
        <f>S7</f>
        <v>1496444516.2581427</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128</v>
      </c>
      <c r="C73" s="295">
        <f>M.sd2RP*Molweight</f>
        <v>8.7145453983159076</v>
      </c>
      <c r="D73" s="446">
        <f t="shared" si="26"/>
        <v>3.3429573660546642E-10</v>
      </c>
      <c r="E73" s="295">
        <f>M.sd2CP*Molweight</f>
        <v>0.26294232869792966</v>
      </c>
      <c r="F73" s="446">
        <f t="shared" si="27"/>
        <v>1.2373266139967157E-10</v>
      </c>
      <c r="G73" s="296">
        <f>M.sdMP*Molweight</f>
        <v>2.1970524078842872E-5</v>
      </c>
      <c r="H73" s="446">
        <f t="shared" si="28"/>
        <v>1.1675829800456892E-15</v>
      </c>
      <c r="I73" s="296">
        <f>M.sdAP*Molweight</f>
        <v>2.8857749739472527E-7</v>
      </c>
      <c r="J73" s="446">
        <f t="shared" si="29"/>
        <v>2.4345318252426368E-17</v>
      </c>
      <c r="K73" s="296">
        <f>M.sdTP*Molweight</f>
        <v>4.3267670176701891E-7</v>
      </c>
      <c r="L73" s="461">
        <f t="shared" si="30"/>
        <v>9.8546779707038896E-18</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214</v>
      </c>
      <c r="C75" s="295">
        <f>SUM(C76,C79:C81)</f>
        <v>350820536.11222386</v>
      </c>
      <c r="D75" s="446">
        <f t="shared" ref="D75:D81" si="31">C75/$C$103</f>
        <v>1.3457708253906684E-2</v>
      </c>
      <c r="E75" s="295">
        <f>SUM(E76,E79:E81)</f>
        <v>261046929.37776968</v>
      </c>
      <c r="F75" s="446">
        <f t="shared" ref="F75:F81" si="32">E75/$C$103</f>
        <v>1.0013933206636468E-2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116</v>
      </c>
      <c r="C76" s="295">
        <f>M.s1R*Molweight</f>
        <v>350818435.60257465</v>
      </c>
      <c r="D76" s="446">
        <f t="shared" si="31"/>
        <v>1.3457627676964533E-2</v>
      </c>
      <c r="E76" s="295">
        <f>M.s1C*Molweight</f>
        <v>261045366.38034615</v>
      </c>
      <c r="F76" s="446">
        <f t="shared" si="32"/>
        <v>1.0013873249019502E-2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215</v>
      </c>
      <c r="C77" s="295">
        <f>C76*FRwD.s1R</f>
        <v>2461.8664823585423</v>
      </c>
      <c r="D77" s="446">
        <f t="shared" si="31"/>
        <v>9.4438829741296783E-8</v>
      </c>
      <c r="E77" s="295">
        <f>E76*FRw.s1C</f>
        <v>1831.8844526027617</v>
      </c>
      <c r="F77" s="446">
        <f t="shared" si="32"/>
        <v>7.0272301591002881E-8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155</v>
      </c>
      <c r="C78" s="295">
        <f>C76*FRs.s1R</f>
        <v>350815973.73609227</v>
      </c>
      <c r="D78" s="446">
        <f t="shared" si="31"/>
        <v>1.3457533238134792E-2</v>
      </c>
      <c r="E78" s="295">
        <f>E76*FRs.s1C</f>
        <v>261043534.49589351</v>
      </c>
      <c r="F78" s="446">
        <f t="shared" si="32"/>
        <v>1.001380297671791E-2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123</v>
      </c>
      <c r="C79" s="295">
        <f>M.s1RS*Molweight</f>
        <v>0.22541149349716297</v>
      </c>
      <c r="D79" s="446">
        <f t="shared" si="31"/>
        <v>8.6469342706659862E-12</v>
      </c>
      <c r="E79" s="295">
        <f>M.s1CS*Molweight</f>
        <v>2.2631952222853868E-2</v>
      </c>
      <c r="F79" s="446">
        <f t="shared" si="32"/>
        <v>8.6817668545518696E-13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126</v>
      </c>
      <c r="C80" s="295">
        <f>M.s1RA*Molweight</f>
        <v>1722.1512594125427</v>
      </c>
      <c r="D80" s="446">
        <f t="shared" si="31"/>
        <v>6.6062863580078834E-8</v>
      </c>
      <c r="E80" s="295">
        <f>M.s1CA*Molweight</f>
        <v>1521.8457589957093</v>
      </c>
      <c r="F80" s="446">
        <f t="shared" si="32"/>
        <v>5.8379011841706787E-8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128</v>
      </c>
      <c r="C81" s="295">
        <f>M.s1RP*Molweight</f>
        <v>378.1329783236099</v>
      </c>
      <c r="D81" s="446">
        <f t="shared" si="31"/>
        <v>1.450543163708098E-8</v>
      </c>
      <c r="E81" s="295">
        <f>M.s1CP*Molweight</f>
        <v>41.129032567692391</v>
      </c>
      <c r="F81" s="446">
        <f t="shared" si="32"/>
        <v>1.5777369454916144E-9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216</v>
      </c>
      <c r="C83" s="295">
        <f>SUM(C84,C87:C89)</f>
        <v>25392972540.482922</v>
      </c>
      <c r="D83" s="446">
        <f t="shared" ref="D83:D89" si="33">C83/$C$103</f>
        <v>0.97409125456659851</v>
      </c>
      <c r="E83" s="295">
        <f>SUM(E84,E87:E89)</f>
        <v>1294264464.5227666</v>
      </c>
      <c r="F83" s="446">
        <f t="shared" ref="F83:F89" si="34">E83/$C$103</f>
        <v>4.9648842567683572E-2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116</v>
      </c>
      <c r="C84" s="295">
        <f>M.s2R*Molweight</f>
        <v>25392903354.551403</v>
      </c>
      <c r="D84" s="446">
        <f t="shared" si="33"/>
        <v>0.97408860054841595</v>
      </c>
      <c r="E84" s="295">
        <f>M.s2C*Molweight</f>
        <v>1294260938.1576486</v>
      </c>
      <c r="F84" s="446">
        <f t="shared" si="34"/>
        <v>4.9648707293980722E-2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215</v>
      </c>
      <c r="C85" s="295">
        <f>C84*FRwD.s2R</f>
        <v>178194.56252623771</v>
      </c>
      <c r="D85" s="446">
        <f t="shared" si="33"/>
        <v>6.8356615079783009E-6</v>
      </c>
      <c r="E85" s="295">
        <f>E84*FRw.s2C</f>
        <v>9082.4691627262164</v>
      </c>
      <c r="F85" s="446">
        <f t="shared" si="34"/>
        <v>3.4840953603119082E-7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155</v>
      </c>
      <c r="C86" s="295">
        <f>C84*FRs.s2R</f>
        <v>25392725159.988873</v>
      </c>
      <c r="D86" s="446">
        <f t="shared" si="33"/>
        <v>0.97408176488690779</v>
      </c>
      <c r="E86" s="295">
        <f>E84*FRs.s2C</f>
        <v>1294251855.6884856</v>
      </c>
      <c r="F86" s="446">
        <f t="shared" si="34"/>
        <v>4.9648358884444681E-2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123</v>
      </c>
      <c r="C87" s="295">
        <f>M.s2RS*Molweight</f>
        <v>17.206290227581999</v>
      </c>
      <c r="D87" s="446">
        <f t="shared" si="33"/>
        <v>6.600446957323257E-10</v>
      </c>
      <c r="E87" s="295">
        <f>M.s2CS*Molweight</f>
        <v>8.0461661203529364E-2</v>
      </c>
      <c r="F87" s="446">
        <f t="shared" si="34"/>
        <v>3.0865626456810223E-12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126</v>
      </c>
      <c r="C88" s="295">
        <f>M.s2RA*Molweight</f>
        <v>53191.481987154999</v>
      </c>
      <c r="D88" s="446">
        <f t="shared" si="33"/>
        <v>2.0404604990030465E-6</v>
      </c>
      <c r="E88" s="295">
        <f>M.s2CA*Molweight</f>
        <v>3434.8934608078316</v>
      </c>
      <c r="F88" s="446">
        <f t="shared" si="34"/>
        <v>1.3176478945923651E-7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4707</v>
      </c>
      <c r="AG88" s="11"/>
      <c r="AH88" s="11"/>
      <c r="AI88" s="11"/>
      <c r="AJ88" s="11"/>
      <c r="AK88" s="11"/>
      <c r="AL88" s="11"/>
      <c r="AM88" s="11"/>
      <c r="AN88" s="11"/>
    </row>
    <row r="89" spans="1:40" ht="12.75" customHeight="1" x14ac:dyDescent="0.3">
      <c r="A89" s="17"/>
      <c r="B89" s="159" t="s">
        <v>128</v>
      </c>
      <c r="C89" s="295">
        <f>M.s2RP*Molweight</f>
        <v>15977.243240815924</v>
      </c>
      <c r="D89" s="446">
        <f t="shared" si="33"/>
        <v>6.128976388309876E-7</v>
      </c>
      <c r="E89" s="295">
        <f>M.s2CP*Molweight</f>
        <v>91.391195523843365</v>
      </c>
      <c r="F89" s="446">
        <f t="shared" si="34"/>
        <v>3.5058268252066892E-9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247</v>
      </c>
      <c r="AG89" s="978"/>
      <c r="AH89" s="973" t="s">
        <v>112</v>
      </c>
      <c r="AI89" s="973"/>
      <c r="AJ89" s="973" t="s">
        <v>4682</v>
      </c>
      <c r="AK89" s="973"/>
      <c r="AL89" s="973" t="s">
        <v>4683</v>
      </c>
      <c r="AM89" s="973"/>
      <c r="AN89" s="974" t="s">
        <v>4684</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4688</v>
      </c>
      <c r="AH90" s="968">
        <f>AG39</f>
        <v>1256.9250445136479</v>
      </c>
      <c r="AI90" s="980" t="s">
        <v>4688</v>
      </c>
      <c r="AJ90" s="968">
        <f>AH39</f>
        <v>1.25576172820976</v>
      </c>
      <c r="AK90" s="980" t="s">
        <v>4688</v>
      </c>
      <c r="AL90" s="968">
        <f>AI39</f>
        <v>9.5180632983884788E-10</v>
      </c>
      <c r="AM90" s="980" t="s">
        <v>4688</v>
      </c>
      <c r="AN90" s="969">
        <f>AJ39</f>
        <v>0.11799343213432149</v>
      </c>
    </row>
    <row r="91" spans="1:40" ht="12.75" customHeight="1" x14ac:dyDescent="0.3">
      <c r="A91" s="17"/>
      <c r="B91" s="104" t="s">
        <v>217</v>
      </c>
      <c r="C91" s="295">
        <f>SUM(C92,C95:C97)</f>
        <v>129933458.39187667</v>
      </c>
      <c r="D91" s="446">
        <f t="shared" ref="D91:D97" si="35">C91/$C$103</f>
        <v>4.984333570768041E-3</v>
      </c>
      <c r="E91" s="295">
        <f>SUM(E92,E95:E97)</f>
        <v>96684040.537929758</v>
      </c>
      <c r="F91" s="446">
        <f t="shared" ref="F91:F97" si="36">E91/$C$103</f>
        <v>3.7088638675135104E-3</v>
      </c>
      <c r="G91" s="296">
        <f>SUM(G92,G95:G97)</f>
        <v>1125838083.5970201</v>
      </c>
      <c r="H91" s="446">
        <f t="shared" ref="H91:H97" si="37">G91/$G$103</f>
        <v>5.9830588472897649E-2</v>
      </c>
      <c r="I91" s="296">
        <f>SUM(I92,I95:I97)</f>
        <v>151292550.89237493</v>
      </c>
      <c r="J91" s="446">
        <f t="shared" ref="J91:J97" si="38">I91/$I$103</f>
        <v>1.2763522221755898E-2</v>
      </c>
      <c r="K91" s="296">
        <f>SUM(K92,K95:K97)</f>
        <v>219313881.76874751</v>
      </c>
      <c r="L91" s="461">
        <f t="shared" ref="L91:L97" si="39">K91/$K$103</f>
        <v>4.9951099065643698E-3</v>
      </c>
      <c r="M91" s="166"/>
      <c r="N91" s="156"/>
      <c r="O91" s="11"/>
      <c r="P91" s="11"/>
      <c r="Q91" s="11"/>
      <c r="R91" s="11"/>
      <c r="S91" s="11"/>
      <c r="T91" s="11"/>
      <c r="U91" s="11"/>
      <c r="V91" s="11"/>
      <c r="W91" s="11"/>
      <c r="X91" s="11"/>
      <c r="Y91" s="11"/>
      <c r="Z91" s="11"/>
      <c r="AA91" s="11"/>
      <c r="AB91" s="11"/>
      <c r="AC91" s="11"/>
      <c r="AD91" s="11"/>
      <c r="AE91" s="11"/>
      <c r="AF91" s="979"/>
      <c r="AG91" s="980" t="s">
        <v>4689</v>
      </c>
      <c r="AH91" s="968">
        <f>AG40</f>
        <v>120964.55813355632</v>
      </c>
      <c r="AI91" s="980" t="s">
        <v>4689</v>
      </c>
      <c r="AJ91" s="968">
        <f>AH40</f>
        <v>23255.2821054265</v>
      </c>
      <c r="AK91" s="980" t="s">
        <v>4689</v>
      </c>
      <c r="AL91" s="968">
        <f>AI40</f>
        <v>1341.5848927183592</v>
      </c>
      <c r="AM91" s="980" t="s">
        <v>4689</v>
      </c>
      <c r="AN91" s="969">
        <f>AJ40</f>
        <v>5520.3807951642866</v>
      </c>
    </row>
    <row r="92" spans="1:40" ht="12.75" customHeight="1" x14ac:dyDescent="0.3">
      <c r="A92" s="17"/>
      <c r="B92" s="443" t="s">
        <v>116</v>
      </c>
      <c r="C92" s="295">
        <f>M.s3R*Molweight</f>
        <v>129932680.42578</v>
      </c>
      <c r="D92" s="446">
        <f t="shared" si="35"/>
        <v>4.9843037274730157E-3</v>
      </c>
      <c r="E92" s="295">
        <f>M.s3C*Molweight</f>
        <v>96683461.6500393</v>
      </c>
      <c r="F92" s="446">
        <f t="shared" si="36"/>
        <v>3.7088416609904035E-3</v>
      </c>
      <c r="G92" s="296">
        <f>M.sMD*Molweight</f>
        <v>1125831342.7323482</v>
      </c>
      <c r="H92" s="446">
        <f t="shared" si="37"/>
        <v>5.9830230242077412E-2</v>
      </c>
      <c r="I92" s="296">
        <f>M.sAD*Molweight</f>
        <v>151291744.53221974</v>
      </c>
      <c r="J92" s="446">
        <f t="shared" si="38"/>
        <v>1.2763454194640889E-2</v>
      </c>
      <c r="K92" s="296">
        <f>M.sTD*Molweight</f>
        <v>219312376.34697792</v>
      </c>
      <c r="L92" s="461">
        <f t="shared" si="39"/>
        <v>4.9950756189618972E-3</v>
      </c>
      <c r="M92" s="166"/>
      <c r="N92" s="156"/>
      <c r="O92" s="11"/>
      <c r="P92" s="11"/>
      <c r="Q92" s="11"/>
      <c r="R92" s="11"/>
      <c r="S92" s="11"/>
      <c r="T92" s="11"/>
      <c r="U92" s="11"/>
      <c r="V92" s="11"/>
      <c r="W92" s="11"/>
      <c r="X92" s="11"/>
      <c r="Y92" s="11"/>
      <c r="Z92" s="11"/>
      <c r="AA92" s="11"/>
      <c r="AB92" s="11"/>
      <c r="AC92" s="11"/>
      <c r="AD92" s="11"/>
      <c r="AE92" s="11"/>
      <c r="AF92" s="981"/>
      <c r="AG92" s="982" t="s">
        <v>4690</v>
      </c>
      <c r="AH92" s="970">
        <f>AG41</f>
        <v>7.6666471325835897</v>
      </c>
      <c r="AI92" s="982" t="s">
        <v>4690</v>
      </c>
      <c r="AJ92" s="970">
        <f>AH41</f>
        <v>25.405213620246116</v>
      </c>
      <c r="AK92" s="982" t="s">
        <v>4690</v>
      </c>
      <c r="AL92" s="970">
        <f>AI41</f>
        <v>202.96605026368209</v>
      </c>
      <c r="AM92" s="982" t="s">
        <v>4690</v>
      </c>
      <c r="AN92" s="971">
        <f>AJ41</f>
        <v>147.75164336176505</v>
      </c>
    </row>
    <row r="93" spans="1:40" ht="12.75" customHeight="1" x14ac:dyDescent="0.3">
      <c r="A93" s="17"/>
      <c r="B93" s="159" t="s">
        <v>215</v>
      </c>
      <c r="C93" s="295">
        <f>C92*FRwD.s3R</f>
        <v>911.80188507996434</v>
      </c>
      <c r="D93" s="446">
        <f t="shared" si="35"/>
        <v>3.4977324562445283E-8</v>
      </c>
      <c r="E93" s="295">
        <f>E92*FRw.s3C</f>
        <v>678.47567139907289</v>
      </c>
      <c r="F93" s="446">
        <f t="shared" si="36"/>
        <v>2.6026776380449282E-8</v>
      </c>
      <c r="G93" s="296">
        <f>FRw.sM*G92</f>
        <v>7900.5153839786963</v>
      </c>
      <c r="H93" s="446">
        <f t="shared" si="37"/>
        <v>4.1985831848251882E-7</v>
      </c>
      <c r="I93" s="296">
        <f>FRw.sA*I92</f>
        <v>1061.6890024085426</v>
      </c>
      <c r="J93" s="446">
        <f t="shared" si="38"/>
        <v>8.9567471067858389E-8</v>
      </c>
      <c r="K93" s="296">
        <f>FRw.sT*K92</f>
        <v>1539.0234198144428</v>
      </c>
      <c r="L93" s="461">
        <f t="shared" si="39"/>
        <v>3.5052916252951887E-8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155</v>
      </c>
      <c r="C94" s="295">
        <f>C92*FRs.s3R</f>
        <v>129931768.6238949</v>
      </c>
      <c r="D94" s="446">
        <f t="shared" si="35"/>
        <v>4.9842687501484521E-3</v>
      </c>
      <c r="E94" s="295">
        <f>E92*FRs.s3C</f>
        <v>96682783.17436789</v>
      </c>
      <c r="F94" s="446">
        <f t="shared" si="36"/>
        <v>3.7088156342140227E-3</v>
      </c>
      <c r="G94" s="296">
        <f>(1-FRw.sM)*G92</f>
        <v>1125823442.2169642</v>
      </c>
      <c r="H94" s="446">
        <f t="shared" si="37"/>
        <v>5.9829810383758932E-2</v>
      </c>
      <c r="I94" s="296">
        <f>(1-FRw.sA)*I92</f>
        <v>151290682.84321734</v>
      </c>
      <c r="J94" s="446">
        <f t="shared" si="38"/>
        <v>1.2763364627169822E-2</v>
      </c>
      <c r="K94" s="296">
        <f>(1-FRw.sT)*K92</f>
        <v>219310837.32355809</v>
      </c>
      <c r="L94" s="461">
        <f t="shared" si="39"/>
        <v>4.9950405660456436E-3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123</v>
      </c>
      <c r="C95" s="295">
        <f>M.s3RS*Molweight</f>
        <v>0.14840038343673287</v>
      </c>
      <c r="D95" s="446">
        <f t="shared" si="35"/>
        <v>5.6927370535132406E-12</v>
      </c>
      <c r="E95" s="295">
        <f>M.s3CS*Molweight</f>
        <v>1.4899818707938262E-2</v>
      </c>
      <c r="F95" s="446">
        <f t="shared" si="36"/>
        <v>5.7156691974095419E-13</v>
      </c>
      <c r="G95" s="296">
        <f>M.sMS*Molweight</f>
        <v>3.6098261951399532E-3</v>
      </c>
      <c r="H95" s="446">
        <f t="shared" si="37"/>
        <v>1.9183755522824463E-13</v>
      </c>
      <c r="I95" s="296">
        <f>M.sAS*Molweight</f>
        <v>2.1445384349287605E-5</v>
      </c>
      <c r="J95" s="446">
        <f t="shared" si="38"/>
        <v>1.8092010352244231E-15</v>
      </c>
      <c r="K95" s="296">
        <f>M.sTS*Molweight</f>
        <v>3.3040392720448103E-5</v>
      </c>
      <c r="L95" s="461">
        <f t="shared" si="39"/>
        <v>7.5253053597725363E-16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126</v>
      </c>
      <c r="C96" s="295">
        <f>M.s3RA*Molweight</f>
        <v>637.78398002143854</v>
      </c>
      <c r="D96" s="446">
        <f t="shared" si="35"/>
        <v>2.4465816132834142E-8</v>
      </c>
      <c r="E96" s="295">
        <f>M.s3CA*Molweight</f>
        <v>563.64157536074561</v>
      </c>
      <c r="F96" s="446">
        <f t="shared" si="36"/>
        <v>2.162166435590534E-8</v>
      </c>
      <c r="G96" s="296">
        <f>M.sMA*Molweight</f>
        <v>6734.4270595157368</v>
      </c>
      <c r="H96" s="446">
        <f t="shared" si="37"/>
        <v>3.5788870519577679E-7</v>
      </c>
      <c r="I96" s="296">
        <f>M.sAA*Molweight</f>
        <v>806.3203905036828</v>
      </c>
      <c r="J96" s="446">
        <f t="shared" si="38"/>
        <v>6.8023760332851487E-8</v>
      </c>
      <c r="K96" s="296">
        <f>M.sTA*Molweight</f>
        <v>1505.3623342790509</v>
      </c>
      <c r="L96" s="461">
        <f t="shared" si="39"/>
        <v>3.4286248769491627E-8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128</v>
      </c>
      <c r="C97" s="295">
        <f>M.s3RP*Molweight</f>
        <v>140.03371626231012</v>
      </c>
      <c r="D97" s="446">
        <f t="shared" si="35"/>
        <v>5.3717861561150887E-9</v>
      </c>
      <c r="E97" s="295">
        <f>M.s3CP*Molweight</f>
        <v>15.231415270229288</v>
      </c>
      <c r="F97" s="446">
        <f t="shared" si="36"/>
        <v>5.8428718361935928E-10</v>
      </c>
      <c r="G97" s="296">
        <f>M.sMP*Molweight</f>
        <v>6.4340025861432615</v>
      </c>
      <c r="H97" s="446">
        <f t="shared" si="37"/>
        <v>3.4192320065705363E-10</v>
      </c>
      <c r="I97" s="296">
        <f>M.sAP*Molweight</f>
        <v>3.974323610147705E-2</v>
      </c>
      <c r="J97" s="446">
        <f t="shared" si="38"/>
        <v>3.3528661798196925E-12</v>
      </c>
      <c r="K97" s="296">
        <f>M.sTP*Molweight</f>
        <v>5.940226560464866E-2</v>
      </c>
      <c r="L97" s="461">
        <f t="shared" si="39"/>
        <v>1.3529505884493971E-12</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218</v>
      </c>
      <c r="C99" s="124">
        <f>SUM(C12,C20,C28,C36,C44,C52,C68,C76,C84,C92)</f>
        <v>26066478270.787327</v>
      </c>
      <c r="D99" s="446">
        <f>C99/$C$103</f>
        <v>0.99992738071307807</v>
      </c>
      <c r="E99" s="124">
        <f>SUM(E12,E20,E28,E36,E44,E52,E68,E76,E84,E92)</f>
        <v>2124931515.9782772</v>
      </c>
      <c r="F99" s="446">
        <f>E99/$E$103</f>
        <v>0.9999281327810845</v>
      </c>
      <c r="G99" s="124">
        <f>SUM(G12,G52,G60,G68,G92)</f>
        <v>18817010216.866123</v>
      </c>
      <c r="H99" s="446">
        <f>G99/$G$103</f>
        <v>0.99999530214737831</v>
      </c>
      <c r="I99" s="124">
        <f>SUM(I12,I52,I60,I68,I92)</f>
        <v>11853493344.936769</v>
      </c>
      <c r="J99" s="446">
        <f>I99/$I$103</f>
        <v>0.99999851163300835</v>
      </c>
      <c r="K99" s="124">
        <f>SUM(K12,K52,K60,K68,K92)</f>
        <v>43905689373.50061</v>
      </c>
      <c r="L99" s="461">
        <f>K99/$K$103</f>
        <v>0.99999937156446495</v>
      </c>
      <c r="M99" s="166"/>
      <c r="N99" s="156"/>
    </row>
    <row r="100" spans="1:14" ht="12.75" customHeight="1" x14ac:dyDescent="0.3">
      <c r="A100" s="304"/>
      <c r="B100" s="455" t="s">
        <v>219</v>
      </c>
      <c r="C100" s="459">
        <f>SUM(C15,C23,C31,C39,C47,C55,C71,C79,C87,C95)</f>
        <v>6329.7463928630123</v>
      </c>
      <c r="D100" s="446">
        <f>C100/$C$103</f>
        <v>2.4281326635085918E-7</v>
      </c>
      <c r="E100" s="459">
        <f>SUM(E15,E23,E31,E39,E47,E55,E71,E79,E87,E95)</f>
        <v>1258.2987996749437</v>
      </c>
      <c r="F100" s="446">
        <f>E100/$E$103</f>
        <v>5.9211713873065298E-7</v>
      </c>
      <c r="G100" s="459">
        <f>SUM(G15,G55,G71,G63,G95)</f>
        <v>37.998054369192047</v>
      </c>
      <c r="H100" s="446">
        <f>G100/$G$103</f>
        <v>2.0193365163757168E-9</v>
      </c>
      <c r="I100" s="459">
        <f>SUM(I15,I55,I71,I63,I95)</f>
        <v>0.33349527229168707</v>
      </c>
      <c r="J100" s="446">
        <f>I100/$I$103</f>
        <v>2.8134725031991056E-11</v>
      </c>
      <c r="K100" s="459">
        <f>SUM(K15,K55,K71,K63,K95)</f>
        <v>0.51821683464321522</v>
      </c>
      <c r="L100" s="461">
        <f>K100/$K$103</f>
        <v>1.1802946642493952E-11</v>
      </c>
      <c r="M100" s="166"/>
      <c r="N100" s="156"/>
    </row>
    <row r="101" spans="1:14" ht="12.75" customHeight="1" x14ac:dyDescent="0.3">
      <c r="A101" s="304"/>
      <c r="B101" s="456" t="s">
        <v>220</v>
      </c>
      <c r="C101" s="459">
        <f>SUM(C16,C24,C32,C40,C48,C56,C72,C80,C88,C96)</f>
        <v>1396327.5538367936</v>
      </c>
      <c r="D101" s="446">
        <f>C101/$C$103</f>
        <v>5.3564050310941839E-5</v>
      </c>
      <c r="E101" s="459">
        <f>SUM(E16,E24,E32,E40,E48,E56,E72,E80,E88,E96)</f>
        <v>151081.80592686549</v>
      </c>
      <c r="F101" s="446">
        <f>E101/$E$103</f>
        <v>7.1094502087091813E-5</v>
      </c>
      <c r="G101" s="459">
        <f>SUM(G16,G56,G64,G72,G96)</f>
        <v>88354.634778992957</v>
      </c>
      <c r="H101" s="446">
        <f>G101/$G$103</f>
        <v>4.6954441052886487E-6</v>
      </c>
      <c r="I101" s="459">
        <f>SUM(I16,I56,I64,I72,I96)</f>
        <v>17641.986551585105</v>
      </c>
      <c r="J101" s="446">
        <f>I101/$I$103</f>
        <v>1.4883342640395907E-6</v>
      </c>
      <c r="K101" s="459">
        <f>SUM(K16,K56,K64,K72,K96)</f>
        <v>27591.320328395788</v>
      </c>
      <c r="L101" s="461">
        <f>K101/$K$103</f>
        <v>6.2842204239896153E-7</v>
      </c>
      <c r="M101" s="166"/>
      <c r="N101" s="156"/>
    </row>
    <row r="102" spans="1:14" ht="12.75" customHeight="1" x14ac:dyDescent="0.3">
      <c r="A102" s="304"/>
      <c r="B102" s="456" t="s">
        <v>222</v>
      </c>
      <c r="C102" s="459">
        <f>SUM(C17,C25,C33,C41,C49,C57,C73,C81,C89,C97)</f>
        <v>490409.2375013259</v>
      </c>
      <c r="D102" s="446">
        <f>C102/$C$103</f>
        <v>1.8812423344574317E-5</v>
      </c>
      <c r="E102" s="459">
        <f>SUM(E17,E25,E33,E41,E49,E57,E73,E81,E89,E97)</f>
        <v>383.78955437827682</v>
      </c>
      <c r="F102" s="446">
        <f>E102/$E$103</f>
        <v>1.8059968973337865E-7</v>
      </c>
      <c r="G102" s="459">
        <f>SUM(G17,G57,G65,G73,G97)</f>
        <v>7.3232354598648035</v>
      </c>
      <c r="H102" s="446">
        <f>G102/$G$103</f>
        <v>3.8917984164242755E-10</v>
      </c>
      <c r="I102" s="459">
        <f>SUM(I17,I57,I65,I73,I97)</f>
        <v>5.4440943687635156E-2</v>
      </c>
      <c r="J102" s="446">
        <f>I102/$I$103</f>
        <v>4.5928116779840297E-12</v>
      </c>
      <c r="K102" s="459">
        <f>SUM(K17,K57,K65,K73,K97)</f>
        <v>7.4190308528729557E-2</v>
      </c>
      <c r="L102" s="461">
        <f>K102/$K$103</f>
        <v>1.6897641960196857E-12</v>
      </c>
      <c r="M102" s="166"/>
      <c r="N102" s="156"/>
    </row>
    <row r="103" spans="1:14" ht="12.75" customHeight="1" thickBot="1" x14ac:dyDescent="0.35">
      <c r="A103" s="304"/>
      <c r="B103" s="482" t="s">
        <v>223</v>
      </c>
      <c r="C103" s="485">
        <f>SUM(C99:C102)</f>
        <v>26068371337.325058</v>
      </c>
      <c r="D103" s="485"/>
      <c r="E103" s="485">
        <f>SUM(E99:E102)</f>
        <v>2125084239.8725581</v>
      </c>
      <c r="F103" s="485"/>
      <c r="G103" s="485">
        <f>SUM(G99:G102)</f>
        <v>18817098616.822193</v>
      </c>
      <c r="H103" s="485"/>
      <c r="I103" s="485">
        <f>SUM(I99:I102)</f>
        <v>11853510987.311258</v>
      </c>
      <c r="J103" s="485"/>
      <c r="K103" s="485">
        <f>SUM(K99:K102)</f>
        <v>43905716965.413345</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Create a new document." ma:contentTypeScope="" ma:versionID="e9343d95473f11d4cb92519027ac1086">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066982ad945f58e054c650a418b08bf8"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9C4CD6-20C6-4444-9911-2169947FDD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DB3FBAE-4215-4E01-A181-0EF61E5CAC0F}">
  <ds:schemaRefs>
    <ds:schemaRef ds:uri="http://schemas.microsoft.com/office/2006/documentManagement/types"/>
    <ds:schemaRef ds:uri="http://purl.org/dc/elements/1.1/"/>
    <ds:schemaRef ds:uri="http://purl.org/dc/terms/"/>
    <ds:schemaRef ds:uri="http://purl.org/dc/dcmitype/"/>
    <ds:schemaRef ds:uri="http://www.w3.org/XML/1998/namespace"/>
    <ds:schemaRef ds:uri="feba0a3f-701e-48ef-9ed7-c4ddb3762335"/>
    <ds:schemaRef ds:uri="http://schemas.microsoft.com/sharepoint/v3"/>
    <ds:schemaRef ds:uri="http://schemas.microsoft.com/office/2006/metadata/propertie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2024-04-15T10:01:49Z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