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A5055C51-F5C5-46DF-8715-5E0B784877E0}" xr6:coauthVersionLast="47" xr6:coauthVersionMax="47" xr10:uidLastSave="{00000000-0000-0000-0000-000000000000}"/>
  <bookViews>
    <workbookView xWindow="0" yWindow="0" windowWidth="14400" windowHeight="1560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K75" i="3" l="1"/>
  <c r="K74" i="3"/>
  <c r="L75" i="3"/>
  <c r="B559" i="22" s="1"/>
  <c r="D91" i="1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L74" i="3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1" i="11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J29" i="23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<sst xmlns="http://schemas.openxmlformats.org/spreadsheetml/2006/main" count="14981" uniqueCount="4056">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</sst>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G35" sqref="G35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59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2.1258349764847861E-2</v>
      </c>
      <c r="AY8" s="75"/>
      <c r="AZ8" s="295">
        <f>output!AF12</f>
        <v>3.6063451937465116E-5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0.16593530760004074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0.9273788224845414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98446.366272267609</v>
      </c>
      <c r="D11" s="117">
        <f>C11/$C$51</f>
        <v>2.7191865168575368E-2</v>
      </c>
      <c r="E11" s="517">
        <f>M.aC*Molweight</f>
        <v>552399.71017375251</v>
      </c>
      <c r="F11" s="117">
        <f>E11/$E$51</f>
        <v>0.75163373657404142</v>
      </c>
      <c r="G11" s="517">
        <f>M.aM*Molweight</f>
        <v>1039424.7032929029</v>
      </c>
      <c r="H11" s="117">
        <f>G11/$G$51</f>
        <v>0.74361421847339648</v>
      </c>
      <c r="I11" s="517">
        <f>M.aA*Molweight</f>
        <v>409565.33326055278</v>
      </c>
      <c r="J11" s="117">
        <f>I11/$I$51</f>
        <v>0.1742689447491817</v>
      </c>
      <c r="K11" s="517">
        <f>M.aT*Molweight</f>
        <v>1035458.5244695389</v>
      </c>
      <c r="L11" s="118">
        <f>K11/$K$51</f>
        <v>0.91768096386394404</v>
      </c>
      <c r="M11" s="320">
        <f>C.aR*(Molweight*1000)</f>
        <v>4.2882940398252218E-7</v>
      </c>
      <c r="N11" s="320">
        <f>C.aC*(Molweight*1000)</f>
        <v>7.6730174695107499E-8</v>
      </c>
      <c r="O11" s="320">
        <f>C.aM*(Molweight*1000)</f>
        <v>1.3399624748429802E-8</v>
      </c>
      <c r="P11" s="320">
        <f>C.aA*(Molweight*1000)</f>
        <v>9.6368313708365362E-9</v>
      </c>
      <c r="Q11" s="321">
        <f>C.aT*(Molweight*1000)</f>
        <v>8.1212433291728555E-9</v>
      </c>
      <c r="R11" s="119" t="s">
        <v>1493</v>
      </c>
      <c r="S11" s="323">
        <f>F.aR</f>
        <v>6.9122924111737861E-6</v>
      </c>
      <c r="T11" s="323">
        <f>F.aC</f>
        <v>1.2368121199885052E-6</v>
      </c>
      <c r="U11" s="323">
        <f>F.aM</f>
        <v>2.1598827785821041E-7</v>
      </c>
      <c r="V11" s="323">
        <f>F.aA</f>
        <v>1.4334504770412581E-7</v>
      </c>
      <c r="W11" s="324">
        <f>F.aT</f>
        <v>1.3687731345269013E-7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2.7191865168575368E-2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98446.362796551708</v>
      </c>
      <c r="D12" s="122">
        <f>C12/$C$51</f>
        <v>2.7191864208548081E-2</v>
      </c>
      <c r="E12" s="318">
        <f>FRgas.aC*E11</f>
        <v>552399.69067090517</v>
      </c>
      <c r="F12" s="122">
        <f>E12/$E$51</f>
        <v>0.75163371003710122</v>
      </c>
      <c r="G12" s="318">
        <f>FRgas.aM*G11</f>
        <v>1039424.6665953071</v>
      </c>
      <c r="H12" s="122">
        <f>G12/$G$51</f>
        <v>0.74361419221959091</v>
      </c>
      <c r="I12" s="318">
        <f>FRgas.aA*I11</f>
        <v>409565.31858293747</v>
      </c>
      <c r="J12" s="122">
        <f>I12/$I$51</f>
        <v>0.17426893850389596</v>
      </c>
      <c r="K12" s="318">
        <f>FRgas.aT*K11</f>
        <v>1035458.4880201322</v>
      </c>
      <c r="L12" s="123">
        <f>K12/$K$51</f>
        <v>0.9176809315604515</v>
      </c>
      <c r="M12" s="320">
        <f>FRgas.aR*M11</f>
        <v>4.2882938884240848E-7</v>
      </c>
      <c r="N12" s="320">
        <f>FRgas.aC*N11</f>
        <v>7.6730171986096511E-8</v>
      </c>
      <c r="O12" s="320">
        <f>FRgas.aM*O11</f>
        <v>1.3399624275346939E-8</v>
      </c>
      <c r="P12" s="320">
        <f>FRgas.aA*P11</f>
        <v>9.6368310254808815E-9</v>
      </c>
      <c r="Q12" s="320">
        <f>FRgas.aT*Q11</f>
        <v>8.1212430432951561E-9</v>
      </c>
      <c r="R12" s="120" t="s">
        <v>1493</v>
      </c>
      <c r="S12" s="325">
        <f>S11*FRgas.aR</f>
        <v>6.9122921671306023E-6</v>
      </c>
      <c r="T12" s="325">
        <f>T11*FRgas.aC</f>
        <v>1.2368120763220124E-6</v>
      </c>
      <c r="U12" s="325">
        <f>U11*FRgas.aM</f>
        <v>2.1598827023259741E-7</v>
      </c>
      <c r="V12" s="325">
        <f>V11*FRgas.aA</f>
        <v>1.4334504256706146E-7</v>
      </c>
      <c r="W12" s="326">
        <f>W11*FRgas.aT</f>
        <v>1.3687730863444125E-7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0.16593530760004074</v>
      </c>
      <c r="AE12" s="325">
        <f>k.aR.aC*M.aR*Molweight</f>
        <v>0.9273788224845414</v>
      </c>
      <c r="AF12" s="325">
        <f>kesc.aR*M.aR*Molweight</f>
        <v>3.6063451937465116E-5</v>
      </c>
      <c r="AG12" s="326">
        <f>KDEG.aR*M.aR*Molweight</f>
        <v>2.1258349764847861E-2</v>
      </c>
      <c r="AH12" s="325">
        <f>SUM(AH13:AH15)</f>
        <v>1.9300056432439069E-4</v>
      </c>
      <c r="AI12" s="325">
        <f>SUM(AI13:AI15)</f>
        <v>0.30082133512588854</v>
      </c>
      <c r="AJ12" s="325">
        <f>SUM(AJ18:AJ20)</f>
        <v>1.3054432358938046E-4</v>
      </c>
      <c r="AK12" s="325">
        <f>SUM(AK18:AK20)</f>
        <v>0.16514221802566539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669703.17192018789</v>
      </c>
      <c r="BS12" s="425"/>
      <c r="BT12" s="425">
        <f>engine!F45</f>
        <v>1185319.3943523103</v>
      </c>
      <c r="BU12" s="425">
        <f>engine!G45</f>
        <v>43812.638683884477</v>
      </c>
      <c r="BV12" s="425">
        <f>engine!H45</f>
        <v>314655.45746143447</v>
      </c>
      <c r="BW12" s="425">
        <f>engine!I45</f>
        <v>3028.6174274537652</v>
      </c>
      <c r="BX12" s="425">
        <f>engine!J45</f>
        <v>1545.9531847890978</v>
      </c>
      <c r="BY12" s="425">
        <f>engine!K45</f>
        <v>22372796.512290176</v>
      </c>
      <c r="BZ12" s="425">
        <f>engine!L45</f>
        <v>572.57525362559159</v>
      </c>
      <c r="CA12" s="425">
        <f>engine!M45</f>
        <v>3757821.1576445755</v>
      </c>
      <c r="CB12" s="425">
        <f>engine!N45</f>
        <v>1900.5698302836918</v>
      </c>
      <c r="CC12" s="425">
        <f>engine!O45</f>
        <v>1574.5425294710972</v>
      </c>
      <c r="CD12" s="425">
        <f>engine!P45</f>
        <v>1212309.5943608964</v>
      </c>
      <c r="CE12" s="425">
        <f>engine!Q45</f>
        <v>417.97881842128527</v>
      </c>
      <c r="CF12" s="425">
        <f>engine!R45</f>
        <v>4190.1401915577208</v>
      </c>
      <c r="CG12" s="425">
        <f>engine!S45</f>
        <v>4218.5872363690396</v>
      </c>
      <c r="CH12" s="425">
        <f>engine!T45</f>
        <v>15542.629869236131</v>
      </c>
      <c r="CI12" s="425">
        <f>engine!U45</f>
        <v>1562.4397171737176</v>
      </c>
      <c r="CJ12" s="425">
        <f>engine!V45</f>
        <v>7070916.3489313126</v>
      </c>
      <c r="CK12" s="425">
        <f>engine!W45</f>
        <v>604643.6226840592</v>
      </c>
      <c r="CL12" s="611"/>
      <c r="CM12" s="425">
        <f>engine!Y45</f>
        <v>415.33909300106689</v>
      </c>
      <c r="CN12" s="425">
        <f>engine!Z45</f>
        <v>30359.368918314205</v>
      </c>
      <c r="CO12" s="425">
        <f>engine!AA45</f>
        <v>2786158.7296636244</v>
      </c>
      <c r="CP12" s="425">
        <f>engine!AB45</f>
        <v>1313247.8736757133</v>
      </c>
      <c r="CQ12" s="425"/>
      <c r="CR12" s="425">
        <f>engine!AD45</f>
        <v>3089.5733643366652</v>
      </c>
      <c r="CS12" s="425">
        <f>engine!AE45</f>
        <v>35258.315975850186</v>
      </c>
      <c r="CT12" s="425">
        <f>engine!AF45</f>
        <v>7043935.5406091092</v>
      </c>
      <c r="CU12" s="425">
        <f>engine!AG45</f>
        <v>302054.68781756179</v>
      </c>
      <c r="CV12" s="425"/>
      <c r="CW12" s="425">
        <f>engine!AI45</f>
        <v>60.661323023084805</v>
      </c>
      <c r="CX12" s="425">
        <f>engine!AJ45</f>
        <v>9297.7832330207675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3.4757158983871488E-3</v>
      </c>
      <c r="D13" s="122">
        <f>C13/$C$51</f>
        <v>9.6002728848145415E-10</v>
      </c>
      <c r="E13" s="318">
        <f>(1-FRgas.aC)*E11</f>
        <v>1.9502847363663697E-2</v>
      </c>
      <c r="F13" s="122">
        <f>E13/$E$51</f>
        <v>2.6536940131943363E-8</v>
      </c>
      <c r="G13" s="318">
        <f>(1-FRgas.aM)*G11</f>
        <v>3.669759589114667E-2</v>
      </c>
      <c r="H13" s="122">
        <f>G13/$G$51</f>
        <v>2.6253805592647859E-8</v>
      </c>
      <c r="I13" s="318">
        <f>(1-FRgas.aA)*I11</f>
        <v>1.4677615324674344E-2</v>
      </c>
      <c r="J13" s="122">
        <f>I13/$I$51</f>
        <v>6.2452857367158797E-9</v>
      </c>
      <c r="K13" s="318">
        <f>(1-FRgas.aT)*K11</f>
        <v>3.6449406706272884E-2</v>
      </c>
      <c r="L13" s="123">
        <f>K13/$K$51</f>
        <v>3.2303492499245348E-8</v>
      </c>
      <c r="M13" s="320">
        <f>(1-FRgas.aR)*M11</f>
        <v>1.5140113683787729E-14</v>
      </c>
      <c r="N13" s="320">
        <f>(1-FRgas.aC)*N11</f>
        <v>2.7090109891535507E-15</v>
      </c>
      <c r="O13" s="320">
        <f>(1-FRgas.aM)*O11</f>
        <v>4.7308286261916687E-16</v>
      </c>
      <c r="P13" s="320">
        <f>(1-FRgas.aA)*P11</f>
        <v>3.4535565469821988E-16</v>
      </c>
      <c r="Q13" s="320">
        <f>(1-FRgas.aT)*Q11</f>
        <v>2.8587769965704227E-16</v>
      </c>
      <c r="R13" s="120" t="s">
        <v>1493</v>
      </c>
      <c r="S13" s="325">
        <f>S11*(1-FRgas.aR)</f>
        <v>2.4404318348706252E-13</v>
      </c>
      <c r="T13" s="325">
        <f>T11*(1-FRgas.aC)</f>
        <v>4.3666492848227534E-14</v>
      </c>
      <c r="U13" s="325">
        <f>U11*(1-FRgas.aM)</f>
        <v>7.6256130078060523E-15</v>
      </c>
      <c r="V13" s="325">
        <f>V11*(1-FRgas.aA)</f>
        <v>5.1370643412336261E-15</v>
      </c>
      <c r="W13" s="326">
        <f>W11*(1-FRgas.aT)</f>
        <v>4.8182488713925004E-15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1.316967621287547E-5</v>
      </c>
      <c r="AF13" s="330"/>
      <c r="AG13" s="326">
        <f>KDEG.w0R*M.w0R*Molweight</f>
        <v>4.7733408533413412E-4</v>
      </c>
      <c r="AH13" s="325">
        <f>k.aR.w0R*M.aR*Molweight</f>
        <v>1.4036393512754697E-5</v>
      </c>
      <c r="AI13" s="325">
        <f>k.w0R.aR*M.w0R*Molweight</f>
        <v>2.8146329552645761E-4</v>
      </c>
      <c r="AJ13" s="325"/>
      <c r="AK13" s="325"/>
      <c r="AL13" s="631">
        <f>SUM(AL18:AL20)*AREAFRAC.w0R/(AREAFRAC.w0R+AREAFRAC.w1R)</f>
        <v>7.5793066356071232E-4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1.3169676212875466E-5</v>
      </c>
      <c r="AE14" s="325">
        <f>(WATERflow.w1R.w0R+WATERflow.w1R.w2R)*C.w1R*Molweight</f>
        <v>1.2657675973313897E-2</v>
      </c>
      <c r="AF14" s="330"/>
      <c r="AG14" s="326">
        <f>KDEG.w1R*M.w1R*Molweight</f>
        <v>1.5122760004448036E-2</v>
      </c>
      <c r="AH14" s="325">
        <f>k.aR.w1R*M.aR*Molweight</f>
        <v>1.5440032864030167E-4</v>
      </c>
      <c r="AI14" s="325">
        <f>k.w1R.aR*M.w1R*Molweight</f>
        <v>0.29724128230008257</v>
      </c>
      <c r="AJ14" s="325"/>
      <c r="AK14" s="325"/>
      <c r="AL14" s="631">
        <f>SUM(AL18:AL20)*AREAFRAC.w1R/(AREAFRAC.w0R+AREAFRAC.w1R)</f>
        <v>8.3372372991678372E-3</v>
      </c>
      <c r="AM14" s="325">
        <f>k.w1R.sd1R*M.w1R*Molweight</f>
        <v>3.9017681168239051E-3</v>
      </c>
      <c r="AN14" s="326">
        <f>k.sd1R.w1R*M.sd1R*Molweight</f>
        <v>3.3207592530015303E-3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5493.6363630851956</v>
      </c>
      <c r="D15" s="122">
        <f>C15/$C$51</f>
        <v>1.5173969840294294E-3</v>
      </c>
      <c r="E15" s="318">
        <f>M.w0C*Molweight</f>
        <v>279.38376505170265</v>
      </c>
      <c r="F15" s="122">
        <f>E15/$E$51</f>
        <v>3.8014911919103555E-4</v>
      </c>
      <c r="G15" s="318"/>
      <c r="H15" s="122"/>
      <c r="I15" s="318"/>
      <c r="J15" s="122"/>
      <c r="K15" s="318"/>
      <c r="L15" s="123"/>
      <c r="M15" s="320">
        <f>C.w0R*Molweight</f>
        <v>9.6139237224223568E-8</v>
      </c>
      <c r="N15" s="320">
        <f>C.w0C*Molweight</f>
        <v>3.2059275818936349E-10</v>
      </c>
      <c r="O15" s="320"/>
      <c r="P15" s="320"/>
      <c r="Q15" s="320"/>
      <c r="R15" s="120" t="s">
        <v>1489</v>
      </c>
      <c r="S15" s="325">
        <f>F.w0R</f>
        <v>1.392447917720387E-4</v>
      </c>
      <c r="T15" s="325">
        <f>F.w0C</f>
        <v>4.6433561516185615E-7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1.2660634291706725E-2</v>
      </c>
      <c r="AE15" s="325">
        <f>k.w2R.w2C*M.w2R*Molweight</f>
        <v>8.8224899091359169E-3</v>
      </c>
      <c r="AF15" s="330"/>
      <c r="AG15" s="326">
        <f>KDEG.w2R*M.w2R*Molweight</f>
        <v>5.5940836384498318E-4</v>
      </c>
      <c r="AH15" s="325">
        <f>k.aR.w2R*M.aR*Molweight</f>
        <v>2.456384217133432E-5</v>
      </c>
      <c r="AI15" s="325">
        <f>k.w2R.aR*M.w2R*Molweight</f>
        <v>3.2985895302795219E-3</v>
      </c>
      <c r="AJ15" s="325"/>
      <c r="AK15" s="325"/>
      <c r="AL15" s="631"/>
      <c r="AM15" s="325">
        <f>k.w2R.sd2R*M.w2R*Molweight</f>
        <v>2.896715198476462E-5</v>
      </c>
      <c r="AN15" s="326">
        <f>k.sd2R.w2R*M.sd2R*Molweight</f>
        <v>2.4256821367126518E-5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5492.2167519460245</v>
      </c>
      <c r="D16" s="122">
        <f>C16/$C$51</f>
        <v>1.5170048733182894E-3</v>
      </c>
      <c r="E16" s="318">
        <f>FRw.w0C*E15</f>
        <v>279.31156946416138</v>
      </c>
      <c r="F16" s="122">
        <f>E16/$E$51</f>
        <v>3.8005088481793869E-4</v>
      </c>
      <c r="G16" s="318"/>
      <c r="H16" s="122"/>
      <c r="I16" s="318"/>
      <c r="J16" s="122"/>
      <c r="K16" s="318"/>
      <c r="L16" s="123"/>
      <c r="M16" s="320">
        <f>M15*FRw.w0R</f>
        <v>9.6114393874017133E-8</v>
      </c>
      <c r="N16" s="320">
        <f>N15*FRw.w0C</f>
        <v>3.2050991378165544E-10</v>
      </c>
      <c r="O16" s="320"/>
      <c r="P16" s="320"/>
      <c r="Q16" s="320"/>
      <c r="R16" s="120" t="s">
        <v>1489</v>
      </c>
      <c r="S16" s="325">
        <f>S15*FRw.w0R</f>
        <v>1.3920880951103588E-4</v>
      </c>
      <c r="T16" s="325">
        <f>T15*FRw.w0C</f>
        <v>4.6421562614765296E-7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1.3392338321508904E-4</v>
      </c>
      <c r="AG16" s="326">
        <f>KDEG.sd1R*M.sd1R*Molweight</f>
        <v>4.4708548060728623E-4</v>
      </c>
      <c r="AH16" s="325"/>
      <c r="AI16" s="325"/>
      <c r="AJ16" s="325"/>
      <c r="AK16" s="325"/>
      <c r="AL16" s="631"/>
      <c r="AM16" s="325">
        <f>k.w1R.sd1R*M.w1R*Molweight</f>
        <v>3.9017681168239051E-3</v>
      </c>
      <c r="AN16" s="326">
        <f>k.sd1R.w1R*M.sd1R*Molweight</f>
        <v>3.3207592530015303E-3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1.4196111391709616</v>
      </c>
      <c r="D17" s="122">
        <f>C17/$C$51</f>
        <v>3.9211071113976342E-7</v>
      </c>
      <c r="E17" s="318">
        <f>(1-FRw.w0C)*E15</f>
        <v>7.2195587541251521E-2</v>
      </c>
      <c r="F17" s="122">
        <f>E17/$E$51</f>
        <v>9.8234373096830048E-8</v>
      </c>
      <c r="G17" s="318"/>
      <c r="H17" s="122"/>
      <c r="I17" s="318"/>
      <c r="J17" s="122"/>
      <c r="K17" s="318"/>
      <c r="L17" s="123"/>
      <c r="M17" s="320">
        <f>M16*Kp.susp1R</f>
        <v>7.3963671082719735E-6</v>
      </c>
      <c r="N17" s="320">
        <f>N16*Kp.susp1C</f>
        <v>2.4664453352086067E-8</v>
      </c>
      <c r="O17" s="320"/>
      <c r="P17" s="320"/>
      <c r="Q17" s="320"/>
      <c r="R17" s="120" t="s">
        <v>1494</v>
      </c>
      <c r="S17" s="325">
        <f>S15*(1-FRw.w0R)</f>
        <v>3.5982261002822345E-8</v>
      </c>
      <c r="T17" s="325">
        <f>T15*(1-FRw.w0C)</f>
        <v>1.19989014203223E-10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4.0704953345499575E-7</v>
      </c>
      <c r="AG17" s="326">
        <f>KDEG.sd2R*M.sd2R*Molweight</f>
        <v>4.303281084183095E-6</v>
      </c>
      <c r="AH17" s="325"/>
      <c r="AI17" s="325"/>
      <c r="AJ17" s="325"/>
      <c r="AK17" s="325"/>
      <c r="AL17" s="631"/>
      <c r="AM17" s="325">
        <f>k.w2R.sd2R*M.w2R*Molweight</f>
        <v>2.896715198476462E-5</v>
      </c>
      <c r="AN17" s="326">
        <f>k.sd2R.w2R*M.sd2R*Molweight</f>
        <v>2.4256821367126518E-5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9.2667897971028317E-9</v>
      </c>
      <c r="AG18" s="326">
        <f>KDEG.s1R*M.s1R*Molweight</f>
        <v>9.8754855157415594E-6</v>
      </c>
      <c r="AH18" s="325"/>
      <c r="AI18" s="325"/>
      <c r="AJ18" s="325">
        <f>k.aR.s1R*M.aR*Molweight</f>
        <v>3.6337079761992504E-5</v>
      </c>
      <c r="AK18" s="325">
        <f>k.s1R.aR*M.s1R*Molweight</f>
        <v>2.5071519543979948E-5</v>
      </c>
      <c r="AL18" s="631">
        <f>(k.s1R.w1R+k.s1R.w0R)*M.s1R*Molweight</f>
        <v>1.380807912473903E-6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174241.95096978961</v>
      </c>
      <c r="D19" s="122">
        <f>C19/$C$51</f>
        <v>4.8127359260539071E-2</v>
      </c>
      <c r="E19" s="318">
        <f>M.w1C*Molweight</f>
        <v>231.45775183225126</v>
      </c>
      <c r="F19" s="122">
        <f>E19/$E$51</f>
        <v>3.1493762879415883E-4</v>
      </c>
      <c r="G19" s="318"/>
      <c r="H19" s="122"/>
      <c r="I19" s="318"/>
      <c r="J19" s="122"/>
      <c r="K19" s="318"/>
      <c r="L19" s="123"/>
      <c r="M19" s="320">
        <f>C.w1R*Molweight</f>
        <v>9.2401612115267173E-6</v>
      </c>
      <c r="N19" s="320">
        <f>C.w1C*Molweight</f>
        <v>8.0484144626764034E-10</v>
      </c>
      <c r="O19" s="320"/>
      <c r="P19" s="320"/>
      <c r="Q19" s="320"/>
      <c r="R19" s="120" t="s">
        <v>1489</v>
      </c>
      <c r="S19" s="325">
        <f>F.w1R</f>
        <v>1.3383134305905637E-2</v>
      </c>
      <c r="T19" s="325">
        <f>F.w1C</f>
        <v>1.165704896676739E-6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6.1026210908800205E-5</v>
      </c>
      <c r="AG19" s="326">
        <f>KDEG.s2R*M.s2R*Molweight</f>
        <v>0.14291650619025459</v>
      </c>
      <c r="AH19" s="325"/>
      <c r="AI19" s="325"/>
      <c r="AJ19" s="325">
        <f>k.aR.s2R*M.aR*Molweight</f>
        <v>8.0749066137761116E-5</v>
      </c>
      <c r="AK19" s="325">
        <f>k.s2R.aR*M.s2R*Molweight</f>
        <v>0.16510786075814216</v>
      </c>
      <c r="AL19" s="631">
        <f>(k.s2R.w1R+k.s2R.w0R)*M.s2R*Molweight</f>
        <v>9.0932757444781229E-3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174002.81769936581</v>
      </c>
      <c r="D20" s="122">
        <f>C20/$C$51</f>
        <v>4.806130827366261E-2</v>
      </c>
      <c r="E20" s="318">
        <f>FRw.w1C*E19</f>
        <v>231.14009440903874</v>
      </c>
      <c r="F20" s="122">
        <f>E20/$E$51</f>
        <v>3.1450540185492924E-4</v>
      </c>
      <c r="G20" s="318"/>
      <c r="H20" s="122"/>
      <c r="I20" s="318"/>
      <c r="J20" s="122"/>
      <c r="K20" s="318"/>
      <c r="L20" s="123"/>
      <c r="M20" s="320">
        <f>M19*FRw.w1R</f>
        <v>9.2274798224728341E-6</v>
      </c>
      <c r="N20" s="320">
        <f>N19*FRw.w1C</f>
        <v>8.0373686515989107E-10</v>
      </c>
      <c r="O20" s="320"/>
      <c r="P20" s="320"/>
      <c r="Q20" s="320"/>
      <c r="R20" s="120" t="s">
        <v>1489</v>
      </c>
      <c r="S20" s="325">
        <f>S19*FRw.w1R</f>
        <v>1.336476701457723E-2</v>
      </c>
      <c r="T20" s="325">
        <f>T19*FRw.w1C</f>
        <v>1.164105059078848E-6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3.4321443692973439E-9</v>
      </c>
      <c r="AG20" s="326">
        <f>KDEG.s3R*M.s3R*Molweight</f>
        <v>3.6575872280524277E-6</v>
      </c>
      <c r="AH20" s="325"/>
      <c r="AI20" s="325"/>
      <c r="AJ20" s="325">
        <f>k.aR.s3R*M.aR*Molweight</f>
        <v>1.3458177689626853E-5</v>
      </c>
      <c r="AK20" s="325">
        <f>k.s3R.aR*M.s3R*Molweight</f>
        <v>9.2857479792518292E-6</v>
      </c>
      <c r="AL20" s="631">
        <f>(k.s3R.w1R+k.s3R.w0R)*M.s3R*Molweight</f>
        <v>5.1141033795329726E-7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2.5071519543979948E-5</v>
      </c>
      <c r="BE20" s="2"/>
      <c r="BF20" s="296">
        <f>IF(output!AK20&lt;0,"",output!AK20)</f>
        <v>9.2857479792518292E-6</v>
      </c>
      <c r="BG20" s="75"/>
      <c r="BH20" s="296">
        <f>IF(output!AK19&lt;0,"",output!AK19)</f>
        <v>0.16510786075814216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239.133270423797</v>
      </c>
      <c r="D21" s="122">
        <f>C21/$C$51</f>
        <v>6.6050986876456321E-5</v>
      </c>
      <c r="E21" s="318">
        <f>(1-FRw.w1C)*E19</f>
        <v>0.31765742321252127</v>
      </c>
      <c r="F21" s="122">
        <f>E21/$E$51</f>
        <v>4.3222693922958157E-7</v>
      </c>
      <c r="G21" s="318"/>
      <c r="H21" s="122"/>
      <c r="I21" s="318"/>
      <c r="J21" s="122"/>
      <c r="K21" s="318"/>
      <c r="L21" s="123"/>
      <c r="M21" s="320">
        <f>M20*Kp.susp1R</f>
        <v>7.100895661958863E-4</v>
      </c>
      <c r="N21" s="320">
        <f>N20*Kp.susp1C</f>
        <v>6.185059982760085E-8</v>
      </c>
      <c r="O21" s="320"/>
      <c r="P21" s="320"/>
      <c r="Q21" s="320"/>
      <c r="R21" s="120" t="s">
        <v>1494</v>
      </c>
      <c r="S21" s="325">
        <f>S19*(1-FRw.w1R)</f>
        <v>1.8367291328406961E-5</v>
      </c>
      <c r="T21" s="325">
        <f>T19*(1-FRw.w1C)</f>
        <v>1.5998375978909618E-9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3.2985895302795219E-3</v>
      </c>
      <c r="AV21" s="75"/>
      <c r="AW21" s="75"/>
      <c r="AX21" s="288">
        <f>IF(output!AI14&lt;0,"",output!AI14)</f>
        <v>0.29724128230008257</v>
      </c>
      <c r="AY21" s="75"/>
      <c r="AZ21" s="75"/>
      <c r="BA21" s="296">
        <f>IF(output!AI13&lt;0,"",output!AI13)</f>
        <v>2.8146329552645761E-4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1.0606759195894158</v>
      </c>
      <c r="AE22" s="325">
        <f>(k.aC.aM+k.aC.aR)*M.aC*Molweight</f>
        <v>0.92923351476858396</v>
      </c>
      <c r="AF22" s="325">
        <f>kesc.aC*M.aC*Molweight</f>
        <v>2.0235831095101236E-4</v>
      </c>
      <c r="AG22" s="326">
        <f>KDEG.aC*M.aC*Molweight</f>
        <v>0.11928430366233089</v>
      </c>
      <c r="AH22" s="325">
        <f>SUM(AH23:AH25)</f>
        <v>1.6780781774202863E-2</v>
      </c>
      <c r="AI22" s="325">
        <f>SUM(AI23:AI25)</f>
        <v>4.9728112925689861E-3</v>
      </c>
      <c r="AJ22" s="325">
        <f>SUM(AJ28:AJ30)</f>
        <v>3.5622852146698059E-4</v>
      </c>
      <c r="AK22" s="325">
        <f>SUM(AK28:AK30)</f>
        <v>2.0845615555120986E-4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3.6337079761992504E-5</v>
      </c>
      <c r="BE22" s="2"/>
      <c r="BF22" s="296">
        <f>IF(output!AJ20&lt;0,"",output!AJ20)</f>
        <v>1.3458177689626853E-5</v>
      </c>
      <c r="BG22" s="75"/>
      <c r="BH22" s="296">
        <f>IF(output!AJ19&lt;0,"",output!AJ19)</f>
        <v>8.0749066137761116E-5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46254.352246830866</v>
      </c>
      <c r="D23" s="122">
        <f>C23/$C$51</f>
        <v>1.2775911975025559E-2</v>
      </c>
      <c r="E23" s="318">
        <f>M.sd1C*Molweight</f>
        <v>61.44288630792893</v>
      </c>
      <c r="F23" s="122">
        <f>E23/$E$51</f>
        <v>8.3603494663305142E-5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1.8868443436385467E-4</v>
      </c>
      <c r="N23" s="320">
        <f>C.sd1C*(Molweight*1000)/(FRACw.sdC*1000+FRACs.sdC*RHOsolid)</f>
        <v>1.643489215882468E-8</v>
      </c>
      <c r="O23" s="320"/>
      <c r="P23" s="320"/>
      <c r="Q23" s="320"/>
      <c r="R23" s="120" t="s">
        <v>1495</v>
      </c>
      <c r="S23" s="325">
        <f>F.sd1R</f>
        <v>1.7729383356669088E-2</v>
      </c>
      <c r="T23" s="325">
        <f>F.sd1C</f>
        <v>1.5442741977720651E-6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6.6975560115134214E-7</v>
      </c>
      <c r="AF23" s="330"/>
      <c r="AG23" s="326">
        <f>KDEG.w0C*M.w0C*Molweight</f>
        <v>2.4275249604119631E-5</v>
      </c>
      <c r="AH23" s="325">
        <f>k.aC.w0C*M.aC*Molweight</f>
        <v>3.8302348801527117E-5</v>
      </c>
      <c r="AI23" s="325">
        <f>k.w0C.aC*M.w0C*Molweight</f>
        <v>1.4314066317975239E-5</v>
      </c>
      <c r="AJ23" s="325"/>
      <c r="AK23" s="325"/>
      <c r="AL23" s="631">
        <f>SUM(AL28:AL30)*AREAFRAC.w0C/(AREAFRAC.w1C+AREAFRAC.w0C)</f>
        <v>9.567227217191003E-7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2.456384217133432E-5</v>
      </c>
      <c r="AV23" s="75"/>
      <c r="AW23" s="75"/>
      <c r="AX23" s="288">
        <f>IF(output!AH14&lt;0,"",output!AH14)</f>
        <v>1.5440032864030167E-4</v>
      </c>
      <c r="AY23" s="291">
        <f>output!AL14</f>
        <v>8.3372372991678372E-3</v>
      </c>
      <c r="AZ23" s="87"/>
      <c r="BA23" s="296">
        <f>IF(output!AH13&lt;0,"",output!AH13)</f>
        <v>1.4036393512754697E-5</v>
      </c>
      <c r="BB23" s="291">
        <f>output!AL13</f>
        <v>7.5793066356071232E-4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37003.481797464694</v>
      </c>
      <c r="D24" s="122">
        <f>C24/$C$51</f>
        <v>1.0220729580020448E-2</v>
      </c>
      <c r="E24" s="318">
        <f>E23*FRACw.sdC</f>
        <v>49.154309046343144</v>
      </c>
      <c r="F24" s="122">
        <f>E24/$E$51</f>
        <v>6.6882795730644111E-5</v>
      </c>
      <c r="G24" s="318"/>
      <c r="H24" s="122"/>
      <c r="I24" s="318"/>
      <c r="J24" s="122"/>
      <c r="K24" s="318"/>
      <c r="L24" s="123"/>
      <c r="M24" s="320">
        <f>M25/Kp.sd1R</f>
        <v>1.2240956165574041E-5</v>
      </c>
      <c r="N24" s="320">
        <f>N25/Kp.sd1C</f>
        <v>1.0662182875889003E-9</v>
      </c>
      <c r="O24" s="320"/>
      <c r="P24" s="320"/>
      <c r="Q24" s="320"/>
      <c r="R24" s="120" t="s">
        <v>1489</v>
      </c>
      <c r="S24" s="325">
        <f>S23*FRACw.sdR</f>
        <v>1.4183506685335271E-2</v>
      </c>
      <c r="T24" s="325">
        <f>T23*FRACw.sdC</f>
        <v>1.2354193582176521E-6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6.6975560115134214E-7</v>
      </c>
      <c r="AE24" s="325">
        <f>(k.w1C.w0C+k.w1C.w1R+k.w1C.w2C)*M.w1C*Molweight</f>
        <v>1.681407495668077E-5</v>
      </c>
      <c r="AF24" s="330"/>
      <c r="AG24" s="326">
        <f>KDEG.w1C*M.w1C*Molweight</f>
        <v>2.0088618226819061E-5</v>
      </c>
      <c r="AH24" s="325">
        <f>k.aC.w1C*M.aC*Molweight</f>
        <v>4.2132583681679821E-4</v>
      </c>
      <c r="AI24" s="325">
        <f>k.w1C.aC*M.w1C*Molweight</f>
        <v>3.9484635341830582E-4</v>
      </c>
      <c r="AJ24" s="518"/>
      <c r="AK24" s="518"/>
      <c r="AL24" s="631">
        <f>SUM(AL28:AL30)*AREAFRAC.w1C/(AREAFRAC.w1C+AREAFRAC.w0C)</f>
        <v>1.0523949938910103E-5</v>
      </c>
      <c r="AM24" s="325">
        <f>k.w1C.sd1C*M.w1C*Molweight</f>
        <v>5.1829910734149084E-6</v>
      </c>
      <c r="AN24" s="326">
        <f>k.sd1C.w1C*M.sd1C*Molweight</f>
        <v>4.4124953183608249E-6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1.316967621287547E-5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9250.8704493661717</v>
      </c>
      <c r="D25" s="122">
        <f>C25/$C$51</f>
        <v>2.5551823950051115E-3</v>
      </c>
      <c r="E25" s="318">
        <f>E23*FRACs.sdC</f>
        <v>12.288577261585782</v>
      </c>
      <c r="F25" s="122">
        <f>E25/$E$51</f>
        <v>1.6720698932661024E-5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4.7099399948110379E-4</v>
      </c>
      <c r="N25" s="320">
        <f>C.sd1C*FRACs.sdC/(FRACw.sdC/(Kp.sd1C*RHOsolid/1000)+FRACs.sdC)*(Molweight*1000)/(FRACs.sdC*RHOsolid)</f>
        <v>4.1024770352801926E-8</v>
      </c>
      <c r="O25" s="320"/>
      <c r="P25" s="320"/>
      <c r="Q25" s="320"/>
      <c r="R25" s="120" t="s">
        <v>1494</v>
      </c>
      <c r="S25" s="325">
        <f>S23*(1-FRACw.sdR)</f>
        <v>3.545876671333817E-3</v>
      </c>
      <c r="T25" s="325">
        <f>T23*(1-FRACw.sdC)</f>
        <v>3.0885483955441297E-7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9.3786779867817728E-3</v>
      </c>
      <c r="AE25" s="325">
        <f>(k.w2C.w2M+k.w2C.w2R)*M.w2C*Molweight</f>
        <v>5.6506578013509412E-3</v>
      </c>
      <c r="AF25" s="330"/>
      <c r="AG25" s="326">
        <f>KDEG.w2C*M.w2C*Molweight</f>
        <v>1.5479006675406123E-2</v>
      </c>
      <c r="AH25" s="325">
        <f>k.aC.w2C*M.aC*Molweight</f>
        <v>1.6321153588584537E-2</v>
      </c>
      <c r="AI25" s="325">
        <f>k.w2C.aC*M.w2C*Molweight</f>
        <v>4.5636508728327052E-3</v>
      </c>
      <c r="AJ25" s="325"/>
      <c r="AK25" s="325"/>
      <c r="AL25" s="631"/>
      <c r="AM25" s="325">
        <f>k.w2C.sd2C*M.w2C*Molweight</f>
        <v>4.0076513681150995E-5</v>
      </c>
      <c r="AN25" s="326">
        <f>k.sd2C.w2C*M.sd2C*Molweight</f>
        <v>3.3560287904613287E-5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1.2657675973313897E-2</v>
      </c>
      <c r="AT25" s="75"/>
      <c r="AU25" s="75"/>
      <c r="AV25" s="87"/>
      <c r="AW25" s="75"/>
      <c r="AX25" s="289">
        <f>output!AD14</f>
        <v>1.3169676212875466E-5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1.7660088850644113E-7</v>
      </c>
      <c r="AG26" s="326">
        <f>KDEG.sd1C*M.sd1C*Molweight</f>
        <v>5.9389486654764222E-7</v>
      </c>
      <c r="AH26" s="325"/>
      <c r="AI26" s="325"/>
      <c r="AJ26" s="325"/>
      <c r="AK26" s="325"/>
      <c r="AL26" s="631"/>
      <c r="AM26" s="325">
        <f>k.w1C.sd1C*M.w1C*Molweight</f>
        <v>5.1829910734149084E-6</v>
      </c>
      <c r="AN26" s="326">
        <f>k.sd1C.w1C*M.sd1C*Molweight</f>
        <v>4.4124953183608249E-6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8.8224899091359169E-3</v>
      </c>
      <c r="AT26" s="75"/>
      <c r="AU26" s="285">
        <f>output!AD15</f>
        <v>1.2660634291706725E-2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6440.4578865310177</v>
      </c>
      <c r="D27" s="122">
        <f>C27/$C$51</f>
        <v>1.7789185025894956E-3</v>
      </c>
      <c r="E27" s="318">
        <f>M.w2C*Molweight</f>
        <v>178209.51037105176</v>
      </c>
      <c r="F27" s="122">
        <f>E27/$E$51</f>
        <v>0.24248434187463955</v>
      </c>
      <c r="G27" s="318">
        <f>M.w2M*Molweight</f>
        <v>88882.612534556698</v>
      </c>
      <c r="H27" s="122">
        <f>G27/$G$51</f>
        <v>6.3587457798886984E-2</v>
      </c>
      <c r="I27" s="318">
        <f>M.w2A*Molweight</f>
        <v>193047.43743032985</v>
      </c>
      <c r="J27" s="122">
        <f>I27/$I$51</f>
        <v>8.2141163998651123E-2</v>
      </c>
      <c r="K27" s="318">
        <f>M.w2T*Molweight</f>
        <v>44402.039109181584</v>
      </c>
      <c r="L27" s="123">
        <f>K27/$K$51</f>
        <v>3.9351557869604446E-2</v>
      </c>
      <c r="M27" s="320">
        <f>C.w2R*Molweight</f>
        <v>6.4404578865310112E-7</v>
      </c>
      <c r="N27" s="320">
        <f>C.w2C*Molweight</f>
        <v>2.3995399157519877E-10</v>
      </c>
      <c r="O27" s="320">
        <f>C.w2M*Molweight</f>
        <v>2.2916400790746434E-11</v>
      </c>
      <c r="P27" s="320">
        <f>C.w2A*Molweight</f>
        <v>7.570487742365876E-11</v>
      </c>
      <c r="Q27" s="320">
        <f>C.w2T*Molweight</f>
        <v>4.9750183875833706E-12</v>
      </c>
      <c r="R27" s="120" t="s">
        <v>1489</v>
      </c>
      <c r="S27" s="325">
        <f>F.w2R</f>
        <v>9.3281395111863264E-4</v>
      </c>
      <c r="T27" s="325">
        <f>F.w2C</f>
        <v>3.4754117628197063E-7</v>
      </c>
      <c r="U27" s="325">
        <f>F.w2M</f>
        <v>3.3191333199677786E-8</v>
      </c>
      <c r="V27" s="325">
        <f>F.w2A</f>
        <v>2.9871419530510103E-8</v>
      </c>
      <c r="W27" s="326">
        <f>F.w2T</f>
        <v>1.41968544393523E-8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5.6256822211853956E-7</v>
      </c>
      <c r="AG27" s="326">
        <f>KDEG.sd2C*M.sd2C*Molweight</f>
        <v>5.9536575544191723E-6</v>
      </c>
      <c r="AH27" s="325"/>
      <c r="AI27" s="325"/>
      <c r="AJ27" s="325"/>
      <c r="AK27" s="325"/>
      <c r="AL27" s="631"/>
      <c r="AM27" s="325">
        <f>k.w2C.sd2C*M.w2C*Molweight</f>
        <v>4.0076513681150995E-5</v>
      </c>
      <c r="AN27" s="326">
        <f>k.sd2C.w2C*M.sd2C*Molweight</f>
        <v>3.3560287904613287E-5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4.7733408533413412E-4</v>
      </c>
      <c r="BB27" s="264">
        <f>IF(ISERROR(output!D15),0,output!D15)</f>
        <v>1.5173969840294294E-3</v>
      </c>
      <c r="BC27" s="86"/>
      <c r="BD27" s="295">
        <f>output!AG18</f>
        <v>9.8754855157415594E-6</v>
      </c>
      <c r="BE27" s="75"/>
      <c r="BF27" s="295">
        <f>output!AG19</f>
        <v>0.14291650619025459</v>
      </c>
      <c r="BG27" s="75"/>
      <c r="BH27" s="256">
        <f>output!AG20</f>
        <v>3.6575872280524277E-6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6436.5652516464615</v>
      </c>
      <c r="D28" s="122">
        <f>C28/$C$51</f>
        <v>1.7778433181318122E-3</v>
      </c>
      <c r="E28" s="318">
        <f>FRw.w2C*E27</f>
        <v>178101.79993041977</v>
      </c>
      <c r="F28" s="122">
        <f>E28/$E$51</f>
        <v>0.24233778350491342</v>
      </c>
      <c r="G28" s="318">
        <f>FRw.w2M*G27</f>
        <v>88828.891578022522</v>
      </c>
      <c r="H28" s="122">
        <f>G28/$G$51</f>
        <v>6.3549025320822683E-2</v>
      </c>
      <c r="I28" s="318">
        <f>FRw.w2A*I27</f>
        <v>192930.75889558048</v>
      </c>
      <c r="J28" s="122">
        <f>I28/$I$51</f>
        <v>8.2091517596784583E-2</v>
      </c>
      <c r="K28" s="318">
        <f>FRw.w2T*K27</f>
        <v>44375.202364119825</v>
      </c>
      <c r="L28" s="123">
        <f>K28/$K$51</f>
        <v>3.9327773652764027E-2</v>
      </c>
      <c r="M28" s="320">
        <f>M27*FRw.w2R</f>
        <v>6.4365652516464545E-7</v>
      </c>
      <c r="N28" s="320">
        <f>N27*FRw.w2C</f>
        <v>2.3980896255789122E-10</v>
      </c>
      <c r="O28" s="320">
        <f>O27*FRw.w2M</f>
        <v>2.2902550039337425E-11</v>
      </c>
      <c r="P28" s="320">
        <f>P27*FRw.w2A</f>
        <v>7.5659121135521747E-11</v>
      </c>
      <c r="Q28" s="320">
        <f>Q27*FRw.w2T</f>
        <v>4.9720114693691679E-12</v>
      </c>
      <c r="R28" s="120" t="s">
        <v>1489</v>
      </c>
      <c r="S28" s="325">
        <f>S27*FRw.w2R</f>
        <v>9.3225015516019321E-4</v>
      </c>
      <c r="T28" s="325">
        <f>T27*FRw.w2C</f>
        <v>3.4733112120041437E-7</v>
      </c>
      <c r="U28" s="325">
        <f>U27*FRw.w2M</f>
        <v>3.3171272243802552E-8</v>
      </c>
      <c r="V28" s="325">
        <f>V27*FRw.w2A</f>
        <v>2.9853365141868129E-8</v>
      </c>
      <c r="W28" s="326">
        <f>W27*FRw.w2T</f>
        <v>1.4188273811729974E-8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2.528715716932008E-8</v>
      </c>
      <c r="AG28" s="326">
        <f>KDEG.s1C*M.s1C*Molweight</f>
        <v>2.6948162182115553E-5</v>
      </c>
      <c r="AH28" s="325"/>
      <c r="AI28" s="325"/>
      <c r="AJ28" s="325">
        <f>k.aC.s1C*M.aC*Molweight</f>
        <v>9.9156392573283259E-5</v>
      </c>
      <c r="AK28" s="325">
        <f>k.s1C.aC*M.s1C*Molweight</f>
        <v>6.8415003368319717E-5</v>
      </c>
      <c r="AL28" s="631">
        <f>(k.s1C.w1C+k.s1C.w0C)*M.s1C*Molweight</f>
        <v>3.7679398656786954E-6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3.8926348845565033</v>
      </c>
      <c r="D29" s="122">
        <f>C29/$C$51</f>
        <v>1.0751844576834403E-6</v>
      </c>
      <c r="E29" s="318">
        <f>(1-FRw.w2C)*E27</f>
        <v>107.71044063199916</v>
      </c>
      <c r="F29" s="122">
        <f>E29/$E$51</f>
        <v>1.4655836972615554E-4</v>
      </c>
      <c r="G29" s="318">
        <f>(1-FRw.w2M)*G27</f>
        <v>53.72095653417766</v>
      </c>
      <c r="H29" s="122">
        <f>G29/$G$51</f>
        <v>3.843247806430942E-5</v>
      </c>
      <c r="I29" s="318">
        <f>(1-FRw.w2A)*I27</f>
        <v>116.67853474938202</v>
      </c>
      <c r="J29" s="122">
        <f>I29/$I$51</f>
        <v>4.9646401866536947E-5</v>
      </c>
      <c r="K29" s="318">
        <f>(1-FRw.w2T)*K27</f>
        <v>26.836745061761221</v>
      </c>
      <c r="L29" s="123">
        <f>K29/$K$51</f>
        <v>2.3784216840423016E-5</v>
      </c>
      <c r="M29" s="320">
        <f>M28*Kp.susp2R</f>
        <v>4.9531810583881691E-5</v>
      </c>
      <c r="N29" s="320">
        <f>N28*Kp.susp2C</f>
        <v>1.845420910895954E-8</v>
      </c>
      <c r="O29" s="320">
        <f>O28*Kp.susp2M</f>
        <v>1.7624380800709759E-9</v>
      </c>
      <c r="P29" s="320">
        <f>P28*Kp.susp2A</f>
        <v>5.8222562974390966E-9</v>
      </c>
      <c r="Q29" s="320">
        <f>Q28*Kp.susp2T</f>
        <v>3.8261513818831412E-10</v>
      </c>
      <c r="R29" s="120" t="s">
        <v>1494</v>
      </c>
      <c r="S29" s="325">
        <f>S27*(1-FRw.w2R)</f>
        <v>5.6379595843940412E-7</v>
      </c>
      <c r="T29" s="325">
        <f>T27*(1-FRw.w2C)</f>
        <v>2.1005508155627076E-10</v>
      </c>
      <c r="U29" s="325">
        <f>U27*(1-FRw.w2M)</f>
        <v>2.0060955875234405E-11</v>
      </c>
      <c r="V29" s="325">
        <f>V27*(1-FRw.w2A)</f>
        <v>1.8054388641972229E-11</v>
      </c>
      <c r="W29" s="326">
        <f>W27*(1-FRw.w2T)</f>
        <v>8.5806276223257273E-12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4.2395585547670481E-8</v>
      </c>
      <c r="AG29" s="326">
        <f>KDEG.s2C*M.s2C*Molweight</f>
        <v>9.9285681908351639E-5</v>
      </c>
      <c r="AH29" s="325"/>
      <c r="AI29" s="325"/>
      <c r="AJ29" s="325">
        <f>k.aC.s2C*M.aC*Molweight</f>
        <v>2.2034753905174055E-4</v>
      </c>
      <c r="AK29" s="325">
        <f>k.s2C.aC*M.s2C*Molweight</f>
        <v>1.1470226204647548E-4</v>
      </c>
      <c r="AL29" s="631">
        <f>(k.s2C.w1C+k.s2C.w0C)*M.s2C*Molweight</f>
        <v>6.3171995113658063E-6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9.3656137664148412E-9</v>
      </c>
      <c r="AG30" s="326">
        <f>KDEG.s3C*M.s3C*Molweight</f>
        <v>9.9808008081909413E-6</v>
      </c>
      <c r="AH30" s="325"/>
      <c r="AI30" s="325"/>
      <c r="AJ30" s="325">
        <f>k.aC.s3C*M.aC*Molweight</f>
        <v>3.6724589841956754E-5</v>
      </c>
      <c r="AK30" s="325">
        <f>k.s3C.aC*M.s3C*Molweight</f>
        <v>2.5338890136414698E-5</v>
      </c>
      <c r="AL30" s="631">
        <f>(k.s3C.w1C+k.s3C.w0C)*M.s3C*Molweight</f>
        <v>1.3955332835847013E-6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4.8127359260539071E-2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264969.80894866056</v>
      </c>
      <c r="H31" s="122">
        <f>G31/$G$51</f>
        <v>0.18956189589894726</v>
      </c>
      <c r="I31" s="318">
        <f>M.w3A*Molweight</f>
        <v>1741941.2487067499</v>
      </c>
      <c r="J31" s="122">
        <f>I31/$I$51</f>
        <v>0.74119130349852569</v>
      </c>
      <c r="K31" s="318">
        <f>M.w3T*Molweight</f>
        <v>47106.344780361716</v>
      </c>
      <c r="L31" s="123">
        <f>K31/$K$51</f>
        <v>4.1748264040122163E-2</v>
      </c>
      <c r="M31" s="320"/>
      <c r="N31" s="320"/>
      <c r="O31" s="320">
        <f>C.w3M*Molweight</f>
        <v>2.2772186693448141E-12</v>
      </c>
      <c r="P31" s="320">
        <f>C.w3A*Molweight</f>
        <v>2.2770473839303918E-11</v>
      </c>
      <c r="Q31" s="320">
        <f>C.w3T*Molweight</f>
        <v>1.7593406080433883E-13</v>
      </c>
      <c r="R31" s="120" t="s">
        <v>1489</v>
      </c>
      <c r="S31" s="325"/>
      <c r="T31" s="325"/>
      <c r="U31" s="325">
        <f>F.w3M</f>
        <v>3.2982458420465023E-9</v>
      </c>
      <c r="V31" s="325">
        <f>F.w3A</f>
        <v>8.984710102044037E-9</v>
      </c>
      <c r="W31" s="326">
        <f>F.w3T</f>
        <v>5.0205045641582539E-10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1.5122760004448036E-2</v>
      </c>
      <c r="AY31" s="75"/>
      <c r="AZ31" s="75"/>
      <c r="BA31" s="87"/>
      <c r="BB31" s="2"/>
      <c r="BC31" s="86"/>
      <c r="BD31" s="277">
        <f>IF(ISERROR(output!D39),0,output!D39)</f>
        <v>6.277012312362864E-5</v>
      </c>
      <c r="BE31" s="75"/>
      <c r="BF31" s="277">
        <f>IF(ISERROR(output!D43),0,output!D43)</f>
        <v>0.90839955925827542</v>
      </c>
      <c r="BG31" s="75"/>
      <c r="BH31" s="273">
        <f>IF(ISERROR(output!D47),0,output!D47)</f>
        <v>2.3248193749492082E-5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264809.66028534505</v>
      </c>
      <c r="H32" s="122">
        <f>G32/$G$51</f>
        <v>0.18944732403748038</v>
      </c>
      <c r="I32" s="318">
        <f>FRw.w3A*I31</f>
        <v>1740888.413428416</v>
      </c>
      <c r="J32" s="122">
        <f>I32/$I$51</f>
        <v>0.74074332492697692</v>
      </c>
      <c r="K32" s="318">
        <f>FRw.w3T*K31</f>
        <v>47077.873543656722</v>
      </c>
      <c r="L32" s="123">
        <f>K32/$K$51</f>
        <v>4.1723031245834027E-2</v>
      </c>
      <c r="M32" s="320"/>
      <c r="N32" s="320"/>
      <c r="O32" s="320">
        <f>O31*FRw.w3M</f>
        <v>2.2758423105535247E-12</v>
      </c>
      <c r="P32" s="320">
        <f>P31*FRw.w3A</f>
        <v>2.275671128664596E-11</v>
      </c>
      <c r="Q32" s="320">
        <f>Q31*FRw.w3T</f>
        <v>1.7582772565324639E-13</v>
      </c>
      <c r="R32" s="120" t="s">
        <v>1489</v>
      </c>
      <c r="S32" s="325"/>
      <c r="T32" s="325"/>
      <c r="U32" s="325">
        <f>U31*FRw.w3M</f>
        <v>3.2962523709224314E-9</v>
      </c>
      <c r="V32" s="325">
        <f>V31*FRw.w3A</f>
        <v>8.9792797123750061E-9</v>
      </c>
      <c r="W32" s="326">
        <f>W31*FRw.w3T</f>
        <v>5.0174701539425784E-10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1.4607547979183935</v>
      </c>
      <c r="AE32" s="325">
        <f>(k.aM.aA+k.aM.aC+k.aM.aT)*M.aM*Molweight</f>
        <v>1.2104836507613279</v>
      </c>
      <c r="AF32" s="325">
        <f>kesc.aM*M.aM*Molweight</f>
        <v>3.8076817102773199E-4</v>
      </c>
      <c r="AG32" s="326">
        <f>KDEG.aM*M.aM*Molweight</f>
        <v>0.22445169622322891</v>
      </c>
      <c r="AH32" s="325">
        <f>AH33</f>
        <v>2.9769723587389611E-2</v>
      </c>
      <c r="AI32" s="325">
        <f>AI33</f>
        <v>4.5522734609215448E-3</v>
      </c>
      <c r="AJ32" s="325">
        <f>AJ36</f>
        <v>7.1358616856113683E-4</v>
      </c>
      <c r="AK32" s="325">
        <f>AK36</f>
        <v>4.9235353222047955E-4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3.3207592530015303E-3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160.14866331551792</v>
      </c>
      <c r="H33" s="122">
        <f>G33/$G$51</f>
        <v>1.1457186146688062E-4</v>
      </c>
      <c r="I33" s="318">
        <f>(1-FRw.w3A)*I31</f>
        <v>1052.8352783339255</v>
      </c>
      <c r="J33" s="122">
        <f>I33/$I$51</f>
        <v>4.4797857154878424E-4</v>
      </c>
      <c r="K33" s="318">
        <f>(1-FRw.w3T)*K31</f>
        <v>28.471236704995892</v>
      </c>
      <c r="L33" s="123">
        <f>K33/$K$51</f>
        <v>2.5232794288138335E-5</v>
      </c>
      <c r="M33" s="320"/>
      <c r="N33" s="320"/>
      <c r="O33" s="320">
        <f>O32*Kp.susp3M</f>
        <v>1.751346965934754E-10</v>
      </c>
      <c r="P33" s="320">
        <f>P32*Kp.susp3A</f>
        <v>1.7512152349794026E-9</v>
      </c>
      <c r="Q33" s="320">
        <f>Q32*Kp.susp3T</f>
        <v>1.3530610289740422E-11</v>
      </c>
      <c r="R33" s="120" t="s">
        <v>1494</v>
      </c>
      <c r="S33" s="325"/>
      <c r="T33" s="325"/>
      <c r="U33" s="325">
        <f>U31*(1-FRw.w3M)</f>
        <v>1.9934711240708026E-12</v>
      </c>
      <c r="V33" s="325">
        <f>V31*(1-FRw.w3A)</f>
        <v>5.4303896690304674E-12</v>
      </c>
      <c r="W33" s="326">
        <f>W31*(1-FRw.w3T)</f>
        <v>3.0344102156755003E-13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8.5941897058397967E-3</v>
      </c>
      <c r="AE33" s="325">
        <f>(k.w2M.w2C+k.w2M.w2A+k.w2M.w2T+k.w2M.w3M)*M.w2M*Molweight</f>
        <v>2.6118547719407356E-2</v>
      </c>
      <c r="AF33" s="330"/>
      <c r="AG33" s="326">
        <f>KDEG.w2M*M.w2M*Molweight</f>
        <v>7.7202083653411212E-3</v>
      </c>
      <c r="AH33" s="325">
        <f>k.aM.w2M*M.aM*Molweight</f>
        <v>2.9769723587389611E-2</v>
      </c>
      <c r="AI33" s="325">
        <f>k.w2M.aM*M.w2M*Molweight</f>
        <v>4.5522734609215448E-3</v>
      </c>
      <c r="AJ33" s="325"/>
      <c r="AK33" s="325"/>
      <c r="AL33" s="325">
        <f>AL36</f>
        <v>2.7116252440620575E-5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5.5940836384498318E-4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2.5557284674001805E-2</v>
      </c>
      <c r="AE34" s="325">
        <f>(k.w3M.w2M+k.w3M.w3A+k.w3M.w3T)*M.w3M*Molweight</f>
        <v>2.5418202651459007E-3</v>
      </c>
      <c r="AF34" s="330"/>
      <c r="AG34" s="326">
        <f>KDEG.w3M*M.w3M*Molweight</f>
        <v>2.3014874082520585E-2</v>
      </c>
      <c r="AH34" s="325"/>
      <c r="AI34" s="325"/>
      <c r="AJ34" s="325"/>
      <c r="AK34" s="325"/>
      <c r="AL34" s="325"/>
      <c r="AM34" s="325">
        <f>k.w3M.sdM*M.w3M*Molweight</f>
        <v>3.9725026089845587E-6</v>
      </c>
      <c r="AN34" s="326">
        <f>k.sdM.w3M*M.sdM*Molweight</f>
        <v>3.3821762736705657E-6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3.9017681168239051E-3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445.20676183570345</v>
      </c>
      <c r="D35" s="122">
        <f>C35/$C$51</f>
        <v>1.2297053409257992E-4</v>
      </c>
      <c r="E35" s="318">
        <f>M.sd2C*Molweight</f>
        <v>615.95060815898489</v>
      </c>
      <c r="F35" s="122">
        <f>E35/$E$51</f>
        <v>8.3810553957381349E-4</v>
      </c>
      <c r="G35" s="318">
        <f>M.sdM*Molweight</f>
        <v>61.054846671156831</v>
      </c>
      <c r="H35" s="122">
        <f>G35/$G$51</f>
        <v>4.3679212113733621E-5</v>
      </c>
      <c r="I35" s="318">
        <f>M.sdA*Molweight</f>
        <v>454.16728455748978</v>
      </c>
      <c r="J35" s="122">
        <f>I35/$I$51</f>
        <v>1.9324695473941405E-4</v>
      </c>
      <c r="K35" s="318">
        <f>M.sdT*Molweight</f>
        <v>8.9172144843934653</v>
      </c>
      <c r="L35" s="123">
        <f>K35/$K$51</f>
        <v>7.9029316864351616E-6</v>
      </c>
      <c r="M35" s="320">
        <f>C.sd2R*(Molweight*1000)/(FRACw.sdR*1000+FRACs.sdR*RHOsolid)</f>
        <v>1.1415557995787258E-5</v>
      </c>
      <c r="N35" s="320">
        <f>C.sd2C*(Molweight*1000)/(FRACw.sdC*1000+FRACs.sdC*RHOsolid)</f>
        <v>4.253127270462962E-9</v>
      </c>
      <c r="O35" s="320">
        <f>C.sdM*(Molweight*1000)/(FRACw.sdM*1000+FRACs.sdM*RHOsolid)</f>
        <v>4.0363157786281485E-11</v>
      </c>
      <c r="P35" s="320">
        <f>C.sdA*(Molweight*1000)/(FRACw.sdA*1000+FRACs.sdA*RHOsolid)</f>
        <v>4.5667901916288562E-10</v>
      </c>
      <c r="Q35" s="320">
        <f>C.sdT*(Molweight*1000)/(FRACw.sdT*1000+FRACs.sdT*RHOsolid)</f>
        <v>2.5618658290292225E-12</v>
      </c>
      <c r="R35" s="120" t="s">
        <v>1495</v>
      </c>
      <c r="S35" s="325">
        <f>F.sd2R</f>
        <v>1.0726417609378187E-3</v>
      </c>
      <c r="T35" s="325">
        <f>F.sd2C</f>
        <v>3.9963722549222899E-7</v>
      </c>
      <c r="U35" s="325">
        <f>F.sdM</f>
        <v>3.7926493528275576E-9</v>
      </c>
      <c r="V35" s="325">
        <f>F.sdA</f>
        <v>1.1690210432623424E-8</v>
      </c>
      <c r="W35" s="326">
        <f>F.sdT</f>
        <v>4.7427811898439089E-10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1.8218365205813516E-10</v>
      </c>
      <c r="AG35" s="326">
        <f>KDEG.sdM*M.sdM*Molweight</f>
        <v>5.9014415166193501E-7</v>
      </c>
      <c r="AH35" s="325"/>
      <c r="AI35" s="325"/>
      <c r="AJ35" s="325"/>
      <c r="AK35" s="325"/>
      <c r="AL35" s="325"/>
      <c r="AM35" s="325">
        <f>k.w3M.sdM*M.w3M*Molweight</f>
        <v>3.9725026089845587E-6</v>
      </c>
      <c r="AN35" s="326">
        <f>k.sdM.w3M*M.sdM*Molweight</f>
        <v>3.3821762736705657E-6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4.4708548060728623E-4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356.16540946856276</v>
      </c>
      <c r="D36" s="122">
        <f>C36/$C$51</f>
        <v>9.8376427274063944E-5</v>
      </c>
      <c r="E36" s="318">
        <f>E35*FRACw.sdC</f>
        <v>492.76048652718794</v>
      </c>
      <c r="F36" s="122">
        <f>E36/$E$51</f>
        <v>6.7048443165905079E-4</v>
      </c>
      <c r="G36" s="318">
        <f>G35*FRACw.sdM</f>
        <v>48.843877336925466</v>
      </c>
      <c r="H36" s="122">
        <f>G36/$G$51</f>
        <v>3.4943369690986897E-5</v>
      </c>
      <c r="I36" s="318">
        <f>I35*FRACw.sdA</f>
        <v>363.33382764599185</v>
      </c>
      <c r="J36" s="122">
        <f>I36/$I$51</f>
        <v>1.5459756379153125E-4</v>
      </c>
      <c r="K36" s="318">
        <f>K35*FRACw.sdT</f>
        <v>7.1337715875147722</v>
      </c>
      <c r="L36" s="123">
        <f>K36/$K$51</f>
        <v>6.3223453491481296E-6</v>
      </c>
      <c r="M36" s="320">
        <f>M37/Kp.sd2R</f>
        <v>7.4058756093538614E-7</v>
      </c>
      <c r="N36" s="320">
        <f>N37/Kp.sd2C</f>
        <v>2.759228373017187E-10</v>
      </c>
      <c r="O36" s="320">
        <f>O37/Kp.sdM</f>
        <v>2.6185713030956271E-12</v>
      </c>
      <c r="P36" s="320">
        <f>P37/Kp.sdA</f>
        <v>2.9627180822612223E-11</v>
      </c>
      <c r="Q36" s="320">
        <f>Q37/Kp.sdT</f>
        <v>1.66201771868237E-13</v>
      </c>
      <c r="R36" s="120" t="s">
        <v>1489</v>
      </c>
      <c r="S36" s="325">
        <f>S35*FRACw.sdR</f>
        <v>8.5811340875025497E-4</v>
      </c>
      <c r="T36" s="325">
        <f>T35*FRACw.sdC</f>
        <v>3.1970978039378323E-7</v>
      </c>
      <c r="U36" s="325">
        <f>U35*FRACw.sdM</f>
        <v>3.0341194822620462E-9</v>
      </c>
      <c r="V36" s="325">
        <f>V35*FRACw.sdA</f>
        <v>9.3521683460987398E-9</v>
      </c>
      <c r="W36" s="326">
        <f>W35*FRACw.sdT</f>
        <v>3.7942249518751271E-10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1.8198086003302551E-7</v>
      </c>
      <c r="AG36" s="326">
        <f>KDEG.sM*M.sM*Molweight</f>
        <v>1.9393440304000384E-4</v>
      </c>
      <c r="AH36" s="325"/>
      <c r="AI36" s="325"/>
      <c r="AJ36" s="325">
        <f>k.aM.sM*M.aM*Molweight</f>
        <v>7.1358616856113683E-4</v>
      </c>
      <c r="AK36" s="325">
        <f>k.sM.aM*M.sM*Molweight</f>
        <v>4.9235353222047955E-4</v>
      </c>
      <c r="AL36" s="325">
        <f>k.sM.w2M*M.sM*Molweight</f>
        <v>2.7116252440620575E-5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89.041352367140675</v>
      </c>
      <c r="D37" s="122">
        <f>C37/$C$51</f>
        <v>2.4594106818515982E-5</v>
      </c>
      <c r="E37" s="318">
        <f>E35*FRACs.sdC</f>
        <v>123.19012163179696</v>
      </c>
      <c r="F37" s="122">
        <f>E37/$E$51</f>
        <v>1.6762110791476267E-4</v>
      </c>
      <c r="G37" s="318">
        <f>G35*FRACs.sdM</f>
        <v>12.210969334231363</v>
      </c>
      <c r="H37" s="122">
        <f>G37/$G$51</f>
        <v>8.7358424227467224E-6</v>
      </c>
      <c r="I37" s="318">
        <f>I35*FRACs.sdA</f>
        <v>90.833456911497933</v>
      </c>
      <c r="J37" s="122">
        <f>I37/$I$51</f>
        <v>3.86493909478828E-5</v>
      </c>
      <c r="K37" s="318">
        <f>K35*FRACs.sdT</f>
        <v>1.7834428968786926</v>
      </c>
      <c r="L37" s="123">
        <f>K37/$K$51</f>
        <v>1.580586337287032E-6</v>
      </c>
      <c r="M37" s="320">
        <f>C.sd2R*FRACs.sdR/(FRACw.sdR/(Kp.sd2R*RHOsolid/1000)+FRACs.sdR)*(Molweight*1000)/(FRACs.sdR*RHOsolid)</f>
        <v>2.8495510691550261E-5</v>
      </c>
      <c r="N37" s="320">
        <f>C.sd2C*FRACs.sdC/(FRACw.sdC/(Kp.sd2C*RHOsolid/1000)+FRACs.sdC)*(Molweight*1000)/(FRACs.sdC*RHOsolid)</f>
        <v>1.0616654363520955E-8</v>
      </c>
      <c r="O37" s="320">
        <f>C.sdM*FRACs.sdM/(FRACw.sdM/(Kp.sdM*RHOsolid/1000)+FRACs.sdM)*(Molweight*1000)/(FRACs.sdM*RHOsolid)</f>
        <v>1.0075449615937888E-10</v>
      </c>
      <c r="P37" s="320">
        <f>C.sdA*FRACs.sdA/(FRACw.sdA/(Kp.sdA*RHOsolid/1000)+FRACs.sdA)*(Molweight*1000)/(FRACs.sdA*RHOsolid)</f>
        <v>1.1399619605073232E-9</v>
      </c>
      <c r="Q37" s="320">
        <f>C.sdT*FRACs.sdT/(FRACw.sdT/(Kp.sdT*RHOsolid/1000)+FRACs.sdT)*(Molweight*1000)/(FRACs.sdT*RHOsolid)</f>
        <v>6.3949283204868007E-12</v>
      </c>
      <c r="R37" s="120" t="s">
        <v>1494</v>
      </c>
      <c r="S37" s="325">
        <f>S35*(1-FRACw.sdR)</f>
        <v>2.1452835218756369E-4</v>
      </c>
      <c r="T37" s="325">
        <f>T35*(1-FRACw.sdC)</f>
        <v>7.992744509844578E-8</v>
      </c>
      <c r="U37" s="325">
        <f>U35*(1-FRACw.sdM)</f>
        <v>7.5852987056551134E-10</v>
      </c>
      <c r="V37" s="325">
        <f>V35*(1-FRACw.sdA)</f>
        <v>2.3380420865246845E-9</v>
      </c>
      <c r="W37" s="326">
        <f>W35*(1-FRACw.sdT)</f>
        <v>9.4855623796878152E-11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1.7789185025894956E-3</v>
      </c>
      <c r="AW37" s="75"/>
      <c r="AX37" s="75"/>
      <c r="AY37" s="300">
        <f>IF(ISERROR(output!D23),0,output!D23)</f>
        <v>1.2775911975025559E-2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0.39427764325327136</v>
      </c>
      <c r="AE38" s="325">
        <f>k.aA.aM*M.aA*Molweight</f>
        <v>0.2835592214452024</v>
      </c>
      <c r="AF38" s="325">
        <f>kesc.aA*M.aA*Molweight</f>
        <v>1.5003438187291061E-4</v>
      </c>
      <c r="AG38" s="326">
        <f>KDEG.aA*M.aA*Molweight</f>
        <v>7.396183094705891E-2</v>
      </c>
      <c r="AH38" s="325">
        <f>AH39</f>
        <v>4.6140065005664525E-2</v>
      </c>
      <c r="AI38" s="325">
        <f>AI39</f>
        <v>9.5939360311575721E-3</v>
      </c>
      <c r="AJ38" s="325">
        <f>AJ42</f>
        <v>1.8490840735763456E-4</v>
      </c>
      <c r="AK38" s="325">
        <f>AK42</f>
        <v>1.2448090272760602E-4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227.25511816399737</v>
      </c>
      <c r="D39" s="122">
        <f>C39/$C$51</f>
        <v>6.277012312362864E-5</v>
      </c>
      <c r="E39" s="318">
        <f>M.s1C*Molweight</f>
        <v>620.13232374624874</v>
      </c>
      <c r="F39" s="122">
        <f>E39/$E$51</f>
        <v>8.437954746955325E-4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4.3322324880760926E-8</v>
      </c>
      <c r="N39" s="320">
        <f>C.s1C*(Molweight*1000)/(FRACw.s1C*1000+(1-FRACa.s1C-FRACw.s1C)*RHOsolid)</f>
        <v>7.7516513337501388E-9</v>
      </c>
      <c r="O39" s="320"/>
      <c r="P39" s="320"/>
      <c r="Q39" s="320"/>
      <c r="R39" s="120" t="s">
        <v>1495</v>
      </c>
      <c r="S39" s="325">
        <f>F.s1R</f>
        <v>4.5772693356499534E-6</v>
      </c>
      <c r="T39" s="325">
        <f>F.s1C</f>
        <v>8.1900950718324826E-7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1.9072035464336043E-2</v>
      </c>
      <c r="AE39" s="325">
        <f>(k.w2A.w2M+k.w2A.w3A)*M.w2A*Molweight</f>
        <v>5.1980192352254581E-2</v>
      </c>
      <c r="AF39" s="330"/>
      <c r="AG39" s="326">
        <f>KDEG.w2A*M.w2A*Molweight</f>
        <v>3.6493058317137251E-3</v>
      </c>
      <c r="AH39" s="325">
        <f>k.aA.w2A*M.aA*Molweight</f>
        <v>4.6140065005664525E-2</v>
      </c>
      <c r="AI39" s="325">
        <f>k.w2A.aA*M.w2A*Molweight</f>
        <v>9.5939360311575721E-3</v>
      </c>
      <c r="AJ39" s="325"/>
      <c r="AK39" s="325"/>
      <c r="AL39" s="325">
        <f>AL42</f>
        <v>1.1333745125323183E-5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1.9503437925131599</v>
      </c>
      <c r="D40" s="122">
        <f>C40/$C$51</f>
        <v>5.3870434680863728E-7</v>
      </c>
      <c r="E40" s="318">
        <f>E39*FRw.s1C</f>
        <v>5.3220857595050921</v>
      </c>
      <c r="F40" s="122">
        <f>E40/$E$51</f>
        <v>7.2416026513230082E-6</v>
      </c>
      <c r="G40" s="318"/>
      <c r="H40" s="122"/>
      <c r="I40" s="318"/>
      <c r="J40" s="122"/>
      <c r="K40" s="318"/>
      <c r="L40" s="123"/>
      <c r="M40" s="320">
        <f>M41/Kp.s1R</f>
        <v>3.1602990452931343E-9</v>
      </c>
      <c r="N40" s="320">
        <f>N41/Kp.s1C</f>
        <v>5.6547141403242089E-10</v>
      </c>
      <c r="O40" s="320"/>
      <c r="P40" s="320"/>
      <c r="Q40" s="320"/>
      <c r="R40" s="120" t="s">
        <v>1489</v>
      </c>
      <c r="S40" s="325">
        <f>S39*FRACw.s1R</f>
        <v>9.1545386712999077E-7</v>
      </c>
      <c r="T40" s="325">
        <f>T39*FRACw.s1C</f>
        <v>1.6380190143664965E-7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5.1980192352254581E-2</v>
      </c>
      <c r="AE40" s="325">
        <f>(k.w3A.w2A+k.w3A.w3M)*M.w3A*Molweight</f>
        <v>1.905014642161967E-2</v>
      </c>
      <c r="AF40" s="330"/>
      <c r="AG40" s="326">
        <f>KDEG.w3A*M.w3A*Molweight</f>
        <v>3.292908956485064E-2</v>
      </c>
      <c r="AH40" s="325"/>
      <c r="AI40" s="325"/>
      <c r="AJ40" s="325"/>
      <c r="AK40" s="325"/>
      <c r="AL40" s="325"/>
      <c r="AM40" s="325">
        <f>k.w3A.sdA*M.w3A*Molweight</f>
        <v>2.6115677792280661E-5</v>
      </c>
      <c r="AN40" s="326">
        <f>k.sdA.w3A*M.sdA*Molweight</f>
        <v>2.5159312007995924E-5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2.4256821367126518E-5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225.12952683770334</v>
      </c>
      <c r="D41" s="122">
        <f>C41/$C$51</f>
        <v>6.218301366558903E-5</v>
      </c>
      <c r="E41" s="318">
        <f>E39*FRs.s1C</f>
        <v>614.33202362909867</v>
      </c>
      <c r="F41" s="122">
        <f>E41/$E$51</f>
        <v>8.3590318009434041E-4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4.8639399300687704E-8</v>
      </c>
      <c r="N41" s="320">
        <f>C.s1C*FRs.s1C*(Molweight*1000)/(FRACs.s1C*RHOsolid)</f>
        <v>8.7030339553503435E-9</v>
      </c>
      <c r="O41" s="320"/>
      <c r="P41" s="320"/>
      <c r="Q41" s="320"/>
      <c r="R41" s="120" t="s">
        <v>1494</v>
      </c>
      <c r="S41" s="325">
        <f>S39*(1-FRACw.s1R)</f>
        <v>3.6618154685199631E-6</v>
      </c>
      <c r="T41" s="325">
        <f>T39*(1-FRACw.s1C)</f>
        <v>6.5520760574659861E-7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9.601033412766044E-10</v>
      </c>
      <c r="AG41" s="326">
        <f>KDEG.sdA*M.sdA*Molweight</f>
        <v>9.5540568094345203E-7</v>
      </c>
      <c r="AH41" s="325"/>
      <c r="AI41" s="325"/>
      <c r="AJ41" s="325"/>
      <c r="AK41" s="325"/>
      <c r="AL41" s="325"/>
      <c r="AM41" s="325">
        <f>k.w3A.sdA*M.w3A*Molweight</f>
        <v>2.6115677792280661E-5</v>
      </c>
      <c r="AN41" s="326">
        <f>k.sdA.w3A*M.sdA*Molweight</f>
        <v>2.5159312007995924E-5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7.5521847803345112E-8</v>
      </c>
      <c r="AG42" s="326">
        <f>KDEG.sA*M.sA*Molweight</f>
        <v>4.9018237656902056E-5</v>
      </c>
      <c r="AH42" s="325"/>
      <c r="AI42" s="325"/>
      <c r="AJ42" s="325">
        <f>k.aA.sA*M.aA*Molweight</f>
        <v>1.8490840735763456E-4</v>
      </c>
      <c r="AK42" s="325">
        <f>k.sA.aA*M.sA*Molweight</f>
        <v>1.2448090272760602E-4</v>
      </c>
      <c r="AL42" s="325">
        <f>k.sA.w2A*M.sA*Molweight</f>
        <v>1.1333745125323183E-5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2.896715198476462E-5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3288801.0873066555</v>
      </c>
      <c r="D43" s="122">
        <f>C43/$C$51</f>
        <v>0.90839955925827542</v>
      </c>
      <c r="E43" s="318">
        <f>M.s2C*Molweight</f>
        <v>2284.7665907777109</v>
      </c>
      <c r="F43" s="122">
        <f>E43/$E$51</f>
        <v>3.1088134519216535E-3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7.0532326890604912E-5</v>
      </c>
      <c r="N43" s="320">
        <f>C.s2C*(Molweight*1000)/(FRACw.s2C*1000+(1-FRACa.s2C-FRACw.s2C)*RHOsolid)</f>
        <v>3.2129518937479927E-9</v>
      </c>
      <c r="O43" s="320"/>
      <c r="P43" s="320"/>
      <c r="Q43" s="320"/>
      <c r="R43" s="120" t="s">
        <v>1495</v>
      </c>
      <c r="S43" s="325">
        <f>F.s2R</f>
        <v>7.4521729370940889E-3</v>
      </c>
      <c r="T43" s="325">
        <f>F.s2C</f>
        <v>3.3946807380834234E-7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1.2297053409257992E-4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28225.075136966676</v>
      </c>
      <c r="D44" s="122">
        <f>C44/$C$51</f>
        <v>7.7960463809775967E-3</v>
      </c>
      <c r="E44" s="318">
        <f>E43*FRw.s2C</f>
        <v>19.608272736234078</v>
      </c>
      <c r="F44" s="122">
        <f>E44/$E$51</f>
        <v>2.6680389278015257E-5</v>
      </c>
      <c r="G44" s="318"/>
      <c r="H44" s="122"/>
      <c r="I44" s="318"/>
      <c r="J44" s="122"/>
      <c r="K44" s="318"/>
      <c r="L44" s="123"/>
      <c r="M44" s="320">
        <f>M45/Kp.s2R</f>
        <v>5.1452281461854643E-6</v>
      </c>
      <c r="N44" s="320">
        <f>N45/Kp.s2C</f>
        <v>2.3438005301727936E-10</v>
      </c>
      <c r="O44" s="320"/>
      <c r="P44" s="320"/>
      <c r="Q44" s="320"/>
      <c r="R44" s="120" t="s">
        <v>1489</v>
      </c>
      <c r="S44" s="325">
        <f>S43*FRACw.s2R</f>
        <v>1.4904345874188179E-3</v>
      </c>
      <c r="T44" s="325">
        <f>T43*FRACw.s2C</f>
        <v>6.7893614761668466E-8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0.68290891040318225</v>
      </c>
      <c r="AE44" s="325">
        <f>k.aT.aM*M.aT*Molweight</f>
        <v>0.41389736930464771</v>
      </c>
      <c r="AF44" s="325">
        <f>kesc.aT*M.aT*Molweight</f>
        <v>3.7931525707277509E-4</v>
      </c>
      <c r="AG44" s="326">
        <f>KDEG.aT*M.aT*Molweight</f>
        <v>0.24851003712483172</v>
      </c>
      <c r="AH44" s="325">
        <f>AH45</f>
        <v>2.224833217595576E-2</v>
      </c>
      <c r="AI44" s="325">
        <f>AI45</f>
        <v>2.2878756776639492E-3</v>
      </c>
      <c r="AJ44" s="325">
        <f>AJ48</f>
        <v>5.328905328545817E-4</v>
      </c>
      <c r="AK44" s="325">
        <f>AK48</f>
        <v>3.7115831451643434E-4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4.303281084183095E-6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3258039.8568377313</v>
      </c>
      <c r="D45" s="122">
        <f>C45/$C$51</f>
        <v>0.89990300155885639</v>
      </c>
      <c r="E45" s="318">
        <f>E43*FRs.s2C</f>
        <v>2263.3964228043815</v>
      </c>
      <c r="F45" s="122">
        <f>E45/$E$51</f>
        <v>3.0797357045782379E-3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7.9188963673606708E-5</v>
      </c>
      <c r="N45" s="320">
        <f>C.s2C*FRs.s2C*(Molweight*1000)/(FRACs.s2C*RHOsolid)</f>
        <v>3.6072867862941066E-9</v>
      </c>
      <c r="O45" s="320"/>
      <c r="P45" s="320"/>
      <c r="Q45" s="320"/>
      <c r="R45" s="120" t="s">
        <v>1494</v>
      </c>
      <c r="S45" s="325">
        <f>S43*(1-FRACw.s2R)</f>
        <v>5.9617383496752717E-3</v>
      </c>
      <c r="T45" s="325">
        <f>T43*(1-FRACw.s2C)</f>
        <v>2.7157445904667386E-7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3.5682182054294116E-4</v>
      </c>
      <c r="AE45" s="325">
        <f>(k.w2T.w2M+k.w2T.w3T)*M.w2T*Molweight</f>
        <v>1.0836368965176858E-2</v>
      </c>
      <c r="AF45" s="330"/>
      <c r="AG45" s="326">
        <f>KDEG.w2T*M.w2T*Molweight</f>
        <v>9.4962933059216416E-3</v>
      </c>
      <c r="AH45" s="325">
        <f>k.aT.w2T*M.aT*Molweight</f>
        <v>2.224833217595576E-2</v>
      </c>
      <c r="AI45" s="325">
        <f>k.w2T.aT*M.w2T*Molweight</f>
        <v>2.2878756776639492E-3</v>
      </c>
      <c r="AJ45" s="325"/>
      <c r="AK45" s="325"/>
      <c r="AL45" s="325">
        <f>AL48</f>
        <v>1.5383952263739066E-5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1.0431699007441075E-2</v>
      </c>
      <c r="AE46" s="325">
        <f>(k.w3T.w2T+k.w3T.w3M)*M.w3T*Molweight</f>
        <v>3.5682182054294116E-4</v>
      </c>
      <c r="AF46" s="330"/>
      <c r="AG46" s="326">
        <f>KDEG.w3T*M.w3T*Molweight</f>
        <v>1.0074664938342538E-2</v>
      </c>
      <c r="AH46" s="325"/>
      <c r="AI46" s="325"/>
      <c r="AJ46" s="325"/>
      <c r="AK46" s="325"/>
      <c r="AL46" s="325"/>
      <c r="AM46" s="325">
        <f>k.w3T.sdT*M.w3T*Molweight</f>
        <v>7.0623169591359216E-7</v>
      </c>
      <c r="AN46" s="326">
        <f>k.sdT.w3T*M.sdT*Molweight</f>
        <v>4.9398314031726952E-7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84.168562282961958</v>
      </c>
      <c r="D47" s="122">
        <f>C47/$C$51</f>
        <v>2.3248193749492082E-5</v>
      </c>
      <c r="E47" s="318">
        <f>M.s3C*Molweight</f>
        <v>229.67863842453647</v>
      </c>
      <c r="F47" s="122">
        <f>E47/$E$51</f>
        <v>3.1251684247982672E-4</v>
      </c>
      <c r="G47" s="318">
        <f>M.sM*Molweight</f>
        <v>4462.8272309921877</v>
      </c>
      <c r="H47" s="122">
        <f>G47/$G$51</f>
        <v>3.1927486166555752E-3</v>
      </c>
      <c r="I47" s="318">
        <f>M.sA*Molweight</f>
        <v>5182.9724484499775</v>
      </c>
      <c r="J47" s="122">
        <f>I47/$I$51</f>
        <v>2.205340798902168E-3</v>
      </c>
      <c r="K47" s="318">
        <f>M.sT*Molweight</f>
        <v>1366.7741352540527</v>
      </c>
      <c r="L47" s="123">
        <f>K47/$K$51</f>
        <v>1.2113112946429228E-3</v>
      </c>
      <c r="M47" s="320">
        <f>C.s3R*(Molweight*1000)/(FRACw.s3R*1000+(1-FRACa.s3R-FRACw.s3R)*RHOsolid)</f>
        <v>4.3322324880760919E-8</v>
      </c>
      <c r="N47" s="320">
        <f>C.s3C*(Molweight*1000)/(FRACw.s3C*1000+(1-FRACa.s3C-FRACw.s3C)*RHOsolid)</f>
        <v>7.7516513337501388E-9</v>
      </c>
      <c r="O47" s="320">
        <f>C.sM*(Molweight*1000)/(FRACw.sM*1000+(1-FRACa.sM-FRACw.sM)*RHOsolid)</f>
        <v>1.3536947556135841E-9</v>
      </c>
      <c r="P47" s="320">
        <f>C.sA*(Molweight*1000)/(FRACw.sA*1000+(1-FRACa.sA-FRACw.sA)*RHOsolid)</f>
        <v>3.5868321442560392E-9</v>
      </c>
      <c r="Q47" s="320">
        <f>C.sT*(Molweight*1000)/(FRACw.sT*1000+(1-FRACa.sT-FRACw.sT)*RHOsolid)</f>
        <v>4.203842015391164E-10</v>
      </c>
      <c r="R47" s="120" t="s">
        <v>1495</v>
      </c>
      <c r="S47" s="325">
        <f>F.s3R</f>
        <v>4.5772693356499526E-6</v>
      </c>
      <c r="T47" s="325">
        <f>F.s3C</f>
        <v>8.1900950718324815E-7</v>
      </c>
      <c r="U47" s="325">
        <f>F.sM</f>
        <v>1.4302615364605948E-7</v>
      </c>
      <c r="V47" s="325">
        <f>F.sA</f>
        <v>1.0329887188156594E-7</v>
      </c>
      <c r="W47" s="326">
        <f>F.sT</f>
        <v>8.7450882802473617E-8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1.8850867758315385E-11</v>
      </c>
      <c r="AG47" s="326">
        <f>KDEG.sdT*M.sdT*Molweight</f>
        <v>2.1222970472856451E-7</v>
      </c>
      <c r="AH47" s="325"/>
      <c r="AI47" s="325"/>
      <c r="AJ47" s="325"/>
      <c r="AK47" s="325"/>
      <c r="AL47" s="325"/>
      <c r="AM47" s="325">
        <f>k.w3T.sdT*M.w3T*Molweight</f>
        <v>7.0623169591359216E-7</v>
      </c>
      <c r="AN47" s="326">
        <f>k.sdT.w3T*M.sdT*Molweight</f>
        <v>4.9398314031726952E-7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4.0704953345499575E-7</v>
      </c>
      <c r="AW47" s="75"/>
      <c r="AX47" s="290">
        <f>output!AF16</f>
        <v>1.3392338321508904E-4</v>
      </c>
      <c r="AY47" s="75"/>
      <c r="AZ47" s="75"/>
      <c r="BA47" s="75"/>
      <c r="BB47" s="75"/>
      <c r="BC47" s="2"/>
      <c r="BD47" s="295">
        <f>output!AF18</f>
        <v>9.2667897971028317E-9</v>
      </c>
      <c r="BE47" s="75"/>
      <c r="BF47" s="295">
        <f>output!AF20</f>
        <v>3.4321443692973439E-9</v>
      </c>
      <c r="BG47" s="75"/>
      <c r="BH47" s="299">
        <f>output!AF19</f>
        <v>6.1026210908800205E-5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0.72234955278265156</v>
      </c>
      <c r="D48" s="122">
        <f>C48/$C$51</f>
        <v>1.9952012844764335E-7</v>
      </c>
      <c r="E48" s="318">
        <f>E47*FRw.s3C</f>
        <v>1.9711428738907741</v>
      </c>
      <c r="F48" s="122">
        <f>E48/$E$51</f>
        <v>2.6820750560455575E-6</v>
      </c>
      <c r="G48" s="318">
        <f>G47*FRw.sM</f>
        <v>38.300776050038529</v>
      </c>
      <c r="H48" s="122">
        <f>G48/$G$51</f>
        <v>2.7400735771572506E-5</v>
      </c>
      <c r="I48" s="318">
        <f>I47*FRw.sA</f>
        <v>44.505378540430165</v>
      </c>
      <c r="J48" s="122">
        <f>I48/$I$51</f>
        <v>1.8936918542784907E-5</v>
      </c>
      <c r="K48" s="318">
        <f>K47*FRw.sT</f>
        <v>11.721905022539755</v>
      </c>
      <c r="L48" s="123">
        <f>K48/$K$51</f>
        <v>1.0388604512108912E-5</v>
      </c>
      <c r="M48" s="320">
        <f>M49/Kp.s3R</f>
        <v>3.1602990452931331E-9</v>
      </c>
      <c r="N48" s="320">
        <f>N49/Kp.s3C</f>
        <v>5.6547141403242089E-10</v>
      </c>
      <c r="O48" s="320">
        <f>O49/Kp.sM</f>
        <v>9.8750015276391413E-11</v>
      </c>
      <c r="P48" s="320">
        <f>P49/Kp.sA</f>
        <v>2.6179634435547154E-10</v>
      </c>
      <c r="Q48" s="320">
        <f>Q49/Kp.sT</f>
        <v>3.0645503326901314E-11</v>
      </c>
      <c r="R48" s="120" t="s">
        <v>1489</v>
      </c>
      <c r="S48" s="325">
        <f>S47*FRACw.s3R</f>
        <v>9.1545386712999055E-7</v>
      </c>
      <c r="T48" s="325">
        <f>T47*FRACw.s3C</f>
        <v>1.6380190143664965E-7</v>
      </c>
      <c r="U48" s="325">
        <f>U47*FRACw.sM</f>
        <v>2.8605230729211896E-8</v>
      </c>
      <c r="V48" s="325">
        <f>V47*FRACw.sA</f>
        <v>2.0659774376313189E-8</v>
      </c>
      <c r="W48" s="326">
        <f>W47*FRACw.sT</f>
        <v>1.7490176560494724E-8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1.034336022245319E-7</v>
      </c>
      <c r="AG48" s="326">
        <f>KDEG.sT*M.sT*Molweight</f>
        <v>1.4624483247218363E-4</v>
      </c>
      <c r="AH48" s="325"/>
      <c r="AI48" s="325"/>
      <c r="AJ48" s="325">
        <f>k.aT.sT*M.aT*Molweight</f>
        <v>5.328905328545817E-4</v>
      </c>
      <c r="AK48" s="325">
        <f>k.sT.aT*M.sT*Molweight</f>
        <v>3.7115831451643434E-4</v>
      </c>
      <c r="AL48" s="333">
        <f>k.sT.w2T*M.sT*Molweight</f>
        <v>1.5383952263739066E-5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83.38130623618639</v>
      </c>
      <c r="D49" s="122">
        <f>C49/$C$51</f>
        <v>2.3030745802070002E-5</v>
      </c>
      <c r="E49" s="318">
        <f>E47*FRs.s3C</f>
        <v>227.5303791218883</v>
      </c>
      <c r="F49" s="122">
        <f>E49/$E$51</f>
        <v>3.0959377040531115E-4</v>
      </c>
      <c r="G49" s="318">
        <f>G47*FRs.sM</f>
        <v>4421.0849506440718</v>
      </c>
      <c r="H49" s="122">
        <f>G49/$G$51</f>
        <v>3.162885796308872E-3</v>
      </c>
      <c r="I49" s="318">
        <f>I47*FRs.sA</f>
        <v>5137.2864881576079</v>
      </c>
      <c r="J49" s="122">
        <f>I49/$I$51</f>
        <v>2.1859015460078336E-3</v>
      </c>
      <c r="K49" s="318">
        <f>K47*FRs.sT</f>
        <v>1353.0675676211929</v>
      </c>
      <c r="L49" s="123">
        <f>K49/$K$51</f>
        <v>1.199163771686334E-3</v>
      </c>
      <c r="M49" s="320">
        <f>C.s3R*FRs.s3R*(Molweight*1000)/(FRACs.s3R*RHOsolid)</f>
        <v>4.8639399300687684E-8</v>
      </c>
      <c r="N49" s="320">
        <f>C.s3C*FRs.s3C*(Molweight*1000)/(FRACs.s3C*RHOsolid)</f>
        <v>8.7030339553503435E-9</v>
      </c>
      <c r="O49" s="320">
        <f>C.sM*FRs.sM*(Molweight*1000)/(FRACs.sM*RHOsolid)</f>
        <v>1.519837634078042E-9</v>
      </c>
      <c r="P49" s="320">
        <f>C.sA*FRs.sA*(Molweight*1000)/(FRACs.sA*RHOsolid)</f>
        <v>4.0292443044373386E-9</v>
      </c>
      <c r="Q49" s="320">
        <f>C.sT*FRs.sT*(Molweight*1000)/(FRACs.sT*RHOsolid)</f>
        <v>4.7165753991152673E-10</v>
      </c>
      <c r="R49" s="120" t="s">
        <v>1494</v>
      </c>
      <c r="S49" s="325">
        <f>S47*(1-FRACw.s3R)</f>
        <v>3.6618154685199622E-6</v>
      </c>
      <c r="T49" s="325">
        <f>T47*(1-FRACw.s3C)</f>
        <v>6.5520760574659861E-7</v>
      </c>
      <c r="U49" s="325">
        <f>U47*(1-FRACw.sM)</f>
        <v>1.1442092291684758E-7</v>
      </c>
      <c r="V49" s="325">
        <f>V47*(1-FRACw.sA)</f>
        <v>8.2639097505252755E-8</v>
      </c>
      <c r="W49" s="326">
        <f>W47*(1-FRACw.sT)</f>
        <v>6.9960706241978896E-8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1.3450872303684359E-3</v>
      </c>
      <c r="AG49" s="336">
        <f>SUM(AG11:AG48)</f>
        <v>0.94994867228256852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3620434.4814874423</v>
      </c>
      <c r="D51" s="130">
        <f>C51/SUM($C$51,$E$51,$G$51,$I$51,$K$51)</f>
        <v>0.39217413687521241</v>
      </c>
      <c r="E51" s="317">
        <f>SUM(E11,E15,E19,E23,E27,E31,E35,E39,E43,E47)</f>
        <v>734932.03310910345</v>
      </c>
      <c r="F51" s="130">
        <f>E51/SUM($C$51,$E$51,$G$51,$I$51,$K$51)</f>
        <v>7.9609598577266058E-2</v>
      </c>
      <c r="G51" s="317">
        <f>SUM(G11,G15,G19,G23,G27,G31,G35,G39,G43,G47)</f>
        <v>1397801.0068537835</v>
      </c>
      <c r="H51" s="130">
        <f>G51/SUM($C$51,$E$51,$G$51,$I$51,$K$51)</f>
        <v>0.15141315391542925</v>
      </c>
      <c r="I51" s="317">
        <f>SUM(I11,I15,I19,I23,I27,I31,I35,I39,I43,I47)</f>
        <v>2350191.1591306399</v>
      </c>
      <c r="J51" s="130">
        <f>I51/SUM($C$51,$E$51,$G$51,$I$51,$K$51)</f>
        <v>0.25457833694732218</v>
      </c>
      <c r="K51" s="317">
        <f>SUM(K11,K15,K19,K23,K27,K31,K35,K39,K43,K47)</f>
        <v>1128342.5997088207</v>
      </c>
      <c r="L51" s="130">
        <f>K51/SUM($C$51,$E$51,$G$51,$I$51,$K$51)</f>
        <v>0.12222477368476994</v>
      </c>
      <c r="M51" s="199"/>
      <c r="N51" s="199"/>
      <c r="O51" s="199"/>
      <c r="P51" s="199"/>
      <c r="Q51" s="199"/>
      <c r="R51" s="199"/>
      <c r="S51" s="328">
        <f>SUM(S11,S15,S19,S23,S27,S35,S39,S43,S47)</f>
        <v>4.0725457934579774E-2</v>
      </c>
      <c r="T51" s="328">
        <f>SUM(T11,T15,T19,T23,T27,T35,T39,T43,T47)</f>
        <v>7.1357923195482032E-6</v>
      </c>
      <c r="U51" s="328">
        <f>SUM(U11,U15,U19,U23,U27,U35,U39,U43,U47)</f>
        <v>3.9599841405677521E-7</v>
      </c>
      <c r="V51" s="328">
        <f>SUM(V11,V15,V19,V23,V27,V35,V39,V43,V47)</f>
        <v>2.8820554954882527E-7</v>
      </c>
      <c r="W51" s="328">
        <f>SUM(W11,W15,W19,W23,W27,W35,W39,W43,W47)</f>
        <v>2.3899932881350045E-7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4.2882940398252218E-7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9.6139237224223568E-8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9.2401612115267173E-6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6.4404578865310112E-7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1.8868443436385467E-4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1.1415557995787258E-5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4.3322324880760926E-8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7.0532326890604912E-5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4.3322324880760919E-8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0.11928430366233089</v>
      </c>
      <c r="AY72" s="75"/>
      <c r="AZ72" s="256">
        <f>output!AF22</f>
        <v>2.0235831095101236E-4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1.0606759195894158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0.92923351476858396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0.75163373657404142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6.8415003368319717E-5</v>
      </c>
      <c r="BE84" s="2"/>
      <c r="BF84" s="304">
        <f>IF(output!AK30&lt;0,"",output!AK30)</f>
        <v>2.5338890136414698E-5</v>
      </c>
      <c r="BG84" s="75"/>
      <c r="BH84" s="311">
        <f>IF(output!AK29&lt;0,"",output!AK29)</f>
        <v>1.1470226204647548E-4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4.5636508728327052E-3</v>
      </c>
      <c r="AV85" s="87"/>
      <c r="AW85" s="75"/>
      <c r="AX85" s="304">
        <f>output!AL24</f>
        <v>1.0523949938910103E-5</v>
      </c>
      <c r="AY85" s="87"/>
      <c r="AZ85" s="201"/>
      <c r="BA85" s="311">
        <f>IF(output!AI23&lt;0,"",output!AI23)</f>
        <v>1.4314066317975239E-5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9.9156392573283259E-5</v>
      </c>
      <c r="BE86" s="87"/>
      <c r="BF86" s="304">
        <f>IF(output!AJ30&lt;0,"",output!AJ30)</f>
        <v>3.6724589841956754E-5</v>
      </c>
      <c r="BG86" s="75"/>
      <c r="BH86" s="311">
        <f>IF(output!AJ29&lt;0,"",output!AJ29)</f>
        <v>2.2034753905174055E-4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1.6321153588584537E-2</v>
      </c>
      <c r="AV87" s="200"/>
      <c r="AW87" s="84"/>
      <c r="AX87" s="304">
        <f>IF(output!AH24&lt;0,"",output!AH24)</f>
        <v>4.2132583681679821E-4</v>
      </c>
      <c r="AY87" s="291">
        <f>output!AL24</f>
        <v>1.0523949938910103E-5</v>
      </c>
      <c r="AZ87" s="75"/>
      <c r="BA87" s="311">
        <f>IF(output!AH23&lt;0,"",output!AH23)</f>
        <v>3.8302348801527117E-5</v>
      </c>
      <c r="BB87" s="291">
        <f>output!AL23</f>
        <v>9.567227217191003E-7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6.6975560115134214E-7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1.681407495668077E-5</v>
      </c>
      <c r="AT89" s="83"/>
      <c r="AU89" s="302"/>
      <c r="AV89" s="75"/>
      <c r="AW89" s="81"/>
      <c r="AX89" s="265">
        <f>output!AD24</f>
        <v>6.6975560115134214E-7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5.6506578013509412E-3</v>
      </c>
      <c r="AT90" s="81"/>
      <c r="AU90" s="278">
        <f>output!AD25</f>
        <v>9.3786779867817728E-3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2.4275249604119631E-5</v>
      </c>
      <c r="BB91" s="309">
        <f>IF(ISERROR(output!F15),0,output!F15)</f>
        <v>3.8014911919103555E-4</v>
      </c>
      <c r="BC91" s="2"/>
      <c r="BD91" s="295">
        <f>output!AG28</f>
        <v>2.6948162182115553E-5</v>
      </c>
      <c r="BE91" s="2"/>
      <c r="BF91" s="312">
        <f>output!AG30</f>
        <v>9.9808008081909413E-6</v>
      </c>
      <c r="BG91" s="75"/>
      <c r="BH91" s="295">
        <f>output!AG29</f>
        <v>9.9285681908351639E-5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3.1493762879415883E-4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2.0088618226819061E-5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4.4124953183608249E-6</v>
      </c>
      <c r="AZ96" s="75"/>
      <c r="BA96" s="75"/>
      <c r="BB96" s="43"/>
      <c r="BC96" s="2"/>
      <c r="BD96" s="277">
        <f>IF(ISERROR(output!F39),0,output!F39)</f>
        <v>8.437954746955325E-4</v>
      </c>
      <c r="BE96" s="43"/>
      <c r="BF96" s="277">
        <f>IF(ISERROR(output!F47),0,output!F47)</f>
        <v>3.1251684247982672E-4</v>
      </c>
      <c r="BG96" s="43"/>
      <c r="BH96" s="277">
        <f>IF(ISERROR(output!F43),0,output!F43)</f>
        <v>3.1088134519216535E-3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1.5479006675406123E-2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5.1829910734149084E-6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5.9389486654764222E-7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0.24248434187463955</v>
      </c>
      <c r="AW101" s="56"/>
      <c r="AX101" s="307"/>
      <c r="AY101" s="276">
        <f>IF(ISERROR(output!F23),0,output!F23)</f>
        <v>8.3603494663305142E-5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3.3560287904613287E-5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4.0076513681150995E-5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8.3810553957381349E-4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5.9536575544191723E-6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5.6256822211853956E-7</v>
      </c>
      <c r="AW111" s="75"/>
      <c r="AX111" s="290">
        <f>output!AF26</f>
        <v>1.7660088850644113E-7</v>
      </c>
      <c r="AY111" s="75"/>
      <c r="AZ111" s="75"/>
      <c r="BA111" s="75"/>
      <c r="BB111" s="76"/>
      <c r="BC111" s="2"/>
      <c r="BD111" s="295">
        <f>output!AF28</f>
        <v>2.528715716932008E-8</v>
      </c>
      <c r="BE111" s="76"/>
      <c r="BF111" s="295">
        <f>output!AF30</f>
        <v>9.3656137664148412E-9</v>
      </c>
      <c r="BG111" s="43"/>
      <c r="BH111" s="294">
        <f>output!AF29</f>
        <v>4.2395585547670481E-8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7.6730174695107499E-8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3.2059275818936349E-10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8.0484144626764034E-10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2.3995399157519877E-10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1.643489215882468E-8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4.253127270462962E-9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7.7516513337501388E-9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3.2129518937479927E-9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7.7516513337501388E-9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1.2104836507613279</v>
      </c>
      <c r="AT136" s="81">
        <f>output!AD32</f>
        <v>1.4607547979183935</v>
      </c>
      <c r="AU136" s="268">
        <f>output!AF32</f>
        <v>3.8076817102773199E-4</v>
      </c>
      <c r="AV136" s="221"/>
      <c r="AW136" s="221"/>
      <c r="AX136" s="221"/>
      <c r="AY136" s="279">
        <f>output!AE38</f>
        <v>0.2835592214452024</v>
      </c>
      <c r="AZ136" s="266">
        <f>output!AD38</f>
        <v>0.39427764325327136</v>
      </c>
      <c r="BA136" s="268">
        <f>output!AF38</f>
        <v>1.5003438187291061E-4</v>
      </c>
      <c r="BB136" s="75"/>
      <c r="BC136" s="75"/>
      <c r="BD136" s="75"/>
      <c r="BE136" s="279">
        <f>output!AE44</f>
        <v>0.41389736930464771</v>
      </c>
      <c r="BF136" s="266">
        <f>output!AD44</f>
        <v>0.68290891040318225</v>
      </c>
      <c r="BG136" s="268">
        <f>output!AF44</f>
        <v>3.7931525707277509E-4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0.22445169622322891</v>
      </c>
      <c r="AV141" s="223" t="s">
        <v>446</v>
      </c>
      <c r="AW141" s="221"/>
      <c r="AX141" s="221"/>
      <c r="AY141" s="2"/>
      <c r="AZ141" s="202"/>
      <c r="BA141" s="269">
        <f>output!AG38</f>
        <v>7.396183094705891E-2</v>
      </c>
      <c r="BB141" s="47" t="s">
        <v>446</v>
      </c>
      <c r="BC141" s="75"/>
      <c r="BD141" s="75"/>
      <c r="BE141" s="2"/>
      <c r="BF141" s="202"/>
      <c r="BG141" s="269">
        <f>output!AG44</f>
        <v>0.24851003712483172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0.74361421847339648</v>
      </c>
      <c r="AW142" s="221"/>
      <c r="AX142" s="221"/>
      <c r="AY142" s="203"/>
      <c r="AZ142" s="202"/>
      <c r="BA142" s="75"/>
      <c r="BB142" s="277">
        <f>IF(ISERROR(output!J11),0,output!J11)</f>
        <v>0.1742689447491817</v>
      </c>
      <c r="BC142" s="75"/>
      <c r="BD142" s="75"/>
      <c r="BE142" s="203"/>
      <c r="BF142" s="75"/>
      <c r="BG142" s="75"/>
      <c r="BH142" s="277">
        <f>IF(ISERROR(output!L11),0,output!L11)</f>
        <v>0.91768096386394404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4.9235353222047955E-4</v>
      </c>
      <c r="AY144" s="2"/>
      <c r="AZ144" s="75"/>
      <c r="BA144" s="75"/>
      <c r="BB144" s="75"/>
      <c r="BC144" s="75"/>
      <c r="BD144" s="270">
        <f>k.sA.aA*M.sA*Molweight</f>
        <v>1.2448090272760602E-4</v>
      </c>
      <c r="BE144" s="2"/>
      <c r="BF144" s="75"/>
      <c r="BG144" s="75"/>
      <c r="BH144" s="75"/>
      <c r="BI144" s="75"/>
      <c r="BJ144" s="270">
        <f>k.sT.aT*M.sT*Molweight</f>
        <v>3.7115831451643434E-4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4.5522734609215448E-3</v>
      </c>
      <c r="AV145" s="221"/>
      <c r="AW145" s="221"/>
      <c r="AX145" s="221"/>
      <c r="AY145" s="2"/>
      <c r="AZ145" s="75"/>
      <c r="BA145" s="270">
        <f>k.w2A.aA*M.w2A*Molweight</f>
        <v>9.5939360311575721E-3</v>
      </c>
      <c r="BB145" s="75"/>
      <c r="BC145" s="75"/>
      <c r="BD145" s="221"/>
      <c r="BE145" s="2"/>
      <c r="BF145" s="75"/>
      <c r="BG145" s="270">
        <f>k.w2T.aT*M.w2T*Molweight</f>
        <v>2.2878756776639492E-3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7.1358616856113683E-4</v>
      </c>
      <c r="AY146" s="2"/>
      <c r="AZ146" s="75"/>
      <c r="BA146" s="221"/>
      <c r="BB146" s="75"/>
      <c r="BC146" s="75"/>
      <c r="BD146" s="270">
        <f>IF(output!AJ42&lt;0,"",output!AJ42)</f>
        <v>1.8490840735763456E-4</v>
      </c>
      <c r="BE146" s="2"/>
      <c r="BF146" s="75"/>
      <c r="BG146" s="221"/>
      <c r="BH146" s="75"/>
      <c r="BI146" s="75"/>
      <c r="BJ146" s="270">
        <f>IF(output!AJ48&lt;0,"",output!AJ48)</f>
        <v>5.328905328545817E-4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2.6118547719407356E-2</v>
      </c>
      <c r="AT147" s="81">
        <f>output!AD33</f>
        <v>8.5941897058397967E-3</v>
      </c>
      <c r="AU147" s="270">
        <f>IF(output!AH33&lt;0,"",output!AH33)</f>
        <v>2.9769723587389611E-2</v>
      </c>
      <c r="AV147" s="272">
        <f>output!AL33</f>
        <v>2.7116252440620575E-5</v>
      </c>
      <c r="AW147" s="221"/>
      <c r="AX147" s="221"/>
      <c r="AY147" s="279">
        <f>output!AE39</f>
        <v>5.1980192352254581E-2</v>
      </c>
      <c r="AZ147" s="266">
        <f>output!AD39</f>
        <v>1.9072035464336043E-2</v>
      </c>
      <c r="BA147" s="270">
        <f>IF(output!AH39&lt;0,"",output!AH39)</f>
        <v>4.6140065005664525E-2</v>
      </c>
      <c r="BB147" s="272">
        <f>output!AL39</f>
        <v>1.1333745125323183E-5</v>
      </c>
      <c r="BC147" s="75"/>
      <c r="BD147" s="75"/>
      <c r="BE147" s="279">
        <f>output!AE45</f>
        <v>1.0836368965176858E-2</v>
      </c>
      <c r="BF147" s="266">
        <f>output!AD45</f>
        <v>3.5682182054294116E-4</v>
      </c>
      <c r="BG147" s="270">
        <f>IF(output!AH45&lt;0,"",output!AH45)</f>
        <v>2.224833217595576E-2</v>
      </c>
      <c r="BH147" s="272">
        <f>output!AL45</f>
        <v>1.5383952263739066E-5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6.3587457798886984E-2</v>
      </c>
      <c r="AW150" s="221"/>
      <c r="AX150" s="221"/>
      <c r="AY150" s="2"/>
      <c r="AZ150" s="75"/>
      <c r="BA150" s="59"/>
      <c r="BB150" s="273">
        <f>IF(ISERROR(output!J27),0,output!J27)</f>
        <v>8.2141163998651123E-2</v>
      </c>
      <c r="BC150" s="78"/>
      <c r="BD150" s="75"/>
      <c r="BE150" s="2"/>
      <c r="BF150" s="75"/>
      <c r="BG150" s="59"/>
      <c r="BH150" s="273">
        <f>IF(ISERROR(output!L27),0,output!L27)</f>
        <v>3.9351557869604446E-2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1.9393440304000384E-4</v>
      </c>
      <c r="AY151" s="2"/>
      <c r="AZ151" s="75"/>
      <c r="BA151" s="59"/>
      <c r="BB151" s="49"/>
      <c r="BC151" s="75"/>
      <c r="BD151" s="274">
        <f>output!AJ42</f>
        <v>1.8490840735763456E-4</v>
      </c>
      <c r="BE151" s="2"/>
      <c r="BF151" s="75"/>
      <c r="BG151" s="59"/>
      <c r="BH151" s="59"/>
      <c r="BI151" s="75"/>
      <c r="BJ151" s="274">
        <f>output!AG48</f>
        <v>1.4624483247218363E-4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7.7202083653411212E-3</v>
      </c>
      <c r="AW152" s="221"/>
      <c r="AX152" s="221"/>
      <c r="AY152" s="2"/>
      <c r="AZ152" s="75"/>
      <c r="BA152" s="59"/>
      <c r="BB152" s="257">
        <f>output!AG39</f>
        <v>3.6493058317137251E-3</v>
      </c>
      <c r="BC152" s="2"/>
      <c r="BD152" s="75"/>
      <c r="BE152" s="2"/>
      <c r="BF152" s="75"/>
      <c r="BG152" s="59"/>
      <c r="BH152" s="257">
        <f>output!AG45</f>
        <v>9.4962933059216416E-3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2.2002374647441783E-3</v>
      </c>
      <c r="AU153" s="224"/>
      <c r="AV153" s="225"/>
      <c r="AW153" s="221"/>
      <c r="AX153" s="221"/>
      <c r="AY153" s="2"/>
      <c r="AZ153" s="275">
        <f>k.w3A.w2A*M.w3A*Molweight</f>
        <v>1.5634575345724079E-2</v>
      </c>
      <c r="BA153" s="59"/>
      <c r="BB153" s="49"/>
      <c r="BC153" s="2"/>
      <c r="BD153" s="75"/>
      <c r="BE153" s="2"/>
      <c r="BF153" s="275">
        <f>k.w3T.w2T*M.w3T*Molweight</f>
        <v>3.5682182054294116E-4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2.2141713598106218E-2</v>
      </c>
      <c r="AU155" s="221"/>
      <c r="AV155" s="223" t="s">
        <v>2166</v>
      </c>
      <c r="AW155" s="221"/>
      <c r="AX155" s="271">
        <f>IF(ISERROR(output!H47),0,output!H47)</f>
        <v>3.1927486166555752E-3</v>
      </c>
      <c r="AY155" s="2"/>
      <c r="AZ155" s="275">
        <f>k.w2A.w3A*M.w2A*Molweight</f>
        <v>5.1980192352254581E-2</v>
      </c>
      <c r="BA155" s="75"/>
      <c r="BB155" s="223" t="s">
        <v>2166</v>
      </c>
      <c r="BC155" s="47"/>
      <c r="BD155" s="271">
        <f>IF(ISERROR(output!J47),0,output!J47)</f>
        <v>2.205340798902168E-3</v>
      </c>
      <c r="BE155" s="2"/>
      <c r="BF155" s="275">
        <f>k.w2T.w3T*M.w2T*Molweight</f>
        <v>1.0090116207039354E-2</v>
      </c>
      <c r="BG155" s="75"/>
      <c r="BH155" s="223" t="s">
        <v>2166</v>
      </c>
      <c r="BI155" s="47"/>
      <c r="BJ155" s="271">
        <f>IF(ISERROR(output!L47),0,output!L47)</f>
        <v>1.2113112946429228E-3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0.18956189589894726</v>
      </c>
      <c r="AW156" s="221"/>
      <c r="AX156" s="221"/>
      <c r="AY156" s="203"/>
      <c r="AZ156" s="2"/>
      <c r="BA156" s="75"/>
      <c r="BB156" s="273">
        <f>IF(ISERROR(output!J31),0,output!J31)</f>
        <v>0.74119130349852569</v>
      </c>
      <c r="BC156" s="75"/>
      <c r="BD156" s="75"/>
      <c r="BE156" s="203"/>
      <c r="BF156" s="2"/>
      <c r="BG156" s="75"/>
      <c r="BH156" s="273">
        <f>IF(ISERROR(output!L31),0,output!L31)</f>
        <v>4.1748264040122163E-2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2.5418202651459007E-3</v>
      </c>
      <c r="AT157" s="266">
        <f>output!AD34</f>
        <v>2.5557284674001805E-2</v>
      </c>
      <c r="AU157" s="221"/>
      <c r="AV157" s="225"/>
      <c r="AW157" s="226"/>
      <c r="AX157" s="221"/>
      <c r="AY157" s="279">
        <f>output!AE40</f>
        <v>1.905014642161967E-2</v>
      </c>
      <c r="AZ157" s="266">
        <f>output!AD40</f>
        <v>5.1980192352254581E-2</v>
      </c>
      <c r="BA157" s="75"/>
      <c r="BB157" s="2"/>
      <c r="BC157" s="76"/>
      <c r="BD157" s="75"/>
      <c r="BE157" s="279">
        <f>output!AE46</f>
        <v>3.5682182054294116E-4</v>
      </c>
      <c r="BF157" s="266">
        <f>output!AD46</f>
        <v>1.0431699007441075E-2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2.3014874082520585E-2</v>
      </c>
      <c r="AW158" s="226"/>
      <c r="AX158" s="221"/>
      <c r="AY158" s="2"/>
      <c r="AZ158" s="75"/>
      <c r="BA158" s="75"/>
      <c r="BB158" s="274">
        <f>output!AG40</f>
        <v>3.292908956485064E-2</v>
      </c>
      <c r="BC158" s="2"/>
      <c r="BD158" s="75"/>
      <c r="BE158" s="2"/>
      <c r="BF158" s="75"/>
      <c r="BG158" s="75"/>
      <c r="BH158" s="274">
        <f>output!AG46</f>
        <v>1.0074664938342538E-2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3.3821762736705657E-6</v>
      </c>
      <c r="AU159" s="221"/>
      <c r="AV159" s="221"/>
      <c r="AW159" s="226"/>
      <c r="AX159" s="221"/>
      <c r="AY159" s="2"/>
      <c r="AZ159" s="272">
        <f>k.sdA.w3A*M.sdA*Molweight</f>
        <v>2.5159312007995924E-5</v>
      </c>
      <c r="BA159" s="2"/>
      <c r="BB159" s="75"/>
      <c r="BC159" s="2"/>
      <c r="BD159" s="75"/>
      <c r="BE159" s="2"/>
      <c r="BF159" s="275">
        <f>k.sdT.w3T*M.sdT*Molweight</f>
        <v>4.9398314031726952E-7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3.9725026089845587E-6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2.6115677792280661E-5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7.0623169591359216E-7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4.3679212113733621E-5</v>
      </c>
      <c r="AW162" s="221"/>
      <c r="AX162" s="221"/>
      <c r="AY162" s="2"/>
      <c r="AZ162" s="75"/>
      <c r="BA162" s="47"/>
      <c r="BB162" s="276">
        <f>IF(ISERROR(output!J35),0,output!J35)</f>
        <v>1.9324695473941405E-4</v>
      </c>
      <c r="BC162" s="75"/>
      <c r="BD162" s="75"/>
      <c r="BE162" s="2"/>
      <c r="BF162" s="75"/>
      <c r="BG162" s="47"/>
      <c r="BH162" s="276">
        <f>IF(ISERROR(output!L35),0,output!L35)</f>
        <v>7.9029316864351616E-6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5.9014415166193501E-7</v>
      </c>
      <c r="AV164" s="269">
        <f>output!AF35</f>
        <v>1.8218365205813516E-10</v>
      </c>
      <c r="AW164" s="221"/>
      <c r="AX164" s="274">
        <f>output!AF36</f>
        <v>1.8198086003302551E-7</v>
      </c>
      <c r="AY164" s="2"/>
      <c r="AZ164" s="2"/>
      <c r="BA164" s="269">
        <f>output!AG41</f>
        <v>9.5540568094345203E-7</v>
      </c>
      <c r="BB164" s="269">
        <f>output!AF41</f>
        <v>9.601033412766044E-10</v>
      </c>
      <c r="BC164" s="75"/>
      <c r="BD164" s="274">
        <f>output!AF42</f>
        <v>7.5521847803345112E-8</v>
      </c>
      <c r="BE164" s="2"/>
      <c r="BF164" s="2"/>
      <c r="BG164" s="269">
        <f>output!AG47</f>
        <v>2.1222970472856451E-7</v>
      </c>
      <c r="BH164" s="269">
        <f>output!AF47</f>
        <v>1.8850867758315385E-11</v>
      </c>
      <c r="BI164" s="75"/>
      <c r="BJ164" s="274">
        <f>output!AF48</f>
        <v>1.034336022245319E-7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1039424.7032929029</v>
      </c>
      <c r="BA172" s="128">
        <f>output!I11</f>
        <v>409565.33326055278</v>
      </c>
      <c r="BB172" s="128">
        <f>output!K11</f>
        <v>1035458.5244695389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88882.612534556698</v>
      </c>
      <c r="BA173" s="128">
        <f>output!I27</f>
        <v>193047.43743032985</v>
      </c>
      <c r="BB173" s="128">
        <f>output!K27</f>
        <v>44402.039109181584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264969.80894866056</v>
      </c>
      <c r="BA174" s="128">
        <f>output!I31</f>
        <v>1741941.2487067499</v>
      </c>
      <c r="BB174" s="128">
        <f>output!K31</f>
        <v>47106.344780361716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61.054846671156831</v>
      </c>
      <c r="BA175" s="128">
        <f>output!I35</f>
        <v>454.16728455748978</v>
      </c>
      <c r="BB175" s="128">
        <f>output!K35</f>
        <v>8.9172144843934653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4462.8272309921877</v>
      </c>
      <c r="BA176" s="128">
        <f>output!I47</f>
        <v>5182.9724484499775</v>
      </c>
      <c r="BB176" s="128">
        <f>output!K47</f>
        <v>1366.7741352540527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0.30772337600965971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0.92317012802897913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0.92317012802897913</v>
      </c>
      <c r="G11" s="508">
        <f>2*Scale*(M.tot/Emis.tot)/(3600*24*365)</f>
        <v>1.8463402560579583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5.4484395670697645E-8</v>
      </c>
      <c r="L150" s="664">
        <f t="shared" si="7"/>
        <v>5.4484395670697645E-8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1.0580096758225707E-8</v>
      </c>
      <c r="L192" s="664">
        <f t="shared" si="9"/>
        <v>1.0580096758225707E-8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22" transitionEvaluation="1" transitionEntry="1" codeName="Sheet3"/>
  <dimension ref="A1:O225"/>
  <sheetViews>
    <sheetView topLeftCell="A22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5.4484395670697645E-8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-6.5064492428923354E-8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62800688.981563203</v>
      </c>
      <c r="D45" s="370">
        <f t="array" ref="D45:AJ45">TRANSPOSE(MMULT(MINVERSE(D9:AJ41),-TRANSPOSE(D5:AJ5)))</f>
        <v>669703.17192018789</v>
      </c>
      <c r="E45" s="370">
        <v>37371.675939355075</v>
      </c>
      <c r="F45" s="370">
        <v>1185319.3943523103</v>
      </c>
      <c r="G45" s="370">
        <v>43812.638683884477</v>
      </c>
      <c r="H45" s="370">
        <v>314655.45746143447</v>
      </c>
      <c r="I45" s="370">
        <v>3028.6174274537652</v>
      </c>
      <c r="J45" s="370">
        <v>1545.9531847890978</v>
      </c>
      <c r="K45" s="370">
        <v>22372796.512290176</v>
      </c>
      <c r="L45" s="370">
        <v>572.57525362559159</v>
      </c>
      <c r="M45" s="370">
        <v>3757821.1576445755</v>
      </c>
      <c r="N45" s="370">
        <v>1900.5698302836918</v>
      </c>
      <c r="O45" s="370">
        <v>1574.5425294710972</v>
      </c>
      <c r="P45" s="370">
        <v>1212309.5943608964</v>
      </c>
      <c r="Q45" s="370">
        <v>417.97881842128527</v>
      </c>
      <c r="R45" s="370">
        <v>4190.1401915577208</v>
      </c>
      <c r="S45" s="370">
        <v>4218.5872363690396</v>
      </c>
      <c r="T45" s="370">
        <v>15542.629869236131</v>
      </c>
      <c r="U45" s="370">
        <v>1562.4397171737176</v>
      </c>
      <c r="V45" s="370">
        <v>7070916.3489313126</v>
      </c>
      <c r="W45" s="370">
        <v>604643.6226840592</v>
      </c>
      <c r="X45" s="370">
        <v>1802515.7071337455</v>
      </c>
      <c r="Y45" s="370">
        <v>415.33909300106689</v>
      </c>
      <c r="Z45" s="370">
        <v>30359.368918314205</v>
      </c>
      <c r="AA45" s="370">
        <v>2786158.7296636244</v>
      </c>
      <c r="AB45" s="370">
        <v>1313247.8736757133</v>
      </c>
      <c r="AC45" s="370">
        <v>11849940.467392856</v>
      </c>
      <c r="AD45" s="370">
        <v>3089.5733643366652</v>
      </c>
      <c r="AE45" s="370">
        <v>35258.315975850186</v>
      </c>
      <c r="AF45" s="370">
        <v>7043935.5406091092</v>
      </c>
      <c r="AG45" s="370">
        <v>302054.68781756179</v>
      </c>
      <c r="AH45" s="370">
        <v>320451.32503647427</v>
      </c>
      <c r="AI45" s="370">
        <v>60.661323023084805</v>
      </c>
      <c r="AJ45" s="371">
        <v>9297.7832330207675</v>
      </c>
    </row>
    <row r="46" spans="1:36" ht="12.75" customHeight="1" x14ac:dyDescent="0.2">
      <c r="B46" s="255" t="s">
        <v>2410</v>
      </c>
      <c r="C46" s="531">
        <f>SUM(D46:AJ46)</f>
        <v>78954270.419533953</v>
      </c>
      <c r="D46" s="383">
        <f>D45</f>
        <v>669703.17192018789</v>
      </c>
      <c r="E46" s="383"/>
      <c r="F46" s="383">
        <f t="shared" ref="F46:AJ46" si="0">F45</f>
        <v>1185319.3943523103</v>
      </c>
      <c r="G46" s="383">
        <f t="shared" si="0"/>
        <v>43812.638683884477</v>
      </c>
      <c r="H46" s="383">
        <f t="shared" si="0"/>
        <v>314655.45746143447</v>
      </c>
      <c r="I46" s="383">
        <f t="shared" si="0"/>
        <v>3028.6174274537652</v>
      </c>
      <c r="J46" s="383">
        <f t="shared" si="0"/>
        <v>1545.9531847890978</v>
      </c>
      <c r="K46" s="383">
        <f t="shared" si="0"/>
        <v>22372796.512290176</v>
      </c>
      <c r="L46" s="383">
        <f t="shared" si="0"/>
        <v>572.57525362559159</v>
      </c>
      <c r="M46" s="383">
        <f t="shared" si="0"/>
        <v>3757821.1576445755</v>
      </c>
      <c r="N46" s="383"/>
      <c r="O46" s="383">
        <f t="shared" si="0"/>
        <v>1574.5425294710972</v>
      </c>
      <c r="P46" s="383">
        <f t="shared" si="0"/>
        <v>1212309.5943608964</v>
      </c>
      <c r="Q46" s="383">
        <f t="shared" si="0"/>
        <v>417.97881842128527</v>
      </c>
      <c r="R46" s="383">
        <f t="shared" si="0"/>
        <v>4190.1401915577208</v>
      </c>
      <c r="S46" s="383">
        <f t="shared" si="0"/>
        <v>4218.5872363690396</v>
      </c>
      <c r="T46" s="383">
        <f t="shared" si="0"/>
        <v>15542.629869236131</v>
      </c>
      <c r="U46" s="383">
        <f t="shared" si="0"/>
        <v>1562.4397171737176</v>
      </c>
      <c r="V46" s="383">
        <f t="shared" si="0"/>
        <v>7070916.3489313126</v>
      </c>
      <c r="W46" s="383">
        <f>SUM(W45:X45)</f>
        <v>2407159.3298178045</v>
      </c>
      <c r="X46" s="383">
        <f>SUM(W45:X45)</f>
        <v>2407159.3298178045</v>
      </c>
      <c r="Y46" s="383">
        <f t="shared" si="0"/>
        <v>415.33909300106689</v>
      </c>
      <c r="Z46" s="383">
        <f t="shared" si="0"/>
        <v>30359.368918314205</v>
      </c>
      <c r="AA46" s="383">
        <f t="shared" si="0"/>
        <v>2786158.7296636244</v>
      </c>
      <c r="AB46" s="383">
        <f>SUM(AB45:AC45)</f>
        <v>13163188.34106857</v>
      </c>
      <c r="AC46" s="383">
        <f>SUM(AB45:AC45)</f>
        <v>13163188.34106857</v>
      </c>
      <c r="AD46" s="383">
        <f t="shared" si="0"/>
        <v>3089.5733643366652</v>
      </c>
      <c r="AE46" s="383">
        <f t="shared" si="0"/>
        <v>35258.315975850186</v>
      </c>
      <c r="AF46" s="383">
        <f t="shared" si="0"/>
        <v>7043935.5406091092</v>
      </c>
      <c r="AG46" s="383">
        <f>SUM(AG45:AH45)</f>
        <v>622506.01285403606</v>
      </c>
      <c r="AH46" s="383">
        <f>SUM(AG45:AH45)</f>
        <v>622506.01285403606</v>
      </c>
      <c r="AI46" s="383">
        <f t="shared" si="0"/>
        <v>60.661323023084805</v>
      </c>
      <c r="AJ46" s="384">
        <f t="shared" si="0"/>
        <v>9297.7832330207675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-1.6183767556552122E-3</v>
      </c>
      <c r="E48" s="515" t="e">
        <f t="shared" ref="E48:AJ48" si="1">IF(E49&gt;0.0001,LOG(E46/E47),"")</f>
        <v>#DIV/0!</v>
      </c>
      <c r="F48" s="515">
        <f t="shared" si="1"/>
        <v>-2.5914675844266612E-3</v>
      </c>
      <c r="G48" s="515">
        <f t="shared" si="1"/>
        <v>3.193813985596574E-2</v>
      </c>
      <c r="H48" s="515">
        <f t="shared" si="1"/>
        <v>0.28861484998286402</v>
      </c>
      <c r="I48" s="515" t="str">
        <f t="shared" si="1"/>
        <v/>
      </c>
      <c r="J48" s="515" t="str">
        <f t="shared" si="1"/>
        <v/>
      </c>
      <c r="K48" s="515">
        <f t="shared" si="1"/>
        <v>3.5521511506004091E-2</v>
      </c>
      <c r="L48" s="515" t="str">
        <f t="shared" si="1"/>
        <v/>
      </c>
      <c r="M48" s="515">
        <f t="shared" si="1"/>
        <v>7.3921150611307189E-3</v>
      </c>
      <c r="N48" s="515" t="str">
        <f t="shared" si="1"/>
        <v/>
      </c>
      <c r="O48" s="515" t="str">
        <f t="shared" si="1"/>
        <v/>
      </c>
      <c r="P48" s="515">
        <f t="shared" si="1"/>
        <v>-0.14649456125330954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-0.40602392803687593</v>
      </c>
      <c r="U48" s="515" t="str">
        <f t="shared" si="1"/>
        <v/>
      </c>
      <c r="V48" s="515">
        <f t="shared" si="1"/>
        <v>4.0157740591663368E-2</v>
      </c>
      <c r="W48" s="515">
        <f t="shared" si="1"/>
        <v>-0.26819910368413646</v>
      </c>
      <c r="X48" s="515">
        <f t="shared" si="1"/>
        <v>-0.26819910368413646</v>
      </c>
      <c r="Y48" s="515" t="str">
        <f t="shared" si="1"/>
        <v/>
      </c>
      <c r="Z48" s="515">
        <f t="shared" si="1"/>
        <v>-0.12513619121851374</v>
      </c>
      <c r="AA48" s="515">
        <f t="shared" si="1"/>
        <v>7.9085315411078105E-2</v>
      </c>
      <c r="AB48" s="515">
        <f t="shared" si="1"/>
        <v>-0.18648748887062783</v>
      </c>
      <c r="AC48" s="515">
        <f t="shared" si="1"/>
        <v>-0.18648748887062783</v>
      </c>
      <c r="AD48" s="515" t="str">
        <f t="shared" si="1"/>
        <v/>
      </c>
      <c r="AE48" s="515">
        <f t="shared" si="1"/>
        <v>-0.11827803013424454</v>
      </c>
      <c r="AF48" s="515">
        <f t="shared" si="1"/>
        <v>5.1099443574937967E-2</v>
      </c>
      <c r="AG48" s="515">
        <f t="shared" si="1"/>
        <v>-0.24733358835210625</v>
      </c>
      <c r="AH48" s="515">
        <f t="shared" si="1"/>
        <v>-0.24733358835210625</v>
      </c>
      <c r="AI48" s="515" t="str">
        <f t="shared" si="1"/>
        <v/>
      </c>
      <c r="AJ48" s="516">
        <f t="shared" si="1"/>
        <v>-9.2055968040342828E-2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1.06639462525132E-2</v>
      </c>
      <c r="E49" s="151">
        <f t="shared" si="2"/>
        <v>5.9508385250879202E-4</v>
      </c>
      <c r="F49" s="151">
        <f t="shared" si="2"/>
        <v>1.8874305578085171E-2</v>
      </c>
      <c r="G49" s="151">
        <f t="shared" si="2"/>
        <v>6.9764582832438087E-4</v>
      </c>
      <c r="H49" s="151">
        <f t="shared" si="2"/>
        <v>5.0103822515993393E-3</v>
      </c>
      <c r="I49" s="151">
        <f t="shared" si="2"/>
        <v>4.8225863068841424E-5</v>
      </c>
      <c r="J49" s="151">
        <f t="shared" si="2"/>
        <v>2.4616818857559877E-5</v>
      </c>
      <c r="K49" s="151">
        <f t="shared" si="2"/>
        <v>0.35625081308993761</v>
      </c>
      <c r="L49" s="151">
        <f t="shared" si="2"/>
        <v>9.1173403176147659E-6</v>
      </c>
      <c r="M49" s="151">
        <f t="shared" si="2"/>
        <v>5.9837260045789986E-2</v>
      </c>
      <c r="N49" s="151">
        <f t="shared" si="2"/>
        <v>3.0263518778299617E-5</v>
      </c>
      <c r="O49" s="151">
        <f t="shared" si="2"/>
        <v>2.5072058205179015E-5</v>
      </c>
      <c r="P49" s="151">
        <f t="shared" si="2"/>
        <v>1.9304081117912604E-2</v>
      </c>
      <c r="Q49" s="151">
        <f t="shared" si="2"/>
        <v>6.6556406498023289E-6</v>
      </c>
      <c r="R49" s="151">
        <f t="shared" si="2"/>
        <v>6.6721245570854274E-5</v>
      </c>
      <c r="S49" s="151">
        <f t="shared" si="2"/>
        <v>6.7174219021825013E-5</v>
      </c>
      <c r="T49" s="151">
        <f t="shared" si="2"/>
        <v>2.4749139095908771E-4</v>
      </c>
      <c r="U49" s="151">
        <f t="shared" si="2"/>
        <v>2.4879340378453698E-5</v>
      </c>
      <c r="V49" s="151">
        <f t="shared" si="2"/>
        <v>0.11259297411541402</v>
      </c>
      <c r="W49" s="151">
        <f t="shared" si="2"/>
        <v>9.6279775347937382E-3</v>
      </c>
      <c r="X49" s="151">
        <f t="shared" si="2"/>
        <v>2.8702164520247882E-2</v>
      </c>
      <c r="Y49" s="151">
        <f t="shared" si="2"/>
        <v>6.6136072666814308E-6</v>
      </c>
      <c r="Z49" s="151">
        <f t="shared" si="2"/>
        <v>4.8342413770694457E-4</v>
      </c>
      <c r="AA49" s="151">
        <f t="shared" si="2"/>
        <v>4.4365098135811451E-2</v>
      </c>
      <c r="AB49" s="151">
        <f t="shared" si="2"/>
        <v>2.0911360925693855E-2</v>
      </c>
      <c r="AC49" s="151">
        <f t="shared" si="2"/>
        <v>0.1886912494044726</v>
      </c>
      <c r="AD49" s="151">
        <f t="shared" si="2"/>
        <v>4.9196488357694468E-5</v>
      </c>
      <c r="AE49" s="151">
        <f t="shared" si="2"/>
        <v>5.6143199298659273E-4</v>
      </c>
      <c r="AF49" s="151">
        <f t="shared" si="2"/>
        <v>0.11216334812309212</v>
      </c>
      <c r="AG49" s="151">
        <f t="shared" si="2"/>
        <v>4.8097352547555317E-3</v>
      </c>
      <c r="AH49" s="151">
        <f t="shared" si="2"/>
        <v>5.1026721240359516E-3</v>
      </c>
      <c r="AI49" s="151">
        <f t="shared" si="2"/>
        <v>9.6593403682073506E-7</v>
      </c>
      <c r="AJ49" s="253">
        <f t="shared" si="2"/>
        <v>1.4805224884953692E-4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2.917206829813076E-9</v>
      </c>
      <c r="E50" s="179">
        <f t="shared" si="3"/>
        <v>6.5400841649131684E-7</v>
      </c>
      <c r="F50" s="179">
        <f t="shared" si="3"/>
        <v>6.2858239534195363E-5</v>
      </c>
      <c r="G50" s="179">
        <f t="shared" si="3"/>
        <v>4.3812638683884431E-6</v>
      </c>
      <c r="H50" s="179">
        <f t="shared" si="3"/>
        <v>1.6686378549184426E-3</v>
      </c>
      <c r="I50" s="179">
        <f t="shared" si="3"/>
        <v>1.0095391424845874E-4</v>
      </c>
      <c r="J50" s="179">
        <f t="shared" si="3"/>
        <v>5.0100647821288155E-7</v>
      </c>
      <c r="K50" s="179">
        <f t="shared" si="3"/>
        <v>8.1567997084373042E-4</v>
      </c>
      <c r="L50" s="179">
        <f t="shared" si="3"/>
        <v>5.0100647821288145E-7</v>
      </c>
      <c r="M50" s="179">
        <f t="shared" si="3"/>
        <v>5.2197397751773805E-10</v>
      </c>
      <c r="N50" s="179">
        <f t="shared" si="3"/>
        <v>2.1809031169344455E-9</v>
      </c>
      <c r="O50" s="179">
        <f t="shared" si="3"/>
        <v>5.4751118793717032E-9</v>
      </c>
      <c r="P50" s="179">
        <f t="shared" si="3"/>
        <v>1.6323400787428487E-9</v>
      </c>
      <c r="Q50" s="179">
        <f t="shared" si="3"/>
        <v>1.4534258371749715E-7</v>
      </c>
      <c r="R50" s="179">
        <f t="shared" si="3"/>
        <v>3.761269014695137E-8</v>
      </c>
      <c r="S50" s="179">
        <f t="shared" si="3"/>
        <v>8.9644947397110472E-8</v>
      </c>
      <c r="T50" s="179">
        <f t="shared" si="3"/>
        <v>3.7156586526337333E-8</v>
      </c>
      <c r="U50" s="179">
        <f t="shared" si="3"/>
        <v>8.9644947397110459E-8</v>
      </c>
      <c r="V50" s="179">
        <f t="shared" si="3"/>
        <v>9.1153909853263961E-11</v>
      </c>
      <c r="W50" s="179">
        <f t="shared" si="3"/>
        <v>1.5589388293024786E-10</v>
      </c>
      <c r="X50" s="179">
        <f t="shared" si="3"/>
        <v>1.5491283464930709E-11</v>
      </c>
      <c r="Y50" s="179">
        <f t="shared" si="3"/>
        <v>3.5695309606915599E-10</v>
      </c>
      <c r="Z50" s="179">
        <f t="shared" si="3"/>
        <v>1.5654973364238731E-8</v>
      </c>
      <c r="AA50" s="179">
        <f t="shared" si="3"/>
        <v>6.5556675992085276E-11</v>
      </c>
      <c r="AB50" s="179">
        <f t="shared" si="3"/>
        <v>5.1499916614733858E-10</v>
      </c>
      <c r="AC50" s="179">
        <f t="shared" si="3"/>
        <v>1.5490118258029876E-10</v>
      </c>
      <c r="AD50" s="179">
        <f t="shared" si="3"/>
        <v>4.0386579925969477E-9</v>
      </c>
      <c r="AE50" s="179">
        <f t="shared" si="3"/>
        <v>4.1480371736294335E-8</v>
      </c>
      <c r="AF50" s="179">
        <f t="shared" si="3"/>
        <v>5.5246553259679288E-11</v>
      </c>
      <c r="AG50" s="179">
        <f t="shared" si="3"/>
        <v>3.3843662500567149E-11</v>
      </c>
      <c r="AH50" s="179">
        <f t="shared" si="3"/>
        <v>1.1968303456077471E-12</v>
      </c>
      <c r="AI50" s="179">
        <f t="shared" si="3"/>
        <v>2.2655956311142783E-11</v>
      </c>
      <c r="AJ50" s="380">
        <f t="shared" si="3"/>
        <v>4.8615860041938639E-9</v>
      </c>
    </row>
    <row r="51" spans="1:36" ht="12.75" customHeight="1" x14ac:dyDescent="0.2">
      <c r="B51" s="141" t="s">
        <v>703</v>
      </c>
      <c r="C51" s="254"/>
      <c r="D51" s="385">
        <f>D50*8.314*TEMP.R</f>
        <v>6.9122924111737861E-6</v>
      </c>
      <c r="E51" s="385">
        <f>E50*Kaw.R*8.314*TEMP.R</f>
        <v>1.392447917720387E-4</v>
      </c>
      <c r="F51" s="385">
        <f>F50*Kaw.R*8.314*TEMP.R</f>
        <v>1.3383134305905637E-2</v>
      </c>
      <c r="G51" s="385">
        <f>G50*Kaw.R*8.314*TEMP.R</f>
        <v>9.3281395111863264E-4</v>
      </c>
      <c r="H51" s="385">
        <f>H50*Kaw.R/Ksdw1.R*8.314*TEMP.R</f>
        <v>1.7729383356669088E-2</v>
      </c>
      <c r="I51" s="385">
        <f>I50*Kaw.R/Ksdw2.R*8.314*TEMP.R</f>
        <v>1.0726417609378187E-3</v>
      </c>
      <c r="J51" s="385">
        <f>J50*Kaw.R/Ks1w.R*8.314*TEMP.R</f>
        <v>4.5772693356499534E-6</v>
      </c>
      <c r="K51" s="385">
        <f>K50*Kaw.R/Ks2w.R*8.314*TEMP.R</f>
        <v>7.4521729370940889E-3</v>
      </c>
      <c r="L51" s="385">
        <f>L50*Kaw.R/Ks3w.R*8.314*TEMP.R</f>
        <v>4.5772693356499526E-6</v>
      </c>
      <c r="M51" s="385">
        <f>M50*8.314*TEMP.C</f>
        <v>1.2368121199885052E-6</v>
      </c>
      <c r="N51" s="385">
        <f>N50*Kaw.C*8.314*TEMP.C</f>
        <v>4.6433561516185615E-7</v>
      </c>
      <c r="O51" s="385">
        <f>O50*Kaw.C*8.314*TEMP.C</f>
        <v>1.165704896676739E-6</v>
      </c>
      <c r="P51" s="385">
        <f>P50*Kaw.C*8.314*TEMP.C</f>
        <v>3.4754117628197063E-7</v>
      </c>
      <c r="Q51" s="385">
        <f>Q50*Kaw.C/Ksdw1.C*8.314*TEMP.C</f>
        <v>1.5442741977720651E-6</v>
      </c>
      <c r="R51" s="385">
        <f>R50*Kaw.C/Ksdw2.C*8.314*TEMP.C</f>
        <v>3.9963722549222899E-7</v>
      </c>
      <c r="S51" s="385">
        <f>S50*Kaw.C/Ks1w.C*8.314*TEMP.C</f>
        <v>8.1900950718324826E-7</v>
      </c>
      <c r="T51" s="385">
        <f>T50*Kaw.C/Ks2w.C*8.314*TEMP.C</f>
        <v>3.3946807380834234E-7</v>
      </c>
      <c r="U51" s="385">
        <f>U50*Kaw.C/Ks3w.C*8.314*TEMP.C</f>
        <v>8.1900950718324815E-7</v>
      </c>
      <c r="V51" s="385">
        <f>V50*8.314*TEMP.M</f>
        <v>2.1598827785821041E-7</v>
      </c>
      <c r="W51" s="385">
        <f>W50*Kaw.M*8.314*TEMP.M</f>
        <v>3.3191333199677786E-8</v>
      </c>
      <c r="X51" s="385">
        <f>X50*Kaw.M*8.314*TEMP.M</f>
        <v>3.2982458420465023E-9</v>
      </c>
      <c r="Y51" s="385">
        <f>Y50*Kaw.M/Ksdw.M*8.314*TEMP.M</f>
        <v>3.7926493528275576E-9</v>
      </c>
      <c r="Z51" s="372">
        <f>Z50*Kaw.M/Kslw.M*8.314*TEMP.M</f>
        <v>1.4302615364605948E-7</v>
      </c>
      <c r="AA51" s="385">
        <f>AA50*8.314*TEMP.A</f>
        <v>1.4334504770412581E-7</v>
      </c>
      <c r="AB51" s="385">
        <f>AB50*Kaw.A*8.314*TEMP.A</f>
        <v>2.9871419530510103E-8</v>
      </c>
      <c r="AC51" s="385">
        <f>AC50*Kaw.A*8.314*TEMP.A</f>
        <v>8.984710102044037E-9</v>
      </c>
      <c r="AD51" s="385">
        <f>AD50*Kaw.A/Ksdw.A*8.314*TEMP.A</f>
        <v>1.1690210432623424E-8</v>
      </c>
      <c r="AE51" s="372">
        <f>AE50*Kaw.A/Kslw.A*8.314*TEMP.A</f>
        <v>1.0329887188156594E-7</v>
      </c>
      <c r="AF51" s="385">
        <f>AF50*8.314*TEMP.T</f>
        <v>1.3687731345269013E-7</v>
      </c>
      <c r="AG51" s="385">
        <f>AG50*Kaw.T*8.314*TEMP.T</f>
        <v>1.41968544393523E-8</v>
      </c>
      <c r="AH51" s="385">
        <f>AH50*Kaw.T*8.314*TEMP.T</f>
        <v>5.0205045641582539E-10</v>
      </c>
      <c r="AI51" s="385">
        <f>AI50*Kaw.T/Ksdw.T*8.314*TEMP.T</f>
        <v>4.7427811898439089E-10</v>
      </c>
      <c r="AJ51" s="386">
        <f>AJ50*Kaw.T/Kslw.T*8.314*TEMP.T</f>
        <v>8.7450882802473617E-8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-2.0122687525228615</v>
      </c>
      <c r="E55" s="370">
        <f t="shared" ref="E55:AJ55" si="4">E9*E$45</f>
        <v>1.9147162960983513E-3</v>
      </c>
      <c r="F55" s="370">
        <f t="shared" si="4"/>
        <v>2.022049539456344</v>
      </c>
      <c r="G55" s="370">
        <f t="shared" si="4"/>
        <v>2.2439384559724641E-2</v>
      </c>
      <c r="H55" s="389">
        <f t="shared" si="4"/>
        <v>0</v>
      </c>
      <c r="I55" s="389">
        <f t="shared" si="4"/>
        <v>0</v>
      </c>
      <c r="J55" s="370">
        <f t="shared" si="4"/>
        <v>1.7055455472095204E-4</v>
      </c>
      <c r="K55" s="370">
        <f t="shared" si="4"/>
        <v>1.1231827262458651</v>
      </c>
      <c r="L55" s="370">
        <f t="shared" si="4"/>
        <v>6.3168353600352587E-5</v>
      </c>
      <c r="M55" s="370">
        <f t="shared" si="4"/>
        <v>1.1288116163268078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9.5485670154793866E-5</v>
      </c>
      <c r="E56" s="378">
        <f>SUM(D56,F56:AJ56)-SUM(E55,E57:E87)</f>
        <v>3.2471706485315247E-3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7.8277092543872043E-7</v>
      </c>
      <c r="K56" s="376">
        <f t="shared" si="6"/>
        <v>5.1549182224932674E-3</v>
      </c>
      <c r="L56" s="376">
        <f t="shared" si="6"/>
        <v>2.8991515756989637E-7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1.0503423717027325E-3</v>
      </c>
      <c r="E57" s="179">
        <f t="shared" ref="E57:E87" si="7">E11*E$45</f>
        <v>8.9589634101193671E-5</v>
      </c>
      <c r="F57" s="378">
        <f>SUM(D57:E57,G57:AJ57)-SUM(F55:F56,F58:F87)</f>
        <v>-2.0542527879809378</v>
      </c>
      <c r="G57" s="376">
        <f t="shared" ref="G57:AJ57" si="8">G11*G$45</f>
        <v>0</v>
      </c>
      <c r="H57" s="179">
        <f t="shared" si="8"/>
        <v>2.259019900001041E-2</v>
      </c>
      <c r="I57" s="376">
        <f t="shared" si="8"/>
        <v>0</v>
      </c>
      <c r="J57" s="179">
        <f t="shared" si="8"/>
        <v>8.6104801798259268E-6</v>
      </c>
      <c r="K57" s="179">
        <f t="shared" si="8"/>
        <v>5.6704100447425937E-2</v>
      </c>
      <c r="L57" s="179">
        <f t="shared" si="8"/>
        <v>3.1890667332688606E-6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1.6710096715193416E-4</v>
      </c>
      <c r="E58" s="179">
        <f t="shared" si="7"/>
        <v>0</v>
      </c>
      <c r="F58" s="179">
        <f t="shared" ref="F58:F87" si="9">F12*F$45</f>
        <v>8.6106639274244209E-2</v>
      </c>
      <c r="G58" s="378">
        <f>SUM(D58:F58,H58:AJ58)-SUM(G55:G57,G59:G87)</f>
        <v>3.8054990737753924E-3</v>
      </c>
      <c r="H58" s="376">
        <f t="shared" ref="H58:N58" si="10">H12*H$45</f>
        <v>0</v>
      </c>
      <c r="I58" s="179">
        <f t="shared" si="10"/>
        <v>1.6501239025256136E-4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2.0124614917200285E-5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2.6542640250502757E-2</v>
      </c>
      <c r="G59" s="376">
        <f t="shared" ref="G59:G87" si="12">G13*G$45</f>
        <v>0</v>
      </c>
      <c r="H59" s="378">
        <f>SUM(D59:G59,I59:AJ59)-SUM(H55:H58,H60:H87)</f>
        <v>3.9524412504923466E-3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1.9705545567867089E-4</v>
      </c>
      <c r="H60" s="376">
        <f t="shared" ref="H60:H87" si="15">H14*H$45</f>
        <v>0</v>
      </c>
      <c r="I60" s="378">
        <f>SUM(D60:H60,J60:AJ60)-SUM(I55:I59,I61:I87)</f>
        <v>3.2043065426109535E-5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2.4719101878906466E-4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6.7243212962847965E-5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5.493133750868103E-4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-1.1844924315406975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9.1552229181135055E-5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2.4904893689943708E-5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6.3086994726839558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0.81283443519239462</v>
      </c>
      <c r="N64" s="179">
        <f>N18*N$45</f>
        <v>9.7374600802552653E-5</v>
      </c>
      <c r="O64" s="179">
        <f>O18*O$45</f>
        <v>2.6860296150905158E-3</v>
      </c>
      <c r="P64" s="179">
        <f t="shared" ref="P64:AJ64" si="25">P18*P$45</f>
        <v>3.1045244032875549E-2</v>
      </c>
      <c r="Q64" s="376">
        <f t="shared" si="25"/>
        <v>0</v>
      </c>
      <c r="R64" s="376">
        <f t="shared" si="25"/>
        <v>0</v>
      </c>
      <c r="S64" s="179">
        <f t="shared" si="25"/>
        <v>4.6540818617904576E-4</v>
      </c>
      <c r="T64" s="179">
        <f t="shared" si="25"/>
        <v>7.8028749691479919E-4</v>
      </c>
      <c r="U64" s="179">
        <f t="shared" si="25"/>
        <v>1.7237340228853538E-4</v>
      </c>
      <c r="V64" s="179">
        <f t="shared" si="25"/>
        <v>0.90678297350254622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2.6056019592875593E-4</v>
      </c>
      <c r="N65" s="378">
        <f>SUM(D65:M65,O65:AJ65)-SUM(N55:N64,N66:N87)</f>
        <v>1.6513775240897718E-4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2.1360203320174015E-6</v>
      </c>
      <c r="T65" s="376">
        <f t="shared" si="27"/>
        <v>3.581178861318484E-6</v>
      </c>
      <c r="U65" s="376">
        <f t="shared" si="27"/>
        <v>7.9111864148792602E-7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2.8661621552163144E-3</v>
      </c>
      <c r="N66" s="179">
        <f t="shared" ref="N66:N87" si="28">N20*N$45</f>
        <v>4.5561605520499467E-6</v>
      </c>
      <c r="O66" s="378">
        <f>SUM(D66:N66,P66:AJ66)-SUM(O55:O65,O67:O87)</f>
        <v>1.3665726684910888E-4</v>
      </c>
      <c r="P66" s="376">
        <f t="shared" ref="P66:AJ66" si="29">P20*P$45</f>
        <v>0</v>
      </c>
      <c r="Q66" s="179">
        <f t="shared" si="29"/>
        <v>3.0016974954835545E-5</v>
      </c>
      <c r="R66" s="376">
        <f t="shared" si="29"/>
        <v>0</v>
      </c>
      <c r="S66" s="179">
        <f t="shared" si="29"/>
        <v>2.3496223652191412E-5</v>
      </c>
      <c r="T66" s="179">
        <f t="shared" si="29"/>
        <v>3.9392967474503327E-5</v>
      </c>
      <c r="U66" s="179">
        <f t="shared" si="29"/>
        <v>8.7023050563671848E-6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6.0016938157387192E-2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0.11102825570465671</v>
      </c>
      <c r="N67" s="179">
        <f t="shared" si="28"/>
        <v>0</v>
      </c>
      <c r="O67" s="179">
        <f t="shared" ref="O67:O87" si="30">O21*O$45</f>
        <v>1.1438146229034538E-4</v>
      </c>
      <c r="P67" s="378">
        <f>SUM(D67:O67,Q67:AJ67)-SUM(P55:P66,P68:P87)</f>
        <v>0.10529936513881721</v>
      </c>
      <c r="Q67" s="376">
        <f t="shared" ref="Q67:AJ67" si="31">Q21*Q$45</f>
        <v>0</v>
      </c>
      <c r="R67" s="179">
        <f t="shared" si="31"/>
        <v>2.2830127826267544E-4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3.669210902647449E-3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3.5258442676291897E-5</v>
      </c>
      <c r="P68" s="376">
        <f t="shared" ref="P68:P87" si="32">P22*P$45</f>
        <v>0</v>
      </c>
      <c r="Q68" s="378">
        <f>SUM(D68:P68,R68:AJ68)-SUM(Q55:Q67,Q69:Q87)</f>
        <v>5.2414677214563524E-6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2.7262934476973466E-4</v>
      </c>
      <c r="Q69" s="376">
        <f t="shared" ref="Q69:Q87" si="34">Q23*Q$45</f>
        <v>0</v>
      </c>
      <c r="R69" s="378">
        <f>SUM(D69:Q69,S69:AJ69)-SUM(R55:R68,R70:R87)</f>
        <v>4.4328066507059218E-5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6.7453328281145075E-4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1.8349285264819613E-4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1.4989628506921126E-3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6.7570120744149162E-4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2.4982714178201873E-4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6.7960315795628247E-5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5.1925048106703633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1.5294725468997079</v>
      </c>
      <c r="W73" s="179">
        <f t="shared" ref="W73:AJ73" si="43">W27*W$45</f>
        <v>3.096784667293568E-2</v>
      </c>
      <c r="X73" s="376">
        <f t="shared" si="43"/>
        <v>0</v>
      </c>
      <c r="Y73" s="376">
        <f t="shared" si="43"/>
        <v>0</v>
      </c>
      <c r="Z73" s="179">
        <f t="shared" si="43"/>
        <v>3.3493437566019016E-3</v>
      </c>
      <c r="AA73" s="179">
        <f t="shared" si="43"/>
        <v>1.9289742955455949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2.8156283626166512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3.8419724373864712E-2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0.2025151264448273</v>
      </c>
      <c r="W74" s="378">
        <f>SUM(D74:V74,X74:AJ74)-SUM(W55:W73,W75:W87)</f>
        <v>5.2518424254021256E-2</v>
      </c>
      <c r="X74" s="376">
        <f t="shared" ref="X74:AJ74" si="45">X28*X$45</f>
        <v>1.4967601800980807E-2</v>
      </c>
      <c r="Y74" s="376">
        <f t="shared" si="45"/>
        <v>0</v>
      </c>
      <c r="Z74" s="179">
        <f t="shared" si="45"/>
        <v>1.8446430231714678E-4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5.0765493750850729E-3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0.15062390202793347</v>
      </c>
      <c r="X75" s="378">
        <f>SUM(D75:W75,Y75:AJ75)-SUM(X55:X74,X76:X87)</f>
        <v>0.15656376926884755</v>
      </c>
      <c r="Y75" s="376">
        <f t="shared" ref="Y75:AJ75" si="47">Y29*Y$45</f>
        <v>2.300800186170453E-5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2.3235177387044816E-2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2.7023827272003805E-5</v>
      </c>
      <c r="Y76" s="378">
        <f>SUM(D76:X76,Z76:AJ76)-SUM(Y55:Y75,Y77:Y87)</f>
        <v>4.0158254102992747E-6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4.8543276772866455E-3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1.3205196183675972E-3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2.6821608384576283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0.50416234917640779</v>
      </c>
      <c r="AB78" s="179">
        <f t="shared" ref="AB78:AJ78" si="53">AB32*AB$45</f>
        <v>6.52648709602556E-2</v>
      </c>
      <c r="AC78" s="376">
        <f t="shared" si="53"/>
        <v>0</v>
      </c>
      <c r="AD78" s="376">
        <f t="shared" si="53"/>
        <v>0</v>
      </c>
      <c r="AE78" s="179">
        <f t="shared" si="53"/>
        <v>8.4680886209255793E-4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2.3384082439537178E-2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0.31387799323581311</v>
      </c>
      <c r="AB79" s="378">
        <f>SUM(D79:AA79,AC79:AJ79)-SUM(AB55:AB78,AB80:AB87)</f>
        <v>2.482520973954927E-2</v>
      </c>
      <c r="AC79" s="376">
        <f t="shared" ref="AC79:AJ79" si="55">AC33*AC$45</f>
        <v>0.10635765541308899</v>
      </c>
      <c r="AD79" s="376">
        <f t="shared" si="55"/>
        <v>0</v>
      </c>
      <c r="AE79" s="179">
        <f t="shared" si="55"/>
        <v>7.7100306974987642E-5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0.35360675069560943</v>
      </c>
      <c r="AC80" s="378">
        <f>SUM(D80:AB80,AD80:AJ80)-SUM(AC55:AC79,AC81:AC87)</f>
        <v>0.22400741200578661</v>
      </c>
      <c r="AD80" s="376">
        <f t="shared" ref="AD80:AJ80" si="57">AD34*AD$45</f>
        <v>1.7115178236731923E-4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1.7765767205633103E-4</v>
      </c>
      <c r="AD81" s="378">
        <f>SUM(D81:AC81,AE81:AJ81)-SUM(AD55:AD80,AD82:AD87)</f>
        <v>6.5058896890118E-6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1.2578803221607795E-3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3.3397115309323391E-4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4.6456388462801517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1.6931248461354058</v>
      </c>
      <c r="AG83" s="179">
        <f>AG37*AG$45</f>
        <v>1.5563780120162921E-2</v>
      </c>
      <c r="AH83" s="376">
        <f>AH37*AH$45</f>
        <v>0</v>
      </c>
      <c r="AI83" s="376">
        <f>AI37*AI$45</f>
        <v>0</v>
      </c>
      <c r="AJ83" s="380">
        <f>AJ37*AJ$45</f>
        <v>2.5248864933090772E-3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0.15134919847588954</v>
      </c>
      <c r="AG84" s="378">
        <f>SUM(D84:AF84,AH84:AJ84)-SUM(AG55:AG83,AG85:AG87)</f>
        <v>6.4600634734160764E-2</v>
      </c>
      <c r="AH84" s="376">
        <f>AH38*AH$45</f>
        <v>2.4273593234213687E-3</v>
      </c>
      <c r="AI84" s="179">
        <f>AI38*AI$45</f>
        <v>0</v>
      </c>
      <c r="AJ84" s="380">
        <f>AJ38*AJ$45</f>
        <v>1.0465273648802087E-4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2.3236925197396064E-3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6.8640246306390165E-2</v>
      </c>
      <c r="AH85" s="378">
        <f>SUM(D85:AG85,AI85:AJ85)-SUM(AH55:AH84,AH86:AH87)</f>
        <v>6.8535135634983244E-2</v>
      </c>
      <c r="AI85" s="376">
        <f>AI39*AI$45</f>
        <v>3.3604295259678197E-6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4.8042972511128724E-6</v>
      </c>
      <c r="AI86" s="378">
        <f>SUM(D86:AH86,AJ86)-SUM(AI55:AI85,AI87)</f>
        <v>1.4438677251450527E-6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3.6251056656774264E-3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9.9556643588032817E-4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30.780912987613359</v>
      </c>
      <c r="D92" s="179">
        <f>SUM($D$55:$AJ$55)</f>
        <v>2.2863629532702996</v>
      </c>
      <c r="E92" s="179">
        <f>SUM($D$56:$AJ$56)</f>
        <v>8.498647227262594E-3</v>
      </c>
      <c r="F92" s="179">
        <f>SUM($D$57:$AJ$57)</f>
        <v>-1.9738067569807842</v>
      </c>
      <c r="G92" s="179">
        <f>SUM($D$58:$AJ$58)</f>
        <v>9.0264376320341289E-2</v>
      </c>
      <c r="H92" s="179">
        <f>SUM($D$59:$AJ$59)</f>
        <v>3.0495081500995103E-2</v>
      </c>
      <c r="I92" s="179">
        <f>SUM($D$60:$AJ$60)</f>
        <v>2.2909852110478043E-4</v>
      </c>
      <c r="J92" s="179">
        <f>SUM($D$61:$AJ$61)</f>
        <v>3.1443423175191263E-4</v>
      </c>
      <c r="K92" s="179">
        <f>SUM($D$62:$AJ$62)</f>
        <v>-1.1839431181656106</v>
      </c>
      <c r="L92" s="179">
        <f>SUM($D$63:$AJ$63)</f>
        <v>1.1645712287107876E-4</v>
      </c>
      <c r="M92" s="179">
        <f>SUM($D$64:$AJ$64)</f>
        <v>8.0635635987130474</v>
      </c>
      <c r="N92" s="179">
        <f>SUM($D$65:$AJ$65)</f>
        <v>4.3220626617255695E-4</v>
      </c>
      <c r="O92" s="179">
        <f>SUM($D$66:$AJ$66)</f>
        <v>3.1089840537553708E-3</v>
      </c>
      <c r="P92" s="179">
        <f>SUM($D$67:$AJ$67)</f>
        <v>0.28035645264406156</v>
      </c>
      <c r="Q92" s="179">
        <f>SUM($D$68:$AJ$68)</f>
        <v>4.049991039774825E-5</v>
      </c>
      <c r="R92" s="179">
        <f>SUM($D$69:$AJ$69)</f>
        <v>3.1695741127679385E-4</v>
      </c>
      <c r="S92" s="179">
        <f>SUM($D$70:$AJ$70)</f>
        <v>8.5802613545964688E-4</v>
      </c>
      <c r="T92" s="179">
        <f>SUM($D$71:$AJ$71)</f>
        <v>2.1746640581336045E-3</v>
      </c>
      <c r="U92" s="179">
        <f>SUM($D$72:$AJ$72)</f>
        <v>3.1778745757764698E-4</v>
      </c>
      <c r="V92" s="179">
        <f>SUM($D$73:$AJ$73)</f>
        <v>11.500897206161856</v>
      </c>
      <c r="W92" s="179">
        <f>SUM($D$74:$AJ$74)</f>
        <v>0.31368189055109624</v>
      </c>
      <c r="X92" s="179">
        <f>SUM($D$75:$AJ$75)</f>
        <v>0.3304458566856876</v>
      </c>
      <c r="Y92" s="179">
        <f>SUM($D$76:$AJ$76)</f>
        <v>3.103965268230308E-5</v>
      </c>
      <c r="Z92" s="179">
        <f>SUM($D$77:$AJ$77)</f>
        <v>6.1748472956542431E-3</v>
      </c>
      <c r="AA92" s="179">
        <f>SUM($D$78:$AJ$78)</f>
        <v>3.2524348674563841</v>
      </c>
      <c r="AB92" s="179">
        <f>SUM($D$79:$AJ$79)</f>
        <v>0.46852204113496354</v>
      </c>
      <c r="AC92" s="179">
        <f>SUM($D$80:$AJ$80)</f>
        <v>0.57778531448376336</v>
      </c>
      <c r="AD92" s="179">
        <f>SUM($D$81:$AJ$81)</f>
        <v>1.8416356174534283E-4</v>
      </c>
      <c r="AE92" s="179">
        <f>SUM($D$82:$AJ$82)</f>
        <v>1.5918514752540133E-3</v>
      </c>
      <c r="AF92" s="179">
        <f>SUM($D$83:$AJ$83)</f>
        <v>6.3568523590290305</v>
      </c>
      <c r="AG92" s="179">
        <f>SUM($D$84:$AJ$84)</f>
        <v>0.21848184526995967</v>
      </c>
      <c r="AH92" s="179">
        <f>SUM($D$85:$AJ$85)</f>
        <v>0.13950243489063899</v>
      </c>
      <c r="AI92" s="179">
        <f>SUM($D$86:$AJ$86)</f>
        <v>6.2481649762579255E-6</v>
      </c>
      <c r="AJ92" s="380">
        <f>SUM($D$87:$AJ$87)</f>
        <v>4.6206721015577545E-3</v>
      </c>
    </row>
    <row r="93" spans="2:36" ht="12.75" customHeight="1" x14ac:dyDescent="0.2">
      <c r="B93" s="146" t="s">
        <v>1212</v>
      </c>
      <c r="C93" s="150">
        <f>SUM(D93:AJ93)</f>
        <v>30.780912987613359</v>
      </c>
      <c r="D93" s="179">
        <f t="shared" ref="D93:AJ93" si="61">SUM(D55:D87)</f>
        <v>4.2986317057931611</v>
      </c>
      <c r="E93" s="179">
        <f t="shared" si="61"/>
        <v>5.2514765787310697E-3</v>
      </c>
      <c r="F93" s="179">
        <f t="shared" si="61"/>
        <v>8.0446031000153184E-2</v>
      </c>
      <c r="G93" s="179">
        <f t="shared" si="61"/>
        <v>8.6458877246565896E-2</v>
      </c>
      <c r="H93" s="179">
        <f t="shared" si="61"/>
        <v>2.6542640250502757E-2</v>
      </c>
      <c r="I93" s="179">
        <f t="shared" si="61"/>
        <v>1.9705545567867089E-4</v>
      </c>
      <c r="J93" s="179">
        <f t="shared" si="61"/>
        <v>2.4719101878906466E-4</v>
      </c>
      <c r="K93" s="179">
        <f t="shared" si="61"/>
        <v>5.493133750869017E-4</v>
      </c>
      <c r="L93" s="179">
        <f t="shared" si="61"/>
        <v>9.1552229181135055E-5</v>
      </c>
      <c r="M93" s="179">
        <f t="shared" si="61"/>
        <v>7.2507291635206528</v>
      </c>
      <c r="N93" s="179">
        <f t="shared" si="61"/>
        <v>2.6706851376357977E-4</v>
      </c>
      <c r="O93" s="179">
        <f t="shared" si="61"/>
        <v>2.9723267869062619E-3</v>
      </c>
      <c r="P93" s="179">
        <f t="shared" si="61"/>
        <v>0.1750570875052444</v>
      </c>
      <c r="Q93" s="179">
        <f t="shared" si="61"/>
        <v>3.5258442676291897E-5</v>
      </c>
      <c r="R93" s="179">
        <f t="shared" si="61"/>
        <v>2.7262934476973466E-4</v>
      </c>
      <c r="S93" s="179">
        <f t="shared" si="61"/>
        <v>6.7453328281145075E-4</v>
      </c>
      <c r="T93" s="179">
        <f t="shared" si="61"/>
        <v>1.4989628506921126E-3</v>
      </c>
      <c r="U93" s="179">
        <f t="shared" si="61"/>
        <v>2.4982714178201873E-4</v>
      </c>
      <c r="V93" s="179">
        <f t="shared" si="61"/>
        <v>9.9714246592621478</v>
      </c>
      <c r="W93" s="179">
        <f t="shared" si="61"/>
        <v>0.26116346629707504</v>
      </c>
      <c r="X93" s="179">
        <f t="shared" si="61"/>
        <v>0.17388208741683997</v>
      </c>
      <c r="Y93" s="179">
        <f t="shared" si="61"/>
        <v>2.7023827272003805E-5</v>
      </c>
      <c r="Z93" s="179">
        <f t="shared" si="61"/>
        <v>4.8543276772866455E-3</v>
      </c>
      <c r="AA93" s="179">
        <f t="shared" si="61"/>
        <v>2.7482725182799763</v>
      </c>
      <c r="AB93" s="179">
        <f t="shared" si="61"/>
        <v>0.44369683139541427</v>
      </c>
      <c r="AC93" s="179">
        <f t="shared" si="61"/>
        <v>0.3537779024779768</v>
      </c>
      <c r="AD93" s="179">
        <f t="shared" si="61"/>
        <v>1.7765767205633103E-4</v>
      </c>
      <c r="AE93" s="179">
        <f t="shared" si="61"/>
        <v>1.2578803221607795E-3</v>
      </c>
      <c r="AF93" s="179">
        <f t="shared" si="61"/>
        <v>4.6637275128936242</v>
      </c>
      <c r="AG93" s="179">
        <f t="shared" si="61"/>
        <v>0.15388121053579892</v>
      </c>
      <c r="AH93" s="179">
        <f t="shared" si="61"/>
        <v>7.0967299255655716E-2</v>
      </c>
      <c r="AI93" s="179">
        <f t="shared" si="61"/>
        <v>4.8042972511128724E-6</v>
      </c>
      <c r="AJ93" s="380">
        <f t="shared" si="61"/>
        <v>3.6251056656774264E-3</v>
      </c>
    </row>
    <row r="94" spans="2:36" ht="12.75" customHeight="1" x14ac:dyDescent="0.2">
      <c r="B94" s="152" t="s">
        <v>1211</v>
      </c>
      <c r="C94" s="150">
        <f>SUM(D94:AJ94)</f>
        <v>6.4713861191356283</v>
      </c>
      <c r="D94" s="179">
        <f>k.aR*D45</f>
        <v>0.14485995385568248</v>
      </c>
      <c r="E94" s="179">
        <f>k.w0R*E45</f>
        <v>3.2471706485315247E-3</v>
      </c>
      <c r="F94" s="179">
        <f>k.w1R*F45</f>
        <v>0.1028759183976057</v>
      </c>
      <c r="G94" s="179">
        <f>k.w2R*G45</f>
        <v>3.8054990737753963E-3</v>
      </c>
      <c r="H94" s="179">
        <f>k.sd1R*H45</f>
        <v>3.9524412504923492E-3</v>
      </c>
      <c r="I94" s="179">
        <f>k.sd2R*I45</f>
        <v>3.2043065426109461E-5</v>
      </c>
      <c r="J94" s="179">
        <f>k.s1R*J45</f>
        <v>6.7243212962848046E-5</v>
      </c>
      <c r="K94" s="179">
        <f>k.s2R*K45</f>
        <v>0.97263627483784632</v>
      </c>
      <c r="L94" s="179">
        <f>k.s3R*L45</f>
        <v>2.4904893689943711E-5</v>
      </c>
      <c r="M94" s="179">
        <f>k.aC*M45</f>
        <v>0.81283443519239384</v>
      </c>
      <c r="N94" s="179">
        <f>k.w0C*N45</f>
        <v>1.651377524089771E-4</v>
      </c>
      <c r="O94" s="179">
        <f>k.w1C*O45</f>
        <v>1.3665726684910926E-4</v>
      </c>
      <c r="P94" s="179">
        <f>k.w2C*P45</f>
        <v>0.10529936513881717</v>
      </c>
      <c r="Q94" s="179">
        <f>k.sd1C*Q45</f>
        <v>5.2414677214563507E-6</v>
      </c>
      <c r="R94" s="179">
        <f>k.sd2C*R45</f>
        <v>4.4328066507059273E-5</v>
      </c>
      <c r="S94" s="179">
        <f>k.s1C*S45</f>
        <v>1.8349285264819643E-4</v>
      </c>
      <c r="T94" s="179">
        <f>k.s2C*T45</f>
        <v>6.7570120744149195E-4</v>
      </c>
      <c r="U94" s="179">
        <f>k.s3C*U45</f>
        <v>6.7960315795628274E-5</v>
      </c>
      <c r="V94" s="179">
        <f>k.aM*V45</f>
        <v>1.529472546899705</v>
      </c>
      <c r="W94" s="179">
        <f>k.w2M*W45</f>
        <v>5.2518424254021236E-2</v>
      </c>
      <c r="X94" s="179">
        <f>k.w3M*X45</f>
        <v>0.15656376926884752</v>
      </c>
      <c r="Y94" s="179">
        <f>k.sdM*Y45</f>
        <v>4.0158254102992739E-6</v>
      </c>
      <c r="Z94" s="179">
        <f>k.sM*Z45</f>
        <v>1.3205196183675976E-3</v>
      </c>
      <c r="AA94" s="179">
        <f>k.aA*AA45</f>
        <v>0.50416234917640701</v>
      </c>
      <c r="AB94" s="179">
        <f>k.w2A*AB45</f>
        <v>2.4825209739549152E-2</v>
      </c>
      <c r="AC94" s="179">
        <f>k.w3A*AC45</f>
        <v>0.22400741200578667</v>
      </c>
      <c r="AD94" s="179">
        <f>k.sdA*AD45</f>
        <v>6.5058896890117611E-6</v>
      </c>
      <c r="AE94" s="179">
        <f>k.sA*AE45</f>
        <v>3.3397115309323402E-4</v>
      </c>
      <c r="AF94" s="179">
        <f>k.aT*AF45</f>
        <v>1.6931248461354049</v>
      </c>
      <c r="AG94" s="179">
        <f>k.w2T*AG45</f>
        <v>6.4600634734160833E-2</v>
      </c>
      <c r="AH94" s="179">
        <f>k.w3T*AH45</f>
        <v>6.8535135634983257E-2</v>
      </c>
      <c r="AI94" s="179">
        <f>k.sdT*AI45</f>
        <v>1.4438677251450531E-6</v>
      </c>
      <c r="AJ94" s="374">
        <f>k.sT*AJ45</f>
        <v>9.9556643588032795E-4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2.7755575615628914E-16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1.0580096758225707E-8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2024-07-23T10:44:00Z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