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D8C75C58-28BF-4627-96ED-547B60B2863D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I17" i="18"/>
  <c r="P6" i="2" l="1"/>
  <c r="U6" i="2"/>
  <c r="G6" i="2"/>
  <c r="BN12" i="23"/>
  <c r="S6" i="2"/>
  <c r="J6" i="2"/>
  <c r="E6" i="2"/>
  <c r="BQ12" i="23" s="1"/>
  <c r="O6" i="2"/>
  <c r="Z6" i="2"/>
  <c r="K6" i="2"/>
  <c r="M6" i="2"/>
  <c r="F6" i="2"/>
  <c r="D6" i="2"/>
  <c r="BP12" i="23" s="1"/>
  <c r="R6" i="2"/>
  <c r="J35" i="3"/>
  <c r="L35" i="3" s="1"/>
  <c r="J17" i="3"/>
  <c r="C5" i="23"/>
  <c r="P17" i="3"/>
  <c r="BO12" i="23"/>
  <c r="J15" i="3"/>
  <c r="L15" i="3" s="1"/>
  <c r="J37" i="3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J60" i="3"/>
  <c r="I54" i="3"/>
  <c r="I46" i="3"/>
  <c r="I63" i="3"/>
  <c r="I50" i="3"/>
  <c r="K96" i="8"/>
  <c r="L96" i="8" s="1"/>
  <c r="J42" i="3"/>
  <c r="I53" i="3"/>
  <c r="I60" i="3"/>
  <c r="I52" i="3"/>
  <c r="J54" i="3"/>
  <c r="I62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0" i="22" l="1"/>
  <c r="K28" i="3"/>
  <c r="L28" i="3" s="1"/>
  <c r="B336" i="22"/>
  <c r="K32" i="3"/>
  <c r="L32" i="3" s="1"/>
  <c r="K25" i="3"/>
  <c r="L25" i="3" s="1"/>
  <c r="B335" i="22"/>
  <c r="K33" i="3"/>
  <c r="L33" i="3" s="1"/>
  <c r="B328" i="22"/>
  <c r="K24" i="3"/>
  <c r="L24" i="3" s="1"/>
  <c r="B332" i="22"/>
  <c r="B333" i="22"/>
  <c r="B339" i="22"/>
  <c r="B338" i="22"/>
  <c r="K31" i="3"/>
  <c r="L31" i="3" s="1"/>
  <c r="K26" i="3"/>
  <c r="L26" i="3" s="1"/>
  <c r="K29" i="3"/>
  <c r="L29" i="3" s="1"/>
  <c r="K27" i="3"/>
  <c r="L27" i="3" s="1"/>
  <c r="B329" i="22"/>
  <c r="B334" i="22"/>
  <c r="B331" i="22"/>
  <c r="B337" i="22"/>
  <c r="K34" i="3"/>
  <c r="L34" i="3" s="1"/>
  <c r="I55" i="3"/>
  <c r="J56" i="3"/>
  <c r="J43" i="3"/>
  <c r="I42" i="3"/>
  <c r="K17" i="3" s="1"/>
  <c r="L17" i="3" s="1"/>
  <c r="J58" i="3"/>
  <c r="I49" i="3"/>
  <c r="J57" i="3"/>
  <c r="I57" i="3"/>
  <c r="I43" i="3"/>
  <c r="J46" i="3"/>
  <c r="J44" i="3"/>
  <c r="K18" i="3" s="1"/>
  <c r="L18" i="3" s="1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K75" i="3"/>
  <c r="K74" i="3"/>
  <c r="L74" i="3" s="1"/>
  <c r="L75" i="3"/>
  <c r="K211" i="6" s="1"/>
  <c r="L211" i="6" s="1"/>
  <c r="L652" i="18"/>
  <c r="P445" i="18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M222" i="18"/>
  <c r="N650" i="18"/>
  <c r="M652" i="18"/>
  <c r="M445" i="18"/>
  <c r="P222" i="18"/>
  <c r="P447" i="18"/>
  <c r="N220" i="18"/>
  <c r="P922" i="18"/>
  <c r="N222" i="18"/>
  <c r="L786" i="18"/>
  <c r="N652" i="18"/>
  <c r="N447" i="18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l="1"/>
  <c r="L19" i="3" s="1"/>
  <c r="K62" i="8"/>
  <c r="L62" i="8" s="1"/>
  <c r="B608" i="22"/>
  <c r="K61" i="8"/>
  <c r="L61" i="8" s="1"/>
  <c r="K82" i="7"/>
  <c r="L82" i="7" s="1"/>
  <c r="K76" i="7"/>
  <c r="L76" i="7" s="1"/>
  <c r="K76" i="6"/>
  <c r="L76" i="6" s="1"/>
  <c r="B604" i="22"/>
  <c r="B603" i="22"/>
  <c r="B610" i="22"/>
  <c r="B606" i="22"/>
  <c r="K198" i="8"/>
  <c r="L198" i="8" s="1"/>
  <c r="K333" i="8"/>
  <c r="L333" i="8" s="1"/>
  <c r="K334" i="8"/>
  <c r="L334" i="8" s="1"/>
  <c r="K88" i="7"/>
  <c r="L88" i="7" s="1"/>
  <c r="K197" i="8"/>
  <c r="L197" i="8" s="1"/>
  <c r="B605" i="22"/>
  <c r="B617" i="22"/>
  <c r="K94" i="7"/>
  <c r="L94" i="7" s="1"/>
  <c r="K66" i="8"/>
  <c r="L66" i="8" s="1"/>
  <c r="B625" i="22"/>
  <c r="K91" i="7"/>
  <c r="L91" i="7" s="1"/>
  <c r="K99" i="7"/>
  <c r="L99" i="7" s="1"/>
  <c r="B629" i="22"/>
  <c r="B615" i="22"/>
  <c r="B639" i="22"/>
  <c r="K191" i="8"/>
  <c r="L191" i="8" s="1"/>
  <c r="B638" i="22"/>
  <c r="K328" i="8"/>
  <c r="L328" i="8" s="1"/>
  <c r="K79" i="7"/>
  <c r="L79" i="7" s="1"/>
  <c r="B633" i="22"/>
  <c r="K98" i="6"/>
  <c r="L98" i="6" s="1"/>
  <c r="K88" i="6"/>
  <c r="L88" i="6" s="1"/>
  <c r="K207" i="8"/>
  <c r="L207" i="8" s="1"/>
  <c r="K327" i="8"/>
  <c r="L327" i="8" s="1"/>
  <c r="B632" i="22"/>
  <c r="K103" i="6"/>
  <c r="L103" i="6" s="1"/>
  <c r="B618" i="22"/>
  <c r="K202" i="8"/>
  <c r="L202" i="8" s="1"/>
  <c r="B626" i="22"/>
  <c r="B628" i="22"/>
  <c r="B623" i="22"/>
  <c r="K71" i="8"/>
  <c r="L71" i="8" s="1"/>
  <c r="B616" i="22"/>
  <c r="B640" i="22"/>
  <c r="K192" i="8"/>
  <c r="L192" i="8" s="1"/>
  <c r="K56" i="8"/>
  <c r="L56" i="8" s="1"/>
  <c r="B637" i="22"/>
  <c r="K67" i="6"/>
  <c r="L67" i="6" s="1"/>
  <c r="B634" i="22"/>
  <c r="K104" i="7"/>
  <c r="L104" i="7" s="1"/>
  <c r="B627" i="22"/>
  <c r="B621" i="22"/>
  <c r="K85" i="7"/>
  <c r="L85" i="7" s="1"/>
  <c r="B636" i="22"/>
  <c r="K109" i="7"/>
  <c r="L109" i="7" s="1"/>
  <c r="K73" i="6"/>
  <c r="L73" i="6" s="1"/>
  <c r="B620" i="22"/>
  <c r="B619" i="22"/>
  <c r="B624" i="22"/>
  <c r="K338" i="8"/>
  <c r="L338" i="8" s="1"/>
  <c r="K85" i="6"/>
  <c r="L85" i="6" s="1"/>
  <c r="K93" i="6"/>
  <c r="L93" i="6" s="1"/>
  <c r="K343" i="8"/>
  <c r="L343" i="8" s="1"/>
  <c r="B630" i="22"/>
  <c r="K79" i="6"/>
  <c r="L79" i="6" s="1"/>
  <c r="K78" i="6" s="1"/>
  <c r="L78" i="6" s="1"/>
  <c r="K55" i="8"/>
  <c r="L55" i="8" s="1"/>
  <c r="B635" i="22"/>
  <c r="B641" i="22"/>
  <c r="K73" i="7"/>
  <c r="L73" i="7" s="1"/>
  <c r="B631" i="22"/>
  <c r="B622" i="22"/>
  <c r="B642" i="22"/>
  <c r="B560" i="22"/>
  <c r="B569" i="22"/>
  <c r="K410" i="8"/>
  <c r="L410" i="8" s="1"/>
  <c r="K215" i="7"/>
  <c r="L215" i="7" s="1"/>
  <c r="P788" i="18"/>
  <c r="B559" i="22"/>
  <c r="B555" i="22"/>
  <c r="B556" i="22"/>
  <c r="K138" i="8"/>
  <c r="L138" i="8" s="1"/>
  <c r="K82" i="6"/>
  <c r="L82" i="6" s="1"/>
  <c r="K70" i="6"/>
  <c r="L70" i="6" s="1"/>
  <c r="I8" i="16"/>
  <c r="AC13" i="23"/>
  <c r="AS28" i="23" s="1"/>
  <c r="O220" i="18"/>
  <c r="K213" i="7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153" i="6" l="1"/>
  <c r="L153" i="6" s="1"/>
  <c r="B578" i="22"/>
  <c r="K164" i="6"/>
  <c r="L164" i="6" s="1"/>
  <c r="B5" i="22"/>
  <c r="K202" i="6"/>
  <c r="L202" i="6" s="1"/>
  <c r="K190" i="6" s="1"/>
  <c r="L190" i="6" s="1"/>
  <c r="B513" i="22"/>
  <c r="B760" i="22"/>
  <c r="K170" i="7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Z48" i="11" l="1"/>
  <c r="S48" i="11"/>
  <c r="R48" i="11"/>
  <c r="AD48" i="11"/>
  <c r="H48" i="11"/>
  <c r="Y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O38" i="23" l="1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<sst xmlns="http://schemas.openxmlformats.org/spreadsheetml/2006/main" count="14981" uniqueCount="4056">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</sst>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81" formatCode="0.000000E+00_)"/>
    <numFmt numFmtId="182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2" fontId="0" fillId="2" borderId="11" xfId="8" applyNumberFormat="1" applyFont="1" applyFill="1" applyBorder="1" applyAlignment="1" applyProtection="1">
      <alignment horizontal="right"/>
    </xf>
    <xf numFmtId="181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F1" zoomScaleNormal="100" workbookViewId="0">
      <selection activeCell="I7" sqref="I7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1.0271107499999999E-5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0.11374483996689287</v>
      </c>
      <c r="AY8" s="75"/>
      <c r="AZ8" s="295">
        <f>output!AF12</f>
        <v>4.6193529842832316E-6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1.8845871526417084E-3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0.11878757858879964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12609.955270510476</v>
      </c>
      <c r="D11" s="117">
        <f>C11/$C$51</f>
        <v>1.0782151670780354E-3</v>
      </c>
      <c r="E11" s="517">
        <f>M.aC*Molweight</f>
        <v>6273.8027968449178</v>
      </c>
      <c r="F11" s="117">
        <f>E11/$E$51</f>
        <v>3.2515367981957228E-3</v>
      </c>
      <c r="G11" s="517">
        <f>M.aM*Molweight</f>
        <v>473.01594826171919</v>
      </c>
      <c r="H11" s="117">
        <f>G11/$G$51</f>
        <v>8.9685030551660651E-4</v>
      </c>
      <c r="I11" s="517">
        <f>M.aA*Molweight</f>
        <v>10.766234855643514</v>
      </c>
      <c r="J11" s="117">
        <f>I11/$I$51</f>
        <v>4.1215444195352061E-5</v>
      </c>
      <c r="K11" s="517">
        <f>M.aT*Molweight</f>
        <v>16.296532259157704</v>
      </c>
      <c r="L11" s="118">
        <f>K11/$K$51</f>
        <v>5.5273318692824498E-3</v>
      </c>
      <c r="M11" s="320">
        <f>C.aR*(Molweight*1000)</f>
        <v>5.4928585052535073E-8</v>
      </c>
      <c r="N11" s="320">
        <f>C.aC*(Molweight*1000)</f>
        <v>8.7145227584052751E-10</v>
      </c>
      <c r="O11" s="320">
        <f>C.aM*(Molweight*1000)</f>
        <v>6.0978310277311649E-12</v>
      </c>
      <c r="P11" s="320">
        <f>C.aA*(Molweight*1000)</f>
        <v>2.5332317307396502E-13</v>
      </c>
      <c r="Q11" s="321">
        <f>C.aT*(Molweight*1000)</f>
        <v>1.2781593928751141E-13</v>
      </c>
      <c r="R11" s="119" t="s">
        <v>1493</v>
      </c>
      <c r="S11" s="323">
        <f>F.aR</f>
        <v>5.8046888322242141E-7</v>
      </c>
      <c r="T11" s="323">
        <f>F.aC</f>
        <v>9.2092474046979369E-9</v>
      </c>
      <c r="U11" s="323">
        <f>F.aM</f>
        <v>6.4440057273654081E-11</v>
      </c>
      <c r="V11" s="323">
        <f>F.aA</f>
        <v>2.4703946589350485E-12</v>
      </c>
      <c r="W11" s="324">
        <f>F.aT</f>
        <v>1.4123324963537518E-12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1.0782151670780354E-3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12308.235524509038</v>
      </c>
      <c r="D12" s="122">
        <f>C12/$C$51</f>
        <v>1.0524165976646713E-3</v>
      </c>
      <c r="E12" s="318">
        <f>FRgas.aC*E11</f>
        <v>6123.6888475310807</v>
      </c>
      <c r="F12" s="122">
        <f>E12/$E$51</f>
        <v>3.1737369300899074E-3</v>
      </c>
      <c r="G12" s="318">
        <f>FRgas.aM*G11</f>
        <v>461.69804516828674</v>
      </c>
      <c r="H12" s="122">
        <f>G12/$G$51</f>
        <v>8.7539127250840863E-4</v>
      </c>
      <c r="I12" s="318">
        <f>FRgas.aA*I11</f>
        <v>10.382583813804695</v>
      </c>
      <c r="J12" s="122">
        <f>I12/$I$51</f>
        <v>3.9746746148410617E-5</v>
      </c>
      <c r="K12" s="318">
        <f>FRgas.aT*K11</f>
        <v>15.911875243651542</v>
      </c>
      <c r="L12" s="123">
        <f>K12/$K$51</f>
        <v>5.3968668754580413E-3</v>
      </c>
      <c r="M12" s="320">
        <f>FRgas.aR*M11</f>
        <v>5.3614302933785066E-8</v>
      </c>
      <c r="N12" s="320">
        <f>FRgas.aC*N11</f>
        <v>8.5060094419989312E-10</v>
      </c>
      <c r="O12" s="320">
        <f>FRgas.aM*O11</f>
        <v>5.9519275737237297E-12</v>
      </c>
      <c r="P12" s="320">
        <f>FRgas.aA*P11</f>
        <v>2.4429608973658106E-13</v>
      </c>
      <c r="Q12" s="320">
        <f>FRgas.aT*Q11</f>
        <v>1.2479902151883564E-13</v>
      </c>
      <c r="R12" s="120" t="s">
        <v>1493</v>
      </c>
      <c r="S12" s="325">
        <f>S11*FRgas.aR</f>
        <v>5.6657994228246535E-7</v>
      </c>
      <c r="T12" s="325">
        <f>T11*FRgas.aC</f>
        <v>8.9888967588627452E-9</v>
      </c>
      <c r="U12" s="325">
        <f>U11*FRgas.aM</f>
        <v>6.2898193143620728E-11</v>
      </c>
      <c r="V12" s="325">
        <f>V11*FRgas.aA</f>
        <v>2.3823630028025728E-12</v>
      </c>
      <c r="W12" s="326">
        <f>W11*FRgas.aT</f>
        <v>1.3789963488647964E-12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1.8845871526417084E-3</v>
      </c>
      <c r="AE12" s="325">
        <f>k.aR.aC*M.aR*Molweight</f>
        <v>0.11878757858879964</v>
      </c>
      <c r="AF12" s="325">
        <f>kesc.aR*M.aR*Molweight</f>
        <v>4.6193529842832316E-6</v>
      </c>
      <c r="AG12" s="326">
        <f>KDEG.aR*M.aR*Molweight</f>
        <v>0.11374483996689287</v>
      </c>
      <c r="AH12" s="325">
        <f>SUM(AH13:AH15)</f>
        <v>4.1161332595633596E-3</v>
      </c>
      <c r="AI12" s="325">
        <f>SUM(AI13:AI15)</f>
        <v>1.3210425041728307E-4</v>
      </c>
      <c r="AJ12" s="325">
        <f>SUM(AJ18:AJ20)</f>
        <v>8.2644182566253832E-2</v>
      </c>
      <c r="AK12" s="325">
        <f>SUM(AK18:AK20)</f>
        <v>1.8274249378908198E-4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56239.208235262136</v>
      </c>
      <c r="BS12" s="425"/>
      <c r="BT12" s="425">
        <f>engine!F45</f>
        <v>9211394.5677214321</v>
      </c>
      <c r="BU12" s="425">
        <f>engine!G45</f>
        <v>460739.95300274662</v>
      </c>
      <c r="BV12" s="425">
        <f>engine!H45</f>
        <v>3324057.50949373</v>
      </c>
      <c r="BW12" s="425">
        <f>engine!I45</f>
        <v>42032.559583117116</v>
      </c>
      <c r="BX12" s="425">
        <f>engine!J45</f>
        <v>2133176.8625470279</v>
      </c>
      <c r="BY12" s="425">
        <f>engine!K45</f>
        <v>36044236.334257238</v>
      </c>
      <c r="BZ12" s="425">
        <f>engine!L45</f>
        <v>790009.42716784193</v>
      </c>
      <c r="CA12" s="425">
        <f>engine!M45</f>
        <v>27980.56728590187</v>
      </c>
      <c r="CB12" s="425">
        <f>engine!N45</f>
        <v>8999.6059478510379</v>
      </c>
      <c r="CC12" s="425">
        <f>engine!O45</f>
        <v>54023.682151279427</v>
      </c>
      <c r="CD12" s="425">
        <f>engine!P45</f>
        <v>6547555.2948771594</v>
      </c>
      <c r="CE12" s="425">
        <f>engine!Q45</f>
        <v>19495.183386752251</v>
      </c>
      <c r="CF12" s="425">
        <f>engine!R45</f>
        <v>29866.143174915596</v>
      </c>
      <c r="CG12" s="425">
        <f>engine!S45</f>
        <v>515965.46334432811</v>
      </c>
      <c r="CH12" s="425">
        <f>engine!T45</f>
        <v>1210365.3664078964</v>
      </c>
      <c r="CI12" s="425">
        <f>engine!U45</f>
        <v>191084.88443005277</v>
      </c>
      <c r="CJ12" s="425">
        <f>engine!V45</f>
        <v>2109.606405591469</v>
      </c>
      <c r="CK12" s="425">
        <f>engine!W45</f>
        <v>608135.62154012755</v>
      </c>
      <c r="CL12" s="611"/>
      <c r="CM12" s="425">
        <f>engine!Y45</f>
        <v>484.23651717950929</v>
      </c>
      <c r="CN12" s="425">
        <f>engine!Z45</f>
        <v>149121.93976820959</v>
      </c>
      <c r="CO12" s="425">
        <f>engine!AA45</f>
        <v>48.016389508712486</v>
      </c>
      <c r="CP12" s="425">
        <f>engine!AB45</f>
        <v>114970.72604944151</v>
      </c>
      <c r="CQ12" s="425"/>
      <c r="CR12" s="425">
        <f>engine!AD45</f>
        <v>366.6042021310119</v>
      </c>
      <c r="CS12" s="425">
        <f>engine!AE45</f>
        <v>11901.471267134048</v>
      </c>
      <c r="CT12" s="425">
        <f>engine!AF45</f>
        <v>72.680993038790945</v>
      </c>
      <c r="CU12" s="425">
        <f>engine!AG45</f>
        <v>1250.6480505583907</v>
      </c>
      <c r="CV12" s="425"/>
      <c r="CW12" s="425">
        <f>engine!AI45</f>
        <v>2.5476681922633966</v>
      </c>
      <c r="CX12" s="425">
        <f>engine!AJ45</f>
        <v>1265.6158526104971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301.71974600143858</v>
      </c>
      <c r="D13" s="122">
        <f>C13/$C$51</f>
        <v>2.5798569413364302E-5</v>
      </c>
      <c r="E13" s="318">
        <f>(1-FRgas.aC)*E11</f>
        <v>150.11394931383717</v>
      </c>
      <c r="F13" s="122">
        <f>E13/$E$51</f>
        <v>7.7799868105815197E-5</v>
      </c>
      <c r="G13" s="318">
        <f>(1-FRgas.aM)*G11</f>
        <v>11.317903093432465</v>
      </c>
      <c r="H13" s="122">
        <f>G13/$G$51</f>
        <v>2.1459033008197879E-5</v>
      </c>
      <c r="I13" s="318">
        <f>(1-FRgas.aA)*I11</f>
        <v>0.3836510418388191</v>
      </c>
      <c r="J13" s="122">
        <f>I13/$I$51</f>
        <v>1.4686980469414438E-6</v>
      </c>
      <c r="K13" s="318">
        <f>(1-FRgas.aT)*K11</f>
        <v>0.38465701550616238</v>
      </c>
      <c r="L13" s="123">
        <f>K13/$K$51</f>
        <v>1.3046499382440857E-4</v>
      </c>
      <c r="M13" s="320">
        <f>(1-FRgas.aR)*M11</f>
        <v>1.3142821187500048E-9</v>
      </c>
      <c r="N13" s="320">
        <f>(1-FRgas.aC)*N11</f>
        <v>2.0851331640634395E-11</v>
      </c>
      <c r="O13" s="320">
        <f>(1-FRgas.aM)*O11</f>
        <v>1.4590345400743504E-13</v>
      </c>
      <c r="P13" s="320">
        <f>(1-FRgas.aA)*P11</f>
        <v>9.027083337383978E-15</v>
      </c>
      <c r="Q13" s="320">
        <f>(1-FRgas.aT)*Q11</f>
        <v>3.0169177686757835E-15</v>
      </c>
      <c r="R13" s="120" t="s">
        <v>1493</v>
      </c>
      <c r="S13" s="325">
        <f>S11*(1-FRgas.aR)</f>
        <v>1.3888940939956065E-8</v>
      </c>
      <c r="T13" s="325">
        <f>T11*(1-FRgas.aC)</f>
        <v>2.2035064583519219E-10</v>
      </c>
      <c r="U13" s="325">
        <f>U11*(1-FRgas.aM)</f>
        <v>1.5418641300333478E-12</v>
      </c>
      <c r="V13" s="325">
        <f>V11*(1-FRgas.aA)</f>
        <v>8.8031656132475845E-14</v>
      </c>
      <c r="W13" s="326">
        <f>W11*(1-FRgas.aT)</f>
        <v>3.3336147488955489E-14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5.2490683989786516E-5</v>
      </c>
      <c r="AF13" s="330"/>
      <c r="AG13" s="326">
        <f>KDEG.w0R*M.w0R*Molweight</f>
        <v>1.9018298982496657E-3</v>
      </c>
      <c r="AH13" s="325">
        <f>k.aR.w0R*M.aR*Molweight</f>
        <v>2.993549080253519E-4</v>
      </c>
      <c r="AI13" s="325">
        <f>k.w0R.aR*M.w0R*Molweight</f>
        <v>4.1459731753873814E-8</v>
      </c>
      <c r="AJ13" s="325"/>
      <c r="AK13" s="325"/>
      <c r="AL13" s="631">
        <f>SUM(AL18:AL20)*AREAFRAC.w0R/(AREAFRAC.w0R+AREAFRAC.w1R)</f>
        <v>1.6550071339458544E-3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5.2490683989786509E-5</v>
      </c>
      <c r="AE14" s="325">
        <f>(WATERflow.w1R.w0R+WATERflow.w1R.w2R)*C.w1R*Molweight</f>
        <v>0.15003790192840902</v>
      </c>
      <c r="AF14" s="330"/>
      <c r="AG14" s="326">
        <f>KDEG.w1R*M.w1R*Molweight</f>
        <v>0.1791271667717505</v>
      </c>
      <c r="AH14" s="325">
        <f>k.aR.w1R*M.aR*Molweight</f>
        <v>3.2929039882788713E-3</v>
      </c>
      <c r="AI14" s="325">
        <f>k.w1R.aR*M.w1R*Molweight</f>
        <v>1.3016523877035785E-4</v>
      </c>
      <c r="AJ14" s="325"/>
      <c r="AK14" s="325"/>
      <c r="AL14" s="631">
        <f>SUM(AL18:AL20)*AREAFRAC.w1R/(AREAFRAC.w0R+AREAFRAC.w1R)</f>
        <v>1.8205078473404399E-2</v>
      </c>
      <c r="AM14" s="325">
        <f>k.w1R.sd1R*M.w1R*Molweight</f>
        <v>5.4635685533734789E-2</v>
      </c>
      <c r="AN14" s="326">
        <f>k.sd1R.w1R*M.sd1R*Molweight</f>
        <v>4.5282526489345748E-2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21896.113892882375</v>
      </c>
      <c r="D15" s="122">
        <f>C15/$C$51</f>
        <v>1.872228853545976E-3</v>
      </c>
      <c r="E15" s="318">
        <f>M.w0C*Molweight</f>
        <v>2017.8916456271597</v>
      </c>
      <c r="F15" s="122">
        <f>E15/$E$51</f>
        <v>1.0458168917626914E-3</v>
      </c>
      <c r="G15" s="318"/>
      <c r="H15" s="122"/>
      <c r="I15" s="318"/>
      <c r="J15" s="122"/>
      <c r="K15" s="318"/>
      <c r="L15" s="123"/>
      <c r="M15" s="320">
        <f>C.w0R*Molweight</f>
        <v>3.8318438802786675E-7</v>
      </c>
      <c r="N15" s="320">
        <f>C.w0C*Molweight</f>
        <v>2.3155298529217174E-9</v>
      </c>
      <c r="O15" s="320"/>
      <c r="P15" s="320"/>
      <c r="Q15" s="320"/>
      <c r="R15" s="120" t="s">
        <v>1489</v>
      </c>
      <c r="S15" s="325">
        <f>F.w0R</f>
        <v>1.9906202786938825E-10</v>
      </c>
      <c r="T15" s="325">
        <f>F.w0C</f>
        <v>1.2029040913879361E-12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0.15006227260349936</v>
      </c>
      <c r="AE15" s="325">
        <f>k.w2R.w2C*M.w2R*Molweight</f>
        <v>0.14151570766140284</v>
      </c>
      <c r="AF15" s="330"/>
      <c r="AG15" s="326">
        <f>KDEG.w2R*M.w2R*Molweight</f>
        <v>8.9689421944363131E-3</v>
      </c>
      <c r="AH15" s="325">
        <f>k.aR.w2R*M.aR*Molweight</f>
        <v>5.2387436325913666E-4</v>
      </c>
      <c r="AI15" s="325">
        <f>k.w2R.aR*M.w2R*Molweight</f>
        <v>1.8975519151713241E-6</v>
      </c>
      <c r="AJ15" s="325"/>
      <c r="AK15" s="325"/>
      <c r="AL15" s="631"/>
      <c r="AM15" s="325">
        <f>k.w2R.sd2R*M.w2R*Molweight</f>
        <v>5.1129122765859508E-4</v>
      </c>
      <c r="AN15" s="326">
        <f>k.sd2R.w2R*M.sd2R*Molweight</f>
        <v>4.1169166865440284E-4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21889.216365291468</v>
      </c>
      <c r="D16" s="122">
        <f>C16/$C$51</f>
        <v>1.871639079934229E-3</v>
      </c>
      <c r="E16" s="318">
        <f>FRw.w0C*E15</f>
        <v>2017.2559865613885</v>
      </c>
      <c r="F16" s="122">
        <f>E16/$E$51</f>
        <v>1.0454874474192222E-3</v>
      </c>
      <c r="G16" s="318"/>
      <c r="H16" s="122"/>
      <c r="I16" s="318"/>
      <c r="J16" s="122"/>
      <c r="K16" s="318"/>
      <c r="L16" s="123"/>
      <c r="M16" s="320">
        <f>M15*FRw.w0R</f>
        <v>3.8306368054060411E-7</v>
      </c>
      <c r="N16" s="320">
        <f>N15*FRw.w0C</f>
        <v>2.3148004343990416E-9</v>
      </c>
      <c r="O16" s="320"/>
      <c r="P16" s="320"/>
      <c r="Q16" s="320"/>
      <c r="R16" s="120" t="s">
        <v>1489</v>
      </c>
      <c r="S16" s="325">
        <f>S15*FRw.w0R</f>
        <v>1.9899932104222031E-10</v>
      </c>
      <c r="T16" s="325">
        <f>T15*FRw.w0C</f>
        <v>1.2025251627707326E-12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2.1579763748969544E-3</v>
      </c>
      <c r="AG16" s="326">
        <f>KDEG.sd1R*M.sd1R*Molweight</f>
        <v>7.1951826694920786E-3</v>
      </c>
      <c r="AH16" s="325"/>
      <c r="AI16" s="325"/>
      <c r="AJ16" s="325"/>
      <c r="AK16" s="325"/>
      <c r="AL16" s="631"/>
      <c r="AM16" s="325">
        <f>k.w1R.sd1R*M.w1R*Molweight</f>
        <v>5.4635685533734789E-2</v>
      </c>
      <c r="AN16" s="326">
        <f>k.sd1R.w1R*M.sd1R*Molweight</f>
        <v>4.5282526489345748E-2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6.8975275909055593</v>
      </c>
      <c r="D17" s="122">
        <f>C17/$C$51</f>
        <v>5.8977361174672364E-7</v>
      </c>
      <c r="E17" s="318">
        <f>(1-FRw.w0C)*E15</f>
        <v>0.63565906577128017</v>
      </c>
      <c r="F17" s="122">
        <f>E17/$E$51</f>
        <v>3.2944434346923634E-7</v>
      </c>
      <c r="G17" s="318"/>
      <c r="H17" s="122"/>
      <c r="I17" s="318"/>
      <c r="J17" s="122"/>
      <c r="K17" s="318"/>
      <c r="L17" s="123"/>
      <c r="M17" s="320">
        <f>M16*Kp.susp1R</f>
        <v>3.9149232886125519E-5</v>
      </c>
      <c r="N17" s="320">
        <f>N16*Kp.susp1C</f>
        <v>2.3657335815105224E-7</v>
      </c>
      <c r="O17" s="320"/>
      <c r="P17" s="320"/>
      <c r="Q17" s="320"/>
      <c r="R17" s="120" t="s">
        <v>1494</v>
      </c>
      <c r="S17" s="325">
        <f>S15*(1-FRw.w0R)</f>
        <v>6.2706827167949675E-14</v>
      </c>
      <c r="T17" s="325">
        <f>T15*(1-FRw.w0C)</f>
        <v>3.7892861720355517E-16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8.6167936931011765E-6</v>
      </c>
      <c r="AG17" s="326">
        <f>KDEG.sd2R*M.sd2R*Molweight</f>
        <v>9.0982765311090926E-5</v>
      </c>
      <c r="AH17" s="325"/>
      <c r="AI17" s="325"/>
      <c r="AJ17" s="325"/>
      <c r="AK17" s="325"/>
      <c r="AL17" s="631"/>
      <c r="AM17" s="325">
        <f>k.w2R.sd2R*M.w2R*Molweight</f>
        <v>5.1129122765859508E-4</v>
      </c>
      <c r="AN17" s="326">
        <f>k.sd2R.w2R*M.sd2R*Molweight</f>
        <v>4.1169166865440284E-4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1.4683054852982084E-5</v>
      </c>
      <c r="AG18" s="326">
        <f>KDEG.s1R*M.s1R*Molweight</f>
        <v>2.077842731912868E-2</v>
      </c>
      <c r="AH18" s="325"/>
      <c r="AI18" s="325"/>
      <c r="AJ18" s="325">
        <f>k.aR.s1R*M.aR*Molweight</f>
        <v>2.3004050817410863E-2</v>
      </c>
      <c r="AK18" s="325">
        <f>k.s1R.aR*M.s1R*Molweight</f>
        <v>2.021797048875898E-5</v>
      </c>
      <c r="AL18" s="631">
        <f>(k.s1R.w1R+k.s1R.w0R)*M.s1R*Molweight</f>
        <v>2.190722472940439E-3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2065378.8899744996</v>
      </c>
      <c r="D19" s="122">
        <f>C19/$C$51</f>
        <v>0.17660037622347191</v>
      </c>
      <c r="E19" s="318">
        <f>M.w1C*Molweight</f>
        <v>12113.190011959874</v>
      </c>
      <c r="F19" s="122">
        <f>E19/$E$51</f>
        <v>6.2779281311219721E-3</v>
      </c>
      <c r="G19" s="318"/>
      <c r="H19" s="122"/>
      <c r="I19" s="318"/>
      <c r="J19" s="122"/>
      <c r="K19" s="318"/>
      <c r="L19" s="123"/>
      <c r="M19" s="320">
        <f>C.w1R*Molweight</f>
        <v>1.0952835295994461E-4</v>
      </c>
      <c r="N19" s="320">
        <f>C.w1C*Molweight</f>
        <v>4.2120850526562785E-8</v>
      </c>
      <c r="O19" s="320"/>
      <c r="P19" s="320"/>
      <c r="Q19" s="320"/>
      <c r="R19" s="120" t="s">
        <v>1489</v>
      </c>
      <c r="S19" s="325">
        <f>F.w1R</f>
        <v>5.6899332881524095E-8</v>
      </c>
      <c r="T19" s="325">
        <f>F.w1C</f>
        <v>2.1881533234050262E-11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1.1298530978311495E-4</v>
      </c>
      <c r="AG19" s="326">
        <f>KDEG.s2R*M.s2R*Molweight</f>
        <v>0.35109256906650427</v>
      </c>
      <c r="AH19" s="325"/>
      <c r="AI19" s="325"/>
      <c r="AJ19" s="325">
        <f>k.aR.s2R*M.aR*Molweight</f>
        <v>5.1120112927579689E-2</v>
      </c>
      <c r="AK19" s="325">
        <f>k.s2R.aR*M.s2R*Molweight</f>
        <v>1.5505621128808077E-4</v>
      </c>
      <c r="AL19" s="631">
        <f>(k.s2R.w1R+k.s2R.w0R)*M.s2R*Molweight</f>
        <v>1.6857422177650086E-2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2061674.0298262816</v>
      </c>
      <c r="D20" s="122">
        <f>C20/$C$51</f>
        <v>0.17628359187983086</v>
      </c>
      <c r="E20" s="318">
        <f>FRw.w1C*E19</f>
        <v>12091.461468513951</v>
      </c>
      <c r="F20" s="122">
        <f>E20/$E$51</f>
        <v>6.2666668338078229E-3</v>
      </c>
      <c r="G20" s="318"/>
      <c r="H20" s="122"/>
      <c r="I20" s="318"/>
      <c r="J20" s="122"/>
      <c r="K20" s="318"/>
      <c r="L20" s="123"/>
      <c r="M20" s="320">
        <f>M19*FRw.w1R</f>
        <v>1.0933188187565543E-4</v>
      </c>
      <c r="N20" s="320">
        <f>N19*FRw.w1C</f>
        <v>4.2045294481479532E-8</v>
      </c>
      <c r="O20" s="320"/>
      <c r="P20" s="320"/>
      <c r="Q20" s="320"/>
      <c r="R20" s="120" t="s">
        <v>1489</v>
      </c>
      <c r="S20" s="325">
        <f>S19*FRw.w1R</f>
        <v>5.6797267312888622E-8</v>
      </c>
      <c r="T20" s="325">
        <f>T19*FRw.w1C</f>
        <v>2.1842282314592214E-11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5.4419590111899702E-6</v>
      </c>
      <c r="AG20" s="326">
        <f>KDEG.s3R*M.s3R*Molweight</f>
        <v>7.695167593480122E-3</v>
      </c>
      <c r="AH20" s="325"/>
      <c r="AI20" s="325"/>
      <c r="AJ20" s="325">
        <f>k.aR.s3R*M.aR*Molweight</f>
        <v>8.5200188212632803E-3</v>
      </c>
      <c r="AK20" s="325">
        <f>k.s3R.aR*M.s3R*Molweight</f>
        <v>7.4683120122422303E-6</v>
      </c>
      <c r="AL20" s="631">
        <f>(k.s3R.w1R+k.s3R.w0R)*M.s3R*Molweight</f>
        <v>8.1194095675972736E-4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2.021797048875898E-5</v>
      </c>
      <c r="BE20" s="2"/>
      <c r="BF20" s="296">
        <f>IF(output!AK20&lt;0,"",output!AK20)</f>
        <v>7.4683120122422303E-6</v>
      </c>
      <c r="BG20" s="75"/>
      <c r="BH20" s="296">
        <f>IF(output!AK19&lt;0,"",output!AK19)</f>
        <v>1.5505621128808077E-4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3704.860148218097</v>
      </c>
      <c r="D21" s="122">
        <f>C21/$C$51</f>
        <v>3.1678434364105563E-4</v>
      </c>
      <c r="E21" s="318">
        <f>(1-FRw.w1C)*E19</f>
        <v>21.72854344592324</v>
      </c>
      <c r="F21" s="122">
        <f>E21/$E$51</f>
        <v>1.1261297314149597E-5</v>
      </c>
      <c r="G21" s="318"/>
      <c r="H21" s="122"/>
      <c r="I21" s="318"/>
      <c r="J21" s="122"/>
      <c r="K21" s="318"/>
      <c r="L21" s="123"/>
      <c r="M21" s="320">
        <f>M20*Kp.susp1R</f>
        <v>1.1173753928818891E-2</v>
      </c>
      <c r="N21" s="320">
        <f>N20*Kp.susp1C</f>
        <v>4.2970427869804081E-6</v>
      </c>
      <c r="O21" s="320"/>
      <c r="P21" s="320"/>
      <c r="Q21" s="320"/>
      <c r="R21" s="120" t="s">
        <v>1494</v>
      </c>
      <c r="S21" s="325">
        <f>S19*(1-FRw.w1R)</f>
        <v>1.0206556863547536E-10</v>
      </c>
      <c r="T21" s="325">
        <f>T19*(1-FRw.w1C)</f>
        <v>3.9250919458048489E-14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1.8975519151713241E-6</v>
      </c>
      <c r="AV21" s="75"/>
      <c r="AW21" s="75"/>
      <c r="AX21" s="288">
        <f>IF(output!AI14&lt;0,"",output!AI14)</f>
        <v>1.3016523877035785E-4</v>
      </c>
      <c r="AY21" s="75"/>
      <c r="AZ21" s="75"/>
      <c r="BA21" s="296">
        <f>IF(output!AI13&lt;0,"",output!AI13)</f>
        <v>4.1459731753873814E-8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0.11884823873338524</v>
      </c>
      <c r="AE22" s="325">
        <f>(k.aC.aM+k.aC.aR)*M.aC*Molweight</f>
        <v>1.0553640265385826E-2</v>
      </c>
      <c r="AF22" s="325">
        <f>kesc.aC*M.aC*Molweight</f>
        <v>2.2982563419701051E-6</v>
      </c>
      <c r="AG22" s="326">
        <f>KDEG.aC*M.aC*Molweight</f>
        <v>5.659121541690304E-2</v>
      </c>
      <c r="AH22" s="325">
        <f>SUM(AH23:AH25)</f>
        <v>3.1725408506212423E-2</v>
      </c>
      <c r="AI22" s="325">
        <f>SUM(AI23:AI25)</f>
        <v>2.1155251019865755E-6</v>
      </c>
      <c r="AJ22" s="325">
        <f>SUM(AJ28:AJ30)</f>
        <v>1.9989689884220899E-2</v>
      </c>
      <c r="AK22" s="325">
        <f>SUM(AK28:AK30)</f>
        <v>1.189807057691824E-5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2.3004050817410863E-2</v>
      </c>
      <c r="BE22" s="2"/>
      <c r="BF22" s="296">
        <f>IF(output!AJ20&lt;0,"",output!AJ20)</f>
        <v>8.5200188212632803E-3</v>
      </c>
      <c r="BG22" s="75"/>
      <c r="BH22" s="296">
        <f>IF(output!AJ19&lt;0,"",output!AJ19)</f>
        <v>5.1120112927579689E-2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745320.17477868416</v>
      </c>
      <c r="D23" s="122">
        <f>C23/$C$51</f>
        <v>6.3728657202691066E-2</v>
      </c>
      <c r="E23" s="318">
        <f>M.sd1C*Molweight</f>
        <v>4371.2100189775902</v>
      </c>
      <c r="F23" s="122">
        <f>E23/$E$51</f>
        <v>2.2654760899553971E-3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3.0403693656248457E-3</v>
      </c>
      <c r="N23" s="320">
        <f>C.sd1C*(Molweight*1000)/(FRACw.sdC*1000+FRACs.sdC*RHOsolid)</f>
        <v>1.1692218510932807E-6</v>
      </c>
      <c r="O23" s="320"/>
      <c r="P23" s="320"/>
      <c r="Q23" s="320"/>
      <c r="R23" s="120" t="s">
        <v>1495</v>
      </c>
      <c r="S23" s="325">
        <f>F.sd1R</f>
        <v>7.7748178565582149E-8</v>
      </c>
      <c r="T23" s="325">
        <f>F.sd1C</f>
        <v>2.9899284701843597E-11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4.8374114792431911E-6</v>
      </c>
      <c r="AF23" s="330"/>
      <c r="AG23" s="326">
        <f>KDEG.w0C*M.w0C*Molweight</f>
        <v>1.75267934842513E-4</v>
      </c>
      <c r="AH23" s="325">
        <f>k.aC.w0C*M.aC*Molweight</f>
        <v>7.2413650259366846E-5</v>
      </c>
      <c r="AI23" s="325">
        <f>k.w0C.aC*M.w0C*Molweight</f>
        <v>3.8208262317853687E-9</v>
      </c>
      <c r="AJ23" s="325"/>
      <c r="AK23" s="325"/>
      <c r="AL23" s="631">
        <f>SUM(AL28:AL30)*AREAFRAC.w0C/(AREAFRAC.w1C+AREAFRAC.w0C)</f>
        <v>1.0769551688862114E-4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5.2387436325913666E-4</v>
      </c>
      <c r="AV23" s="75"/>
      <c r="AW23" s="75"/>
      <c r="AX23" s="288">
        <f>IF(output!AH14&lt;0,"",output!AH14)</f>
        <v>3.2929039882788713E-3</v>
      </c>
      <c r="AY23" s="291">
        <f>output!AL14</f>
        <v>1.8205078473404399E-2</v>
      </c>
      <c r="AZ23" s="87"/>
      <c r="BA23" s="296">
        <f>IF(output!AH13&lt;0,"",output!AH13)</f>
        <v>2.993549080253519E-4</v>
      </c>
      <c r="BB23" s="291">
        <f>output!AL13</f>
        <v>1.6550071339458544E-3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596256.13982294733</v>
      </c>
      <c r="D24" s="122">
        <f>C24/$C$51</f>
        <v>5.0982925762152853E-2</v>
      </c>
      <c r="E24" s="318">
        <f>E23*FRACw.sdC</f>
        <v>3496.9680151820721</v>
      </c>
      <c r="F24" s="122">
        <f>E24/$E$51</f>
        <v>1.8123808719643175E-3</v>
      </c>
      <c r="G24" s="318"/>
      <c r="H24" s="122"/>
      <c r="I24" s="318"/>
      <c r="J24" s="122"/>
      <c r="K24" s="318"/>
      <c r="L24" s="123"/>
      <c r="M24" s="320">
        <f>M25/Kp.sd1R</f>
        <v>1.4966133191148554E-4</v>
      </c>
      <c r="N24" s="320">
        <f>N25/Kp.sd1C</f>
        <v>5.7554618696360363E-8</v>
      </c>
      <c r="O24" s="320"/>
      <c r="P24" s="320"/>
      <c r="Q24" s="320"/>
      <c r="R24" s="120" t="s">
        <v>1489</v>
      </c>
      <c r="S24" s="325">
        <f>S23*FRACw.sdR</f>
        <v>6.2198542852465717E-8</v>
      </c>
      <c r="T24" s="325">
        <f>T23*FRACw.sdC</f>
        <v>2.391942776147488E-11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4.8374114792431911E-6</v>
      </c>
      <c r="AE24" s="325">
        <f>(k.w1C.w0C+k.w1C.w1R+k.w1C.w2C)*M.w1C*Molweight</f>
        <v>8.7995361232585218E-4</v>
      </c>
      <c r="AF24" s="330"/>
      <c r="AG24" s="326">
        <f>KDEG.w1C*M.w1C*Molweight</f>
        <v>1.0505585284824076E-3</v>
      </c>
      <c r="AH24" s="325">
        <f>k.aC.w1C*M.aC*Molweight</f>
        <v>7.9655015285303517E-4</v>
      </c>
      <c r="AI24" s="325">
        <f>k.w1C.aC*M.w1C*Molweight</f>
        <v>7.6340291741673509E-7</v>
      </c>
      <c r="AJ24" s="518"/>
      <c r="AK24" s="518"/>
      <c r="AL24" s="631">
        <f>SUM(AL28:AL30)*AREAFRAC.w1C/(AREAFRAC.w1C+AREAFRAC.w0C)</f>
        <v>1.1846506857748325E-3</v>
      </c>
      <c r="AM24" s="325">
        <f>k.w1C.sd1C*M.w1C*Molweight</f>
        <v>3.2043149250546852E-4</v>
      </c>
      <c r="AN24" s="326">
        <f>k.sd1C.w1C*M.sd1C*Molweight</f>
        <v>2.6566878612403527E-4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5.2490683989786516E-5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149064.0349557368</v>
      </c>
      <c r="D25" s="122">
        <f>C25/$C$51</f>
        <v>1.274573144053821E-2</v>
      </c>
      <c r="E25" s="318">
        <f>E23*FRACs.sdC</f>
        <v>874.2420037955178</v>
      </c>
      <c r="F25" s="122">
        <f>E25/$E$51</f>
        <v>4.5309521799107927E-4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7.665502219566224E-3</v>
      </c>
      <c r="N25" s="320">
        <f>C.sd1C*FRACs.sdC/(FRACw.sdC/(Kp.sd1C*RHOsolid/1000)+FRACs.sdC)*(Molweight*1000)/(FRACs.sdC*RHOsolid)</f>
        <v>2.9478894229283546E-6</v>
      </c>
      <c r="O25" s="320"/>
      <c r="P25" s="320"/>
      <c r="Q25" s="320"/>
      <c r="R25" s="120" t="s">
        <v>1494</v>
      </c>
      <c r="S25" s="325">
        <f>S23*(1-FRACw.sdR)</f>
        <v>1.5549635713116426E-8</v>
      </c>
      <c r="T25" s="325">
        <f>T23*(1-FRACw.sdC)</f>
        <v>5.9798569403687183E-12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0.14322312314282704</v>
      </c>
      <c r="AE25" s="325">
        <f>(k.w2C.w2M+k.w2C.w2R)*M.w2C*Molweight</f>
        <v>4.6550210977037043E-2</v>
      </c>
      <c r="AF25" s="330"/>
      <c r="AG25" s="326">
        <f>KDEG.w2C*M.w2C*Molweight</f>
        <v>0.12745724474707879</v>
      </c>
      <c r="AH25" s="325">
        <f>k.aC.w2C*M.aC*Molweight</f>
        <v>3.0856444703100019E-2</v>
      </c>
      <c r="AI25" s="325">
        <f>k.w2C.aC*M.w2C*Molweight</f>
        <v>1.3483013583380548E-6</v>
      </c>
      <c r="AJ25" s="325"/>
      <c r="AK25" s="325"/>
      <c r="AL25" s="631"/>
      <c r="AM25" s="325">
        <f>k.w2C.sd2C*M.w2C*Molweight</f>
        <v>3.6329686226064281E-4</v>
      </c>
      <c r="AN25" s="326">
        <f>k.sd2C.w2C*M.sd2C*Molweight</f>
        <v>2.925330418078053E-4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0.15003790192840902</v>
      </c>
      <c r="AT25" s="75"/>
      <c r="AU25" s="75"/>
      <c r="AV25" s="87"/>
      <c r="AW25" s="75"/>
      <c r="AX25" s="289">
        <f>output!AD14</f>
        <v>5.2490683989786509E-5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1.2563855957725116E-5</v>
      </c>
      <c r="AG26" s="326">
        <f>KDEG.sd1C*M.sd1C*Molweight</f>
        <v>4.2198850423708123E-5</v>
      </c>
      <c r="AH26" s="325"/>
      <c r="AI26" s="325"/>
      <c r="AJ26" s="325"/>
      <c r="AK26" s="325"/>
      <c r="AL26" s="631"/>
      <c r="AM26" s="325">
        <f>k.w1C.sd1C*M.w1C*Molweight</f>
        <v>3.2043149250546852E-4</v>
      </c>
      <c r="AN26" s="326">
        <f>k.sd1C.w1C*M.sd1C*Molweight</f>
        <v>2.6566878612403527E-4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0.14151570766140284</v>
      </c>
      <c r="AT26" s="75"/>
      <c r="AU26" s="285">
        <f>output!AD15</f>
        <v>0.15006227260349936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103307.11226227586</v>
      </c>
      <c r="D27" s="122">
        <f>C27/$C$51</f>
        <v>8.833282348646266E-3</v>
      </c>
      <c r="E27" s="318">
        <f>M.w2C*Molweight</f>
        <v>1468092.8482173567</v>
      </c>
      <c r="F27" s="122">
        <f>E27/$E$51</f>
        <v>0.76087152779926637</v>
      </c>
      <c r="G27" s="318">
        <f>M.w2M*Molweight</f>
        <v>136356.16906172741</v>
      </c>
      <c r="H27" s="122">
        <f>G27/$G$51</f>
        <v>0.25853477526812851</v>
      </c>
      <c r="I27" s="318">
        <f>M.w2A*Molweight</f>
        <v>25778.736194805777</v>
      </c>
      <c r="J27" s="122">
        <f>I27/$I$51</f>
        <v>9.8686502506192417E-2</v>
      </c>
      <c r="K27" s="318">
        <f>M.w2T*Molweight</f>
        <v>280.42030589620236</v>
      </c>
      <c r="L27" s="123">
        <f>K27/$K$51</f>
        <v>9.5110792217958887E-2</v>
      </c>
      <c r="M27" s="320">
        <f>C.w2R*Molweight</f>
        <v>1.0330711226227573E-5</v>
      </c>
      <c r="N27" s="320">
        <f>C.w2C*Molweight</f>
        <v>1.9767448897608356E-9</v>
      </c>
      <c r="O27" s="320">
        <f>C.w2M*Molweight</f>
        <v>3.5156399338446932E-11</v>
      </c>
      <c r="P27" s="320">
        <f>C.w2A*Molweight</f>
        <v>1.010930831168854E-11</v>
      </c>
      <c r="Q27" s="320">
        <f>C.w2T*Molweight</f>
        <v>3.1419642117221558E-14</v>
      </c>
      <c r="R27" s="120" t="s">
        <v>1489</v>
      </c>
      <c r="S27" s="325">
        <f>F.w2R</f>
        <v>5.3667435059393953E-9</v>
      </c>
      <c r="T27" s="325">
        <f>F.w2C</f>
        <v>1.0269073026733689E-12</v>
      </c>
      <c r="U27" s="325">
        <f>F.w2M</f>
        <v>1.8263541948865414E-14</v>
      </c>
      <c r="V27" s="325">
        <f>F.w2A</f>
        <v>1.5350494022132336E-16</v>
      </c>
      <c r="W27" s="326">
        <f>F.w2T</f>
        <v>1.0300714040560986E-16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6.1162157820473448E-6</v>
      </c>
      <c r="AG27" s="326">
        <f>KDEG.sd2C*M.sd2C*Molweight</f>
        <v>6.4647604670790102E-5</v>
      </c>
      <c r="AH27" s="325"/>
      <c r="AI27" s="325"/>
      <c r="AJ27" s="325"/>
      <c r="AK27" s="325"/>
      <c r="AL27" s="631"/>
      <c r="AM27" s="325">
        <f>k.w2C.sd2C*M.w2C*Molweight</f>
        <v>3.6329686226064281E-4</v>
      </c>
      <c r="AN27" s="326">
        <f>k.sd2C.w2C*M.sd2C*Molweight</f>
        <v>2.925330418078053E-4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1.9018298982496657E-3</v>
      </c>
      <c r="BB27" s="264">
        <f>IF(ISERROR(output!D15),0,output!D15)</f>
        <v>1.872228853545976E-3</v>
      </c>
      <c r="BC27" s="86"/>
      <c r="BD27" s="295">
        <f>output!AG18</f>
        <v>2.077842731912868E-2</v>
      </c>
      <c r="BE27" s="75"/>
      <c r="BF27" s="295">
        <f>output!AG19</f>
        <v>0.35109256906650427</v>
      </c>
      <c r="BG27" s="75"/>
      <c r="BH27" s="256">
        <f>output!AG20</f>
        <v>7.695167593480122E-3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103228.53607596189</v>
      </c>
      <c r="D28" s="122">
        <f>C28/$C$51</f>
        <v>8.8265636859676602E-3</v>
      </c>
      <c r="E28" s="318">
        <f>FRw.w2C*E27</f>
        <v>1466976.2054747462</v>
      </c>
      <c r="F28" s="122">
        <f>E28/$E$51</f>
        <v>0.76029280304721292</v>
      </c>
      <c r="G28" s="318">
        <f>FRw.w2M*G27</f>
        <v>136252.45550793016</v>
      </c>
      <c r="H28" s="122">
        <f>G28/$G$51</f>
        <v>0.2583381317241823</v>
      </c>
      <c r="I28" s="318">
        <f>FRw.w2A*I27</f>
        <v>25759.128689244699</v>
      </c>
      <c r="J28" s="122">
        <f>I28/$I$51</f>
        <v>9.8611440791294094E-2</v>
      </c>
      <c r="K28" s="318">
        <f>FRw.w2T*K27</f>
        <v>280.20701604887432</v>
      </c>
      <c r="L28" s="123">
        <f>K28/$K$51</f>
        <v>9.5038450215882461E-2</v>
      </c>
      <c r="M28" s="320">
        <f>M27*FRw.w2R</f>
        <v>1.0322853607596176E-5</v>
      </c>
      <c r="N28" s="320">
        <f>N27*FRw.w2C</f>
        <v>1.9752413623525903E-9</v>
      </c>
      <c r="O28" s="320">
        <f>O27*FRw.w2M</f>
        <v>3.5129659109976192E-11</v>
      </c>
      <c r="P28" s="320">
        <f>P27*FRw.w2A</f>
        <v>1.0101619093821449E-11</v>
      </c>
      <c r="Q28" s="320">
        <f>Q27*FRw.w2T</f>
        <v>3.1395744095111975E-14</v>
      </c>
      <c r="R28" s="120" t="s">
        <v>1489</v>
      </c>
      <c r="S28" s="325">
        <f>S27*FRw.w2R</f>
        <v>5.3626615194392658E-9</v>
      </c>
      <c r="T28" s="325">
        <f>T27*FRw.w2C</f>
        <v>1.0261262290592195E-12</v>
      </c>
      <c r="U28" s="325">
        <f>U27*FRw.w2M</f>
        <v>1.8249650558006635E-14</v>
      </c>
      <c r="V28" s="325">
        <f>V27*FRw.w2A</f>
        <v>1.53388183179927E-16</v>
      </c>
      <c r="W28" s="326">
        <f>W27*FRw.w2T</f>
        <v>1.0292879238020353E-16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3.5514866739569592E-6</v>
      </c>
      <c r="AG28" s="326">
        <f>KDEG.s1C*M.s1C*Molweight</f>
        <v>5.0258143464390415E-3</v>
      </c>
      <c r="AH28" s="325"/>
      <c r="AI28" s="325"/>
      <c r="AJ28" s="325">
        <f>k.aC.s1C*M.aC*Molweight</f>
        <v>5.5641404832367462E-3</v>
      </c>
      <c r="AK28" s="325">
        <f>k.s1C.aC*M.s1C*Molweight</f>
        <v>4.8902529810204626E-6</v>
      </c>
      <c r="AL28" s="631">
        <f>(k.s1C.w1C+k.s1C.w0C)*M.s1C*Molweight</f>
        <v>5.2988439714272712E-4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78.576186313964882</v>
      </c>
      <c r="D29" s="122">
        <f>C29/$C$51</f>
        <v>6.7186626786057404E-6</v>
      </c>
      <c r="E29" s="318">
        <f>(1-FRw.w2C)*E27</f>
        <v>1116.6427426105761</v>
      </c>
      <c r="F29" s="122">
        <f>E29/$E$51</f>
        <v>5.7872475205347665E-4</v>
      </c>
      <c r="G29" s="318">
        <f>(1-FRw.w2M)*G27</f>
        <v>103.71355379725672</v>
      </c>
      <c r="H29" s="122">
        <f>G29/$G$51</f>
        <v>1.9664354394625466E-4</v>
      </c>
      <c r="I29" s="318">
        <f>(1-FRw.w2A)*I27</f>
        <v>19.607505561079215</v>
      </c>
      <c r="J29" s="122">
        <f>I29/$I$51</f>
        <v>7.5061714898324341E-5</v>
      </c>
      <c r="K29" s="318">
        <f>(1-FRw.w2T)*K27</f>
        <v>0.21328984732801595</v>
      </c>
      <c r="L29" s="123">
        <f>K29/$K$51</f>
        <v>7.2342002076426046E-5</v>
      </c>
      <c r="M29" s="320">
        <f>M28*Kp.susp2R</f>
        <v>1.0264551784532083E-3</v>
      </c>
      <c r="N29" s="320">
        <f>N28*Kp.susp2C</f>
        <v>1.9640855156464024E-7</v>
      </c>
      <c r="O29" s="320">
        <f>O28*Kp.susp2M</f>
        <v>3.4931252424423209E-9</v>
      </c>
      <c r="P29" s="320">
        <f>P28*Kp.susp2A</f>
        <v>1.0044566767841016E-9</v>
      </c>
      <c r="Q29" s="320">
        <f>Q28*Kp.susp2T</f>
        <v>3.1218425963248525E-12</v>
      </c>
      <c r="R29" s="120" t="s">
        <v>1494</v>
      </c>
      <c r="S29" s="325">
        <f>S27*(1-FRw.w2R)</f>
        <v>4.0819865001293278E-12</v>
      </c>
      <c r="T29" s="325">
        <f>T27*(1-FRw.w2C)</f>
        <v>7.8107361414940159E-16</v>
      </c>
      <c r="U29" s="325">
        <f>U27*(1-FRw.w2M)</f>
        <v>1.3891390858778296E-17</v>
      </c>
      <c r="V29" s="325">
        <f>V27*(1-FRw.w2A)</f>
        <v>1.1675704139635801E-19</v>
      </c>
      <c r="W29" s="326">
        <f>W27*(1-FRw.w2T)</f>
        <v>7.8348025406335478E-20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3.7940464213518674E-6</v>
      </c>
      <c r="AG29" s="326">
        <f>KDEG.s2C*M.s2C*Molweight</f>
        <v>1.1789687595555657E-2</v>
      </c>
      <c r="AH29" s="325"/>
      <c r="AI29" s="325"/>
      <c r="AJ29" s="325">
        <f>k.aC.s2C*M.aC*Molweight</f>
        <v>1.236475662941499E-2</v>
      </c>
      <c r="AK29" s="325">
        <f>k.s2C.aC*M.s2C*Molweight</f>
        <v>5.2027926623653154E-6</v>
      </c>
      <c r="AL29" s="631">
        <f>(k.s2C.w1C+k.s2C.w0C)*M.s2C*Molweight</f>
        <v>5.6607219477561733E-4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1.3162831644354441E-6</v>
      </c>
      <c r="AG30" s="326">
        <f>KDEG.s3C*M.s3C*Molweight</f>
        <v>1.8612818527260879E-3</v>
      </c>
      <c r="AH30" s="325"/>
      <c r="AI30" s="325"/>
      <c r="AJ30" s="325">
        <f>k.aC.s3C*M.aC*Molweight</f>
        <v>2.0607927715691646E-3</v>
      </c>
      <c r="AK30" s="325">
        <f>k.s3C.aC*M.s3C*Molweight</f>
        <v>1.8050249335324614E-6</v>
      </c>
      <c r="AL30" s="631">
        <f>(k.s3C.w1C+k.s3C.w0C)*M.s3C*Molweight</f>
        <v>1.9638961074510891E-4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0.17660037622347191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357045.18167280615</v>
      </c>
      <c r="H31" s="122">
        <f>G31/$G$51</f>
        <v>0.67696677341059386</v>
      </c>
      <c r="I31" s="318">
        <f>M.w3A*Molweight</f>
        <v>232678.20956045709</v>
      </c>
      <c r="J31" s="122">
        <f>I31/$I$51</f>
        <v>0.89074183223734316</v>
      </c>
      <c r="K31" s="318">
        <f>M.w3T*Molweight</f>
        <v>2367.2897602891817</v>
      </c>
      <c r="L31" s="123">
        <f>K31/$K$51</f>
        <v>0.80291904607616815</v>
      </c>
      <c r="M31" s="320"/>
      <c r="N31" s="320"/>
      <c r="O31" s="320">
        <f>C.w3M*Molweight</f>
        <v>3.0685380977213972E-12</v>
      </c>
      <c r="P31" s="320">
        <f>C.w3A*Molweight</f>
        <v>3.0415452230125109E-12</v>
      </c>
      <c r="Q31" s="320">
        <f>C.w3T*Molweight</f>
        <v>8.8414183390819114E-15</v>
      </c>
      <c r="R31" s="120" t="s">
        <v>1489</v>
      </c>
      <c r="S31" s="325"/>
      <c r="T31" s="325"/>
      <c r="U31" s="325">
        <f>F.w3M</f>
        <v>1.5940874299985165E-15</v>
      </c>
      <c r="V31" s="325">
        <f>F.w3A</f>
        <v>4.6184388015860506E-17</v>
      </c>
      <c r="W31" s="326">
        <f>F.w3T</f>
        <v>2.8985983253429883E-17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0.1791271667717505</v>
      </c>
      <c r="AY31" s="75"/>
      <c r="AZ31" s="75"/>
      <c r="BA31" s="87"/>
      <c r="BB31" s="2"/>
      <c r="BC31" s="86"/>
      <c r="BD31" s="277">
        <f>IF(ISERROR(output!D39),0,output!D39)</f>
        <v>4.0897155550920827E-2</v>
      </c>
      <c r="BE31" s="75"/>
      <c r="BF31" s="277">
        <f>IF(ISERROR(output!D43),0,output!D43)</f>
        <v>0.69103821907958307</v>
      </c>
      <c r="BG31" s="75"/>
      <c r="BH31" s="273">
        <f>IF(ISERROR(output!D47),0,output!D47)</f>
        <v>1.5146019533982641E-2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356773.6103540145</v>
      </c>
      <c r="H32" s="122">
        <f>G32/$G$51</f>
        <v>0.67645186726182049</v>
      </c>
      <c r="I32" s="318">
        <f>FRw.w3A*I31</f>
        <v>232501.23271979965</v>
      </c>
      <c r="J32" s="122">
        <f>I32/$I$51</f>
        <v>0.8900643271301456</v>
      </c>
      <c r="K32" s="318">
        <f>FRw.w3T*K31</f>
        <v>2365.4891814404441</v>
      </c>
      <c r="L32" s="123">
        <f>K32/$K$51</f>
        <v>0.80230833965743353</v>
      </c>
      <c r="M32" s="320"/>
      <c r="N32" s="320"/>
      <c r="O32" s="320">
        <f>O31*FRw.w3M</f>
        <v>3.0662041439790266E-12</v>
      </c>
      <c r="P32" s="320">
        <f>P31*FRw.w3A</f>
        <v>3.0392318002588187E-12</v>
      </c>
      <c r="Q32" s="320">
        <f>Q31*FRw.w3T</f>
        <v>8.8346934881062331E-15</v>
      </c>
      <c r="R32" s="120" t="s">
        <v>1489</v>
      </c>
      <c r="S32" s="325"/>
      <c r="T32" s="325"/>
      <c r="U32" s="325">
        <f>U31*FRw.w3M</f>
        <v>1.5928749548053051E-15</v>
      </c>
      <c r="V32" s="325">
        <f>V31*FRw.w3A</f>
        <v>4.6149259814151439E-17</v>
      </c>
      <c r="W32" s="326">
        <f>W31*FRw.w3T</f>
        <v>2.8963936291021014E-17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8.6830211387900688E-3</v>
      </c>
      <c r="AE32" s="325">
        <f>(k.aM.aA+k.aM.aC+k.aM.aT)*M.aM*Molweight</f>
        <v>5.5086055787037481E-4</v>
      </c>
      <c r="AF32" s="325">
        <f>kesc.aM*M.aM*Molweight</f>
        <v>1.732779843657511E-7</v>
      </c>
      <c r="AG32" s="326">
        <f>KDEG.aM*M.aM*Molweight</f>
        <v>4.2667180162518749E-3</v>
      </c>
      <c r="AH32" s="325">
        <f>AH33</f>
        <v>2.2588110870359565E-3</v>
      </c>
      <c r="AI32" s="325">
        <f>AI33</f>
        <v>2.5045991905340437E-7</v>
      </c>
      <c r="AJ32" s="325">
        <f>AJ36</f>
        <v>1.6081220177509537E-3</v>
      </c>
      <c r="AK32" s="325">
        <f>AK36</f>
        <v>1.4133581844030939E-6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4.5282526489345748E-2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271.5713187916748</v>
      </c>
      <c r="H33" s="122">
        <f>G33/$G$51</f>
        <v>5.1490614877344569E-4</v>
      </c>
      <c r="I33" s="318">
        <f>(1-FRw.w3A)*I31</f>
        <v>176.97684065745142</v>
      </c>
      <c r="J33" s="122">
        <f>I33/$I$51</f>
        <v>6.7750510719756345E-4</v>
      </c>
      <c r="K33" s="318">
        <f>(1-FRw.w3T)*K31</f>
        <v>1.8005788487376904</v>
      </c>
      <c r="L33" s="123">
        <f>K33/$K$51</f>
        <v>6.1070641873464031E-4</v>
      </c>
      <c r="M33" s="320"/>
      <c r="N33" s="320"/>
      <c r="O33" s="320">
        <f>O32*Kp.susp3M</f>
        <v>3.0488867142957157E-10</v>
      </c>
      <c r="P33" s="320">
        <f>P32*Kp.susp3A</f>
        <v>3.0220667060508498E-10</v>
      </c>
      <c r="Q33" s="320">
        <f>Q32*Kp.susp3T</f>
        <v>8.7847965549374771E-13</v>
      </c>
      <c r="R33" s="120" t="s">
        <v>1494</v>
      </c>
      <c r="S33" s="325"/>
      <c r="T33" s="325"/>
      <c r="U33" s="325">
        <f>U31*(1-FRw.w3M)</f>
        <v>1.2124751932113822E-18</v>
      </c>
      <c r="V33" s="325">
        <f>V31*(1-FRw.w3A)</f>
        <v>3.5128201709069389E-20</v>
      </c>
      <c r="W33" s="326">
        <f>W31*(1-FRw.w3T)</f>
        <v>2.2046962408866742E-20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4.9495359648057222E-2</v>
      </c>
      <c r="AE33" s="325">
        <f>(k.w2M.w2C+k.w2M.w2A+k.w2M.w2T+k.w2M.w3M)*M.w2M*Molweight</f>
        <v>4.006886169203968E-2</v>
      </c>
      <c r="AF33" s="330"/>
      <c r="AG33" s="326">
        <f>KDEG.w2M*M.w2M*Molweight</f>
        <v>1.1838203308447374E-2</v>
      </c>
      <c r="AH33" s="325">
        <f>k.aM.w2M*M.aM*Molweight</f>
        <v>2.2588110870359565E-3</v>
      </c>
      <c r="AI33" s="325">
        <f>k.w2M.aM*M.w2M*Molweight</f>
        <v>2.5045991905340437E-7</v>
      </c>
      <c r="AJ33" s="325"/>
      <c r="AK33" s="325"/>
      <c r="AL33" s="325">
        <f>AL36</f>
        <v>1.5314472531294167E-4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8.9689421944363131E-3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3.4424171705626193E-2</v>
      </c>
      <c r="AE34" s="325">
        <f>(k.w3M.w2M+k.w3M.w3A+k.w3M.w3T)*M.w3M*Molweight</f>
        <v>3.4250871144511424E-3</v>
      </c>
      <c r="AF34" s="330"/>
      <c r="AG34" s="326">
        <f>KDEG.w3M*M.w3M*Molweight</f>
        <v>3.099803609934787E-2</v>
      </c>
      <c r="AH34" s="325"/>
      <c r="AI34" s="325"/>
      <c r="AJ34" s="325"/>
      <c r="AK34" s="325"/>
      <c r="AL34" s="325"/>
      <c r="AM34" s="325">
        <f>k.w3M.sdM*M.w3M*Molweight</f>
        <v>5.8903356303164405E-6</v>
      </c>
      <c r="AN34" s="326">
        <f>k.sdM.w3M*M.sdM*Molweight</f>
        <v>4.8418438031319073E-6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5.4635685533734789E-2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9424.5405097265193</v>
      </c>
      <c r="D35" s="122">
        <f>C35/$C$51</f>
        <v>8.0584604008013489E-4</v>
      </c>
      <c r="E35" s="318">
        <f>M.sd2C*Molweight</f>
        <v>6696.5866226795752</v>
      </c>
      <c r="F35" s="122">
        <f>E35/$E$51</f>
        <v>3.4706538491930368E-3</v>
      </c>
      <c r="G35" s="318">
        <f>M.sdM*Molweight</f>
        <v>108.57551188198957</v>
      </c>
      <c r="H35" s="122">
        <f>G35/$G$51</f>
        <v>2.0586194051348616E-4</v>
      </c>
      <c r="I35" s="318">
        <f>M.sdA*Molweight</f>
        <v>82.199994201815485</v>
      </c>
      <c r="J35" s="122">
        <f>I35/$I$51</f>
        <v>3.1467911663726089E-4</v>
      </c>
      <c r="K35" s="318">
        <f>M.sdT*Molweight</f>
        <v>0.57123816206929878</v>
      </c>
      <c r="L35" s="123">
        <f>K35/$K$51</f>
        <v>1.9374814518479416E-4</v>
      </c>
      <c r="M35" s="320">
        <f>C.sd2R*(Molweight*1000)/(FRACw.sdR*1000+FRACs.sdR*RHOsolid)</f>
        <v>2.4165488486478233E-4</v>
      </c>
      <c r="N35" s="320">
        <f>C.sd2C*(Molweight*1000)/(FRACw.sdC*1000+FRACs.sdC*RHOsolid)</f>
        <v>4.6239803657413606E-8</v>
      </c>
      <c r="O35" s="320">
        <f>C.sdM*(Molweight*1000)/(FRACw.sdM*1000+FRACs.sdM*RHOsolid)</f>
        <v>7.1778912842464909E-11</v>
      </c>
      <c r="P35" s="320">
        <f>C.sdA*(Molweight*1000)/(FRACw.sdA*1000+FRACs.sdA*RHOsolid)</f>
        <v>8.2654594471408237E-11</v>
      </c>
      <c r="Q35" s="320">
        <f>C.sdT*(Molweight*1000)/(FRACw.sdT*1000+FRACs.sdT*RHOsolid)</f>
        <v>1.6411352785155462E-13</v>
      </c>
      <c r="R35" s="120" t="s">
        <v>1495</v>
      </c>
      <c r="S35" s="325">
        <f>F.sd2R</f>
        <v>6.2216294142131669E-9</v>
      </c>
      <c r="T35" s="325">
        <f>F.sd2C</f>
        <v>1.1904866839475681E-12</v>
      </c>
      <c r="U35" s="325">
        <f>F.sdM</f>
        <v>1.8480147658128543E-15</v>
      </c>
      <c r="V35" s="325">
        <f>F.sdA</f>
        <v>6.2200783851757916E-17</v>
      </c>
      <c r="W35" s="326">
        <f>F.sdT</f>
        <v>2.6664805575653397E-17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3.2398219563602611E-10</v>
      </c>
      <c r="AG35" s="326">
        <f>KDEG.sdM*M.sdM*Molweight</f>
        <v>1.0481678449888987E-6</v>
      </c>
      <c r="AH35" s="325"/>
      <c r="AI35" s="325"/>
      <c r="AJ35" s="325"/>
      <c r="AK35" s="325"/>
      <c r="AL35" s="325"/>
      <c r="AM35" s="325">
        <f>k.w3M.sdM*M.w3M*Molweight</f>
        <v>5.8903356303164405E-6</v>
      </c>
      <c r="AN35" s="326">
        <f>k.sdM.w3M*M.sdM*Molweight</f>
        <v>4.8418438031319073E-6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7.1951826694920786E-3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7539.632407781216</v>
      </c>
      <c r="D36" s="122">
        <f>C36/$C$51</f>
        <v>6.4467683206410799E-4</v>
      </c>
      <c r="E36" s="318">
        <f>E35*FRACw.sdC</f>
        <v>5357.2692981436603</v>
      </c>
      <c r="F36" s="122">
        <f>E36/$E$51</f>
        <v>2.7765230793544296E-3</v>
      </c>
      <c r="G36" s="318">
        <f>G35*FRACw.sdM</f>
        <v>86.860409505591662</v>
      </c>
      <c r="H36" s="122">
        <f>G36/$G$51</f>
        <v>1.6468955241078894E-4</v>
      </c>
      <c r="I36" s="318">
        <f>I35*FRACw.sdA</f>
        <v>65.759995361452397</v>
      </c>
      <c r="J36" s="122">
        <f>I36/$I$51</f>
        <v>2.5174329330980875E-4</v>
      </c>
      <c r="K36" s="318">
        <f>K35*FRACw.sdT</f>
        <v>0.45699052965543907</v>
      </c>
      <c r="L36" s="123">
        <f>K36/$K$51</f>
        <v>1.5499851614783532E-4</v>
      </c>
      <c r="M36" s="320">
        <f>M37/Kp.sd2R</f>
        <v>1.1976323586865577E-5</v>
      </c>
      <c r="N36" s="320">
        <f>N37/Kp.sd2C</f>
        <v>2.29162696836931E-9</v>
      </c>
      <c r="O36" s="320">
        <f>O37/Kp.sdM</f>
        <v>3.5573354430463741E-12</v>
      </c>
      <c r="P36" s="320">
        <f>P37/Kp.sdA</f>
        <v>4.096330061296431E-12</v>
      </c>
      <c r="Q36" s="320">
        <f>Q37/Kp.sdT</f>
        <v>8.1334036166166246E-15</v>
      </c>
      <c r="R36" s="120" t="s">
        <v>1489</v>
      </c>
      <c r="S36" s="325">
        <f>S35*FRACw.sdR</f>
        <v>4.977303531370534E-9</v>
      </c>
      <c r="T36" s="325">
        <f>T35*FRACw.sdC</f>
        <v>9.5238934715805457E-13</v>
      </c>
      <c r="U36" s="325">
        <f>U35*FRACw.sdM</f>
        <v>1.4784118126502835E-15</v>
      </c>
      <c r="V36" s="325">
        <f>V35*FRACw.sdA</f>
        <v>4.9760627081406335E-17</v>
      </c>
      <c r="W36" s="326">
        <f>W35*FRACw.sdT</f>
        <v>2.1331844460522719E-17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1.0264341695443648E-6</v>
      </c>
      <c r="AG36" s="326">
        <f>KDEG.sM*M.sM*Molweight</f>
        <v>1.4525375000840645E-3</v>
      </c>
      <c r="AH36" s="325"/>
      <c r="AI36" s="325"/>
      <c r="AJ36" s="325">
        <f>k.aM.sM*M.aM*Molweight</f>
        <v>1.6081220177509537E-3</v>
      </c>
      <c r="AK36" s="325">
        <f>k.sM.aM*M.sM*Molweight</f>
        <v>1.4133581844030939E-6</v>
      </c>
      <c r="AL36" s="325">
        <f>k.sM.w2M*M.sM*Molweight</f>
        <v>1.5314472531294167E-4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1884.9081019453035</v>
      </c>
      <c r="D37" s="122">
        <f>C37/$C$51</f>
        <v>1.6116920801602694E-4</v>
      </c>
      <c r="E37" s="318">
        <f>E35*FRACs.sdC</f>
        <v>1339.3173245359146</v>
      </c>
      <c r="F37" s="122">
        <f>E37/$E$51</f>
        <v>6.9413076983860719E-4</v>
      </c>
      <c r="G37" s="318">
        <f>G35*FRACs.sdM</f>
        <v>21.715102376397908</v>
      </c>
      <c r="H37" s="122">
        <f>G37/$G$51</f>
        <v>4.1172388102697222E-5</v>
      </c>
      <c r="I37" s="318">
        <f>I35*FRACs.sdA</f>
        <v>16.439998840363092</v>
      </c>
      <c r="J37" s="122">
        <f>I37/$I$51</f>
        <v>6.2935823327452161E-5</v>
      </c>
      <c r="K37" s="318">
        <f>K35*FRACs.sdT</f>
        <v>0.11424763241385973</v>
      </c>
      <c r="L37" s="123">
        <f>K37/$K$51</f>
        <v>3.8749629036958817E-5</v>
      </c>
      <c r="M37" s="320">
        <f>C.sd2R*FRACs.sdR/(FRACw.sdR/(Kp.sd2R*RHOsolid/1000)+FRACs.sdR)*(Molweight*1000)/(FRACs.sdR*RHOsolid)</f>
        <v>6.0914058290944921E-4</v>
      </c>
      <c r="N37" s="320">
        <f>C.sd2C*FRACs.sdC/(FRACw.sdC/(Kp.sd2C*RHOsolid/1000)+FRACs.sdC)*(Molweight*1000)/(FRACs.sdC*RHOsolid)</f>
        <v>1.165568863598845E-7</v>
      </c>
      <c r="O37" s="320">
        <f>C.sdM*FRACs.sdM/(FRACw.sdM/(Kp.sdM*RHOsolid/1000)+FRACs.sdM)*(Molweight*1000)/(FRACs.sdM*RHOsolid)</f>
        <v>1.8093343668153459E-10</v>
      </c>
      <c r="P37" s="320">
        <f>C.sdA*FRACs.sdA/(FRACw.sdA/(Kp.sdA*RHOsolid/1000)+FRACs.sdA)*(Molweight*1000)/(FRACs.sdA*RHOsolid)</f>
        <v>2.0834781752758718E-10</v>
      </c>
      <c r="Q37" s="320">
        <f>C.sdT*FRACs.sdT/(FRACw.sdT/(Kp.sdT*RHOsolid/1000)+FRACs.sdT)*(Molweight*1000)/(FRACs.sdT*RHOsolid)</f>
        <v>4.1368172662745549E-13</v>
      </c>
      <c r="R37" s="120" t="s">
        <v>1494</v>
      </c>
      <c r="S37" s="325">
        <f>S35*(1-FRACw.sdR)</f>
        <v>1.2443258828426331E-9</v>
      </c>
      <c r="T37" s="325">
        <f>T35*(1-FRACw.sdC)</f>
        <v>2.3809733678951354E-13</v>
      </c>
      <c r="U37" s="325">
        <f>U35*(1-FRACw.sdM)</f>
        <v>3.6960295316257077E-16</v>
      </c>
      <c r="V37" s="325">
        <f>V35*(1-FRACw.sdA)</f>
        <v>1.2440156770351581E-17</v>
      </c>
      <c r="W37" s="326">
        <f>W35*(1-FRACw.sdT)</f>
        <v>5.3329611151306783E-18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8.833282348646266E-3</v>
      </c>
      <c r="AW37" s="75"/>
      <c r="AX37" s="75"/>
      <c r="AY37" s="300">
        <f>IF(ISERROR(output!D23),0,output!D23)</f>
        <v>6.3728657202691066E-2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1.7942580420785673E-4</v>
      </c>
      <c r="AE38" s="325">
        <f>k.aA.aM*M.aA*Molweight</f>
        <v>7.4539149816674983E-6</v>
      </c>
      <c r="AF38" s="325">
        <f>kesc.aA*M.aA*Molweight</f>
        <v>3.9439504774625357E-9</v>
      </c>
      <c r="AG38" s="326">
        <f>KDEG.aA*M.aA*Molweight</f>
        <v>8.0240930868062148E-5</v>
      </c>
      <c r="AH38" s="325">
        <f>AH39</f>
        <v>6.2062404677433697E-5</v>
      </c>
      <c r="AI38" s="325">
        <f>AI39</f>
        <v>1.4998610433087372E-9</v>
      </c>
      <c r="AJ38" s="325">
        <f>AJ42</f>
        <v>2.9669683659597419E-5</v>
      </c>
      <c r="AK38" s="325">
        <f>AK42</f>
        <v>3.5740683381738262E-9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478300.9161202946</v>
      </c>
      <c r="D39" s="122">
        <f>C39/$C$51</f>
        <v>4.0897155550920827E-2</v>
      </c>
      <c r="E39" s="318">
        <f>M.s1C*Molweight</f>
        <v>115689.77619106525</v>
      </c>
      <c r="F39" s="122">
        <f>E39/$E$51</f>
        <v>5.9958780446438473E-2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9.1179938416065574E-5</v>
      </c>
      <c r="N39" s="320">
        <f>C.s1C*(Molweight*1000)/(FRACw.s1C*1000+(1-FRACa.s1C-FRACw.s1C)*RHOsolid)</f>
        <v>1.4461216962457212E-6</v>
      </c>
      <c r="O39" s="320"/>
      <c r="P39" s="320"/>
      <c r="Q39" s="320"/>
      <c r="R39" s="120" t="s">
        <v>1495</v>
      </c>
      <c r="S39" s="325">
        <f>F.s1R</f>
        <v>2.6013327396777006E-9</v>
      </c>
      <c r="T39" s="325">
        <f>F.s1C</f>
        <v>4.1257361864366242E-11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7.3618340071738633E-3</v>
      </c>
      <c r="AE39" s="325">
        <f>(k.w2A.w2M+k.w2A.w3A)*M.w2A*Molweight</f>
        <v>6.9412144695659437E-3</v>
      </c>
      <c r="AF39" s="330"/>
      <c r="AG39" s="326">
        <f>KDEG.w2A*M.w2A*Molweight</f>
        <v>4.8708710776015435E-4</v>
      </c>
      <c r="AH39" s="325">
        <f>k.aA.w2A*M.aA*Molweight</f>
        <v>6.2062404677433697E-5</v>
      </c>
      <c r="AI39" s="325">
        <f>k.w2A.aA*M.w2A*Molweight</f>
        <v>1.4998610433087372E-9</v>
      </c>
      <c r="AJ39" s="325"/>
      <c r="AK39" s="325"/>
      <c r="AL39" s="325">
        <f>AL42</f>
        <v>4.4066653358432982E-6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3090.2832064451163</v>
      </c>
      <c r="D40" s="122">
        <f>C40/$C$51</f>
        <v>2.6423489634002349E-4</v>
      </c>
      <c r="E40" s="318">
        <f>E39*FRw.s1C</f>
        <v>747.4670452663878</v>
      </c>
      <c r="F40" s="122">
        <f>E40/$E$51</f>
        <v>3.8739129708452734E-4</v>
      </c>
      <c r="G40" s="318"/>
      <c r="H40" s="122"/>
      <c r="I40" s="318"/>
      <c r="J40" s="122"/>
      <c r="K40" s="318"/>
      <c r="L40" s="123"/>
      <c r="M40" s="320">
        <f>M41/Kp.s1R</f>
        <v>5.0074346402433085E-6</v>
      </c>
      <c r="N40" s="320">
        <f>N41/Kp.s1C</f>
        <v>7.9418345763132651E-8</v>
      </c>
      <c r="O40" s="320"/>
      <c r="P40" s="320"/>
      <c r="Q40" s="320"/>
      <c r="R40" s="120" t="s">
        <v>1489</v>
      </c>
      <c r="S40" s="325">
        <f>S39*FRACw.s1R</f>
        <v>5.2026654793554014E-10</v>
      </c>
      <c r="T40" s="325">
        <f>T39*FRACw.s1C</f>
        <v>8.2514723728732491E-12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6.9412144695659437E-3</v>
      </c>
      <c r="AE40" s="325">
        <f>(k.w3A.w2A+k.w3A.w3M)*M.w3A*Molweight</f>
        <v>2.5446058898586994E-3</v>
      </c>
      <c r="AF40" s="330"/>
      <c r="AG40" s="326">
        <f>KDEG.w3A*M.w3A*Molweight</f>
        <v>4.3964357010042327E-3</v>
      </c>
      <c r="AH40" s="325"/>
      <c r="AI40" s="325"/>
      <c r="AJ40" s="325"/>
      <c r="AK40" s="325"/>
      <c r="AL40" s="325"/>
      <c r="AM40" s="325">
        <f>k.w3A.sdA*M.w3A*Molweight</f>
        <v>3.8385975179694811E-6</v>
      </c>
      <c r="AN40" s="326">
        <f>k.sdA.w3A*M.sdA*Molweight</f>
        <v>3.665718814959619E-6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4.1169166865440284E-4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475210.63276194036</v>
      </c>
      <c r="D41" s="122">
        <f>C41/$C$51</f>
        <v>4.0632920641591803E-2</v>
      </c>
      <c r="E41" s="318">
        <f>E39*FRs.s1C</f>
        <v>114942.30910905561</v>
      </c>
      <c r="F41" s="122">
        <f>E41/$E$51</f>
        <v>5.9571389130310945E-2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1.0266960555335512E-4</v>
      </c>
      <c r="N41" s="320">
        <f>C.s1C*FRs.s1C*(Molweight*1000)/(FRACs.s1C*RHOsolid)</f>
        <v>1.6283488091228705E-6</v>
      </c>
      <c r="O41" s="320"/>
      <c r="P41" s="320"/>
      <c r="Q41" s="320"/>
      <c r="R41" s="120" t="s">
        <v>1494</v>
      </c>
      <c r="S41" s="325">
        <f>S39*(1-FRACw.s1R)</f>
        <v>2.0810661917421606E-9</v>
      </c>
      <c r="T41" s="325">
        <f>T39*(1-FRACw.s1C)</f>
        <v>3.3005889491492996E-11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1.7376964781374644E-10</v>
      </c>
      <c r="AG41" s="326">
        <f>KDEG.sdA*M.sdA*Molweight</f>
        <v>1.7270493336204775E-7</v>
      </c>
      <c r="AH41" s="325"/>
      <c r="AI41" s="325"/>
      <c r="AJ41" s="325"/>
      <c r="AK41" s="325"/>
      <c r="AL41" s="325"/>
      <c r="AM41" s="325">
        <f>k.w3A.sdA*M.w3A*Molweight</f>
        <v>3.8385975179694811E-6</v>
      </c>
      <c r="AN41" s="326">
        <f>k.sdA.w3A*M.sdA*Molweight</f>
        <v>3.665718814959619E-6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2.9257160758077977E-8</v>
      </c>
      <c r="AG42" s="326">
        <f>KDEG.sA*M.sA*Molweight</f>
        <v>2.5230187094657872E-5</v>
      </c>
      <c r="AH42" s="325"/>
      <c r="AI42" s="325"/>
      <c r="AJ42" s="325">
        <f>k.aA.sA*M.aA*Molweight</f>
        <v>2.9669683659597419E-5</v>
      </c>
      <c r="AK42" s="325">
        <f>k.sA.aA*M.sA*Molweight</f>
        <v>3.5740683381738262E-9</v>
      </c>
      <c r="AL42" s="325">
        <f>k.sA.w2A*M.sA*Molweight</f>
        <v>4.4066653358432982E-6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5.1129122765859508E-4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8081838.6708671581</v>
      </c>
      <c r="D43" s="122">
        <f>C43/$C$51</f>
        <v>0.69103821907958307</v>
      </c>
      <c r="E43" s="318">
        <f>M.s2C*Molweight</f>
        <v>271388.12245597853</v>
      </c>
      <c r="F43" s="122">
        <f>E43/$E$51</f>
        <v>0.14065288555174743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1.7332482928529976E-4</v>
      </c>
      <c r="N43" s="320">
        <f>C.s2C*(Molweight*1000)/(FRACw.s2C*1000+(1-FRACa.s2C-FRACw.s2C)*RHOsolid)</f>
        <v>3.8163941362992491E-7</v>
      </c>
      <c r="O43" s="320"/>
      <c r="P43" s="320"/>
      <c r="Q43" s="320"/>
      <c r="R43" s="120" t="s">
        <v>1495</v>
      </c>
      <c r="S43" s="325">
        <f>F.s2R</f>
        <v>4.9486966099841488E-9</v>
      </c>
      <c r="T43" s="325">
        <f>F.s2C</f>
        <v>1.089640578475924E-11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8.0584604008013489E-4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52256.54371312126</v>
      </c>
      <c r="D44" s="122">
        <f>C44/$C$51</f>
        <v>4.4681996725498933E-3</v>
      </c>
      <c r="E44" s="318">
        <f>E43*FRw.s2C</f>
        <v>1754.7746078456528</v>
      </c>
      <c r="F44" s="122">
        <f>E44/$E$51</f>
        <v>9.0945067843366072E-4</v>
      </c>
      <c r="G44" s="318"/>
      <c r="H44" s="122"/>
      <c r="I44" s="318"/>
      <c r="J44" s="122"/>
      <c r="K44" s="318"/>
      <c r="L44" s="123"/>
      <c r="M44" s="320">
        <f>M45/Kp.s2R</f>
        <v>9.5259919851543023E-6</v>
      </c>
      <c r="N44" s="320">
        <f>N45/Kp.s2C</f>
        <v>2.0975032893143549E-8</v>
      </c>
      <c r="O44" s="320"/>
      <c r="P44" s="320"/>
      <c r="Q44" s="320"/>
      <c r="R44" s="120" t="s">
        <v>1489</v>
      </c>
      <c r="S44" s="325">
        <f>S43*FRACw.s2R</f>
        <v>9.8973932199682972E-10</v>
      </c>
      <c r="T44" s="325">
        <f>T43*FRACw.s2C</f>
        <v>2.1792811569518478E-12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3.1077460907691346E-4</v>
      </c>
      <c r="AE44" s="325">
        <f>k.aT.aM*M.aT*Molweight</f>
        <v>6.5141110642835107E-6</v>
      </c>
      <c r="AF44" s="325">
        <f>kesc.aT*M.aT*Molweight</f>
        <v>5.9698415505767796E-9</v>
      </c>
      <c r="AG44" s="326">
        <f>KDEG.aT*M.aT*Molweight</f>
        <v>1.6343258115413369E-4</v>
      </c>
      <c r="AH44" s="325">
        <f>AH45</f>
        <v>1.0804616828882755E-4</v>
      </c>
      <c r="AI44" s="325">
        <f>AI45</f>
        <v>3.1081425558334753E-9</v>
      </c>
      <c r="AJ44" s="325">
        <f>AJ48</f>
        <v>3.2851244686749907E-5</v>
      </c>
      <c r="AK44" s="325">
        <f>AK48</f>
        <v>7.2357816075919589E-8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9.0982765311090926E-5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8029582.1245938493</v>
      </c>
      <c r="D45" s="122">
        <f>C45/$C$51</f>
        <v>0.6865700191881241</v>
      </c>
      <c r="E45" s="318">
        <f>E43*FRs.s2C</f>
        <v>269633.34776216181</v>
      </c>
      <c r="F45" s="122">
        <f>E45/$E$51</f>
        <v>0.13974343482875737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1.9516467419642528E-4</v>
      </c>
      <c r="N45" s="320">
        <f>C.s2C*FRs.s2C*(Molweight*1000)/(FRACs.s2C*RHOsolid)</f>
        <v>4.2972799759114605E-7</v>
      </c>
      <c r="O45" s="320"/>
      <c r="P45" s="320"/>
      <c r="Q45" s="320"/>
      <c r="R45" s="120" t="s">
        <v>1494</v>
      </c>
      <c r="S45" s="325">
        <f>S43*(1-FRACw.s2R)</f>
        <v>3.9589572879873189E-9</v>
      </c>
      <c r="T45" s="325">
        <f>T43*(1-FRACw.s2C)</f>
        <v>8.7171246278073914E-12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1.7931780654125343E-5</v>
      </c>
      <c r="AE45" s="325">
        <f>(k.w2T.w2M+k.w2T.w3T)*M.w2T*Molweight</f>
        <v>6.8436899768205682E-5</v>
      </c>
      <c r="AF45" s="330"/>
      <c r="AG45" s="326">
        <f>KDEG.w2T*M.w2T*Molweight</f>
        <v>5.9945896033145857E-5</v>
      </c>
      <c r="AH45" s="325">
        <f>k.aT.w2T*M.aT*Molweight</f>
        <v>1.0804616828882755E-4</v>
      </c>
      <c r="AI45" s="325">
        <f>k.w2T.aT*M.w2T*Molweight</f>
        <v>3.1081425558334753E-9</v>
      </c>
      <c r="AJ45" s="325"/>
      <c r="AK45" s="325"/>
      <c r="AL45" s="325">
        <f>AL48</f>
        <v>2.4079550009544705E-6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5.2400466810883204E-4</v>
      </c>
      <c r="AE46" s="325">
        <f>(k.w3T.w2T+k.w3T.w3M)*M.w3T*Molweight</f>
        <v>1.7931780654125343E-5</v>
      </c>
      <c r="AF46" s="330"/>
      <c r="AG46" s="326">
        <f>KDEG.w3T*M.w3T*Molweight</f>
        <v>5.0605930764212857E-4</v>
      </c>
      <c r="AH46" s="325"/>
      <c r="AI46" s="325"/>
      <c r="AJ46" s="325"/>
      <c r="AK46" s="325"/>
      <c r="AL46" s="325"/>
      <c r="AM46" s="325">
        <f>k.w3T.sdT*M.w3T*Molweight</f>
        <v>3.9054248420282402E-8</v>
      </c>
      <c r="AN46" s="326">
        <f>k.sdT.w3T*M.sdT*Molweight</f>
        <v>2.5474435842163749E-8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177135.91375957351</v>
      </c>
      <c r="D47" s="122">
        <f>C47/$C$51</f>
        <v>1.5146019533982641E-2</v>
      </c>
      <c r="E47" s="318">
        <f>M.s3C*Molweight</f>
        <v>42845.052786906432</v>
      </c>
      <c r="F47" s="122">
        <f>E47/$E$51</f>
        <v>2.2205394442318831E-2</v>
      </c>
      <c r="G47" s="318">
        <f>M.sM*Molweight</f>
        <v>33436.121334827956</v>
      </c>
      <c r="H47" s="122">
        <f>G47/$G$51</f>
        <v>6.339573907524762E-2</v>
      </c>
      <c r="I47" s="318">
        <f>M.sA*Molweight</f>
        <v>2668.547887516796</v>
      </c>
      <c r="J47" s="122">
        <f>I47/$I$51</f>
        <v>1.0215770695631843E-2</v>
      </c>
      <c r="K47" s="318">
        <f>M.sT*Molweight</f>
        <v>283.77638647232567</v>
      </c>
      <c r="L47" s="123">
        <f>K47/$K$51</f>
        <v>9.6249081691405738E-2</v>
      </c>
      <c r="M47" s="320">
        <f>C.s3R*(Molweight*1000)/(FRACw.s3R*1000+(1-FRACa.s3R-FRACw.s3R)*RHOsolid)</f>
        <v>9.1173466622182153E-5</v>
      </c>
      <c r="N47" s="320">
        <f>C.s3C*(Molweight*1000)/(FRACw.s3C*1000+(1-FRACa.s3C-FRACw.s3C)*RHOsolid)</f>
        <v>1.4460200254510829E-6</v>
      </c>
      <c r="O47" s="320">
        <f>C.sM*(Molweight*1000)/(FRACw.sM*1000+(1-FRACa.sM-FRACw.sM)*RHOsolid)</f>
        <v>1.0142069086764365E-8</v>
      </c>
      <c r="P47" s="320">
        <f>C.sA*(Molweight*1000)/(FRACw.sA*1000+(1-FRACa.sA-FRACw.sA)*RHOsolid)</f>
        <v>1.8467459429181978E-9</v>
      </c>
      <c r="Q47" s="320">
        <f>C.sT*(Molweight*1000)/(FRACw.sT*1000+(1-FRACa.sT-FRACw.sT)*RHOsolid)</f>
        <v>8.7282241129511904E-11</v>
      </c>
      <c r="R47" s="120" t="s">
        <v>1495</v>
      </c>
      <c r="S47" s="325">
        <f>F.s3R</f>
        <v>2.6031459373372231E-9</v>
      </c>
      <c r="T47" s="325">
        <f>F.s3C</f>
        <v>4.1286147099790525E-11</v>
      </c>
      <c r="U47" s="325">
        <f>F.sM</f>
        <v>2.8934979362548787E-13</v>
      </c>
      <c r="V47" s="325">
        <f>F.sA</f>
        <v>1.5400118535445313E-15</v>
      </c>
      <c r="W47" s="326">
        <f>F.sT</f>
        <v>1.571476822458715E-14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1.207589552827037E-12</v>
      </c>
      <c r="AG47" s="326">
        <f>KDEG.sdT*M.sdT*Molweight</f>
        <v>1.3578604988565828E-8</v>
      </c>
      <c r="AH47" s="325"/>
      <c r="AI47" s="325"/>
      <c r="AJ47" s="325"/>
      <c r="AK47" s="325"/>
      <c r="AL47" s="325"/>
      <c r="AM47" s="325">
        <f>k.w3T.sdT*M.w3T*Molweight</f>
        <v>3.9054248420282402E-8</v>
      </c>
      <c r="AN47" s="326">
        <f>k.sdT.w3T*M.sdT*Molweight</f>
        <v>2.5474435842163749E-8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8.6167936931011765E-6</v>
      </c>
      <c r="AW47" s="75"/>
      <c r="AX47" s="290">
        <f>output!AF16</f>
        <v>2.1579763748969544E-3</v>
      </c>
      <c r="AY47" s="75"/>
      <c r="AZ47" s="75"/>
      <c r="BA47" s="75"/>
      <c r="BB47" s="75"/>
      <c r="BC47" s="2"/>
      <c r="BD47" s="295">
        <f>output!AF18</f>
        <v>1.4683054852982084E-5</v>
      </c>
      <c r="BE47" s="75"/>
      <c r="BF47" s="295">
        <f>output!AF20</f>
        <v>5.4419590111899702E-6</v>
      </c>
      <c r="BG47" s="75"/>
      <c r="BH47" s="299">
        <f>output!AF19</f>
        <v>1.1298530978311495E-4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1145.3471168520164</v>
      </c>
      <c r="D48" s="122">
        <f>C48/$C$51</f>
        <v>9.7932990757464497E-5</v>
      </c>
      <c r="E48" s="318">
        <f>E47*FRw.s3C</f>
        <v>277.03279724213212</v>
      </c>
      <c r="F48" s="122">
        <f>E48/$E$51</f>
        <v>1.4357836286994687E-4</v>
      </c>
      <c r="G48" s="318">
        <f>G47*FRw.sM</f>
        <v>216.02945084824577</v>
      </c>
      <c r="H48" s="122">
        <f>G48/$G$51</f>
        <v>4.0959735016510366E-4</v>
      </c>
      <c r="I48" s="318">
        <f>I47*FRw.sA</f>
        <v>17.241381830951507</v>
      </c>
      <c r="J48" s="122">
        <f>I48/$I$51</f>
        <v>6.600368840475796E-5</v>
      </c>
      <c r="K48" s="318">
        <f>K47*FRw.sT</f>
        <v>1.833467949867063</v>
      </c>
      <c r="L48" s="123">
        <f>K48/$K$51</f>
        <v>6.2186148988312227E-4</v>
      </c>
      <c r="M48" s="320">
        <f>M49/Kp.s3R</f>
        <v>5.0109249545085368E-6</v>
      </c>
      <c r="N48" s="320">
        <f>N49/Kp.s3C</f>
        <v>7.9473755893022084E-8</v>
      </c>
      <c r="O48" s="320">
        <f>O49/Kp.sM</f>
        <v>5.5698379436343688E-10</v>
      </c>
      <c r="P48" s="320">
        <f>P49/Kp.sA</f>
        <v>1.0141989312324417E-10</v>
      </c>
      <c r="Q48" s="320">
        <f>Q49/Kp.sT</f>
        <v>4.7933802610903587E-12</v>
      </c>
      <c r="R48" s="120" t="s">
        <v>1489</v>
      </c>
      <c r="S48" s="325">
        <f>S47*FRACw.s3R</f>
        <v>5.2062918746744459E-10</v>
      </c>
      <c r="T48" s="325">
        <f>T47*FRACw.s3C</f>
        <v>8.2572294199581048E-12</v>
      </c>
      <c r="U48" s="325">
        <f>U47*FRACw.sM</f>
        <v>5.7869958725097573E-14</v>
      </c>
      <c r="V48" s="325">
        <f>V47*FRACw.sA</f>
        <v>3.080023707089063E-16</v>
      </c>
      <c r="W48" s="326">
        <f>W47*FRACw.sT</f>
        <v>3.1429536449174304E-15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1.6178444907488981E-8</v>
      </c>
      <c r="AG48" s="326">
        <f>KDEG.sT*M.sT*Molweight</f>
        <v>3.0354753424812028E-5</v>
      </c>
      <c r="AH48" s="325"/>
      <c r="AI48" s="325"/>
      <c r="AJ48" s="325">
        <f>k.aT.sT*M.aT*Molweight</f>
        <v>3.2851244686749907E-5</v>
      </c>
      <c r="AK48" s="325">
        <f>k.sT.aT*M.sT*Molweight</f>
        <v>7.2357816075919589E-8</v>
      </c>
      <c r="AL48" s="333">
        <f>k.sT.w2T*M.sT*Molweight</f>
        <v>2.4079550009544705E-6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175990.56658660786</v>
      </c>
      <c r="D49" s="122">
        <f>C49/$C$51</f>
        <v>1.5048086538427178E-2</v>
      </c>
      <c r="E49" s="318">
        <f>E47*FRs.s3C</f>
        <v>42568.019976091724</v>
      </c>
      <c r="F49" s="122">
        <f>E49/$E$51</f>
        <v>2.2061816072414597E-2</v>
      </c>
      <c r="G49" s="318">
        <f>G47*FRs.sM</f>
        <v>33220.091873360347</v>
      </c>
      <c r="H49" s="122">
        <f>G49/$G$51</f>
        <v>6.2986141704947929E-2</v>
      </c>
      <c r="I49" s="318">
        <f>I47*FRs.sA</f>
        <v>2651.3065056589994</v>
      </c>
      <c r="J49" s="122">
        <f>I49/$I$51</f>
        <v>1.0149767007124316E-2</v>
      </c>
      <c r="K49" s="318">
        <f>K47*FRs.sT</f>
        <v>281.94291797849132</v>
      </c>
      <c r="L49" s="123">
        <f>K49/$K$51</f>
        <v>9.5627220017023992E-2</v>
      </c>
      <c r="M49" s="320">
        <f>C.s3R*FRs.s3R*(Molweight*1000)/(FRACs.s3R*RHOsolid)</f>
        <v>1.0266180547847215E-4</v>
      </c>
      <c r="N49" s="320">
        <f>C.s3C*FRs.s3C*(Molweight*1000)/(FRACs.s3C*RHOsolid)</f>
        <v>1.6282261942063403E-6</v>
      </c>
      <c r="O49" s="320">
        <f>C.sM*FRs.sM*(Molweight*1000)/(FRACs.sM*RHOsolid)</f>
        <v>1.1420080455433868E-8</v>
      </c>
      <c r="P49" s="320">
        <f>C.sA*FRs.sA*(Molweight*1000)/(FRACs.sA*RHOsolid)</f>
        <v>2.0794560828698031E-9</v>
      </c>
      <c r="Q49" s="320">
        <f>C.sT*FRs.sT*(Molweight*1000)/(FRACs.sT*RHOsolid)</f>
        <v>9.8280755722349867E-11</v>
      </c>
      <c r="R49" s="120" t="s">
        <v>1494</v>
      </c>
      <c r="S49" s="325">
        <f>S47*(1-FRACw.s3R)</f>
        <v>2.0825167498697784E-9</v>
      </c>
      <c r="T49" s="325">
        <f>T47*(1-FRACw.s3C)</f>
        <v>3.3028917679832419E-11</v>
      </c>
      <c r="U49" s="325">
        <f>U47*(1-FRACw.sM)</f>
        <v>2.3147983490039029E-13</v>
      </c>
      <c r="V49" s="325">
        <f>V47*(1-FRACw.sA)</f>
        <v>1.2320094828356252E-15</v>
      </c>
      <c r="W49" s="326">
        <f>W47*(1-FRACw.sT)</f>
        <v>1.2571814579669722E-14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2.335218550074149E-3</v>
      </c>
      <c r="AG49" s="336">
        <f>SUM(AG11:AG48)</f>
        <v>0.94895854096286369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11695212.287435606</v>
      </c>
      <c r="D51" s="130">
        <f>C51/SUM($C$51,$E$51,$G$51,$I$51,$K$51)</f>
        <v>0.81124998238272639</v>
      </c>
      <c r="E51" s="317">
        <f>SUM(E11,E15,E19,E23,E27,E31,E35,E39,E43,E47)</f>
        <v>1929488.4807473961</v>
      </c>
      <c r="F51" s="130">
        <f>E51/SUM($C$51,$E$51,$G$51,$I$51,$K$51)</f>
        <v>0.13384087928832453</v>
      </c>
      <c r="G51" s="317">
        <f>SUM(G11,G15,G19,G23,G27,G31,G35,G39,G43,G47)</f>
        <v>527419.06352950516</v>
      </c>
      <c r="H51" s="130">
        <f>G51/SUM($C$51,$E$51,$G$51,$I$51,$K$51)</f>
        <v>3.6584945658172691E-2</v>
      </c>
      <c r="I51" s="317">
        <f>SUM(I11,I15,I19,I23,I27,I31,I35,I39,I43,I47)</f>
        <v>261218.45987183711</v>
      </c>
      <c r="J51" s="130">
        <f>I51/SUM($C$51,$E$51,$G$51,$I$51,$K$51)</f>
        <v>1.8119677160262714E-2</v>
      </c>
      <c r="K51" s="317">
        <f>SUM(K11,K15,K19,K23,K27,K31,K35,K39,K43,K47)</f>
        <v>2948.3542230789367</v>
      </c>
      <c r="L51" s="130">
        <f>K51/SUM($C$51,$E$51,$G$51,$I$51,$K$51)</f>
        <v>2.0451551051368583E-4</v>
      </c>
      <c r="M51" s="199"/>
      <c r="N51" s="199"/>
      <c r="O51" s="199"/>
      <c r="P51" s="199"/>
      <c r="Q51" s="199"/>
      <c r="R51" s="199"/>
      <c r="S51" s="328">
        <f>SUM(S11,S15,S19,S23,S27,S35,S39,S43,S47)</f>
        <v>7.370570049045487E-7</v>
      </c>
      <c r="T51" s="328">
        <f>SUM(T11,T15,T19,T23,T27,T35,T39,T43,T47)</f>
        <v>9.3578884354607541E-9</v>
      </c>
      <c r="U51" s="328">
        <f>SUM(U11,U15,U19,U23,U27,U35,U39,U43,U47)</f>
        <v>6.4749518623994244E-11</v>
      </c>
      <c r="V51" s="328">
        <f>SUM(V11,V15,V19,V23,V27,V35,V39,V43,V47)</f>
        <v>2.4721503765126661E-12</v>
      </c>
      <c r="W51" s="328">
        <f>SUM(W11,W15,W19,W23,W27,W35,W39,W43,W47)</f>
        <v>1.4281769365243202E-12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5.4928585052535073E-8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3.8318438802786675E-7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1.0952835295994461E-4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1.0330711226227573E-5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3.0403693656248457E-3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2.4165488486478233E-4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9.1179938416065574E-5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1.7332482928529976E-4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9.1173466622182153E-5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5.659121541690304E-2</v>
      </c>
      <c r="AY72" s="75"/>
      <c r="AZ72" s="256">
        <f>output!AF22</f>
        <v>2.2982563419701051E-6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0.11884823873338524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1.0553640265385826E-2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3.2515367981957228E-3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4.8902529810204626E-6</v>
      </c>
      <c r="BE84" s="2"/>
      <c r="BF84" s="304">
        <f>IF(output!AK30&lt;0,"",output!AK30)</f>
        <v>1.8050249335324614E-6</v>
      </c>
      <c r="BG84" s="75"/>
      <c r="BH84" s="311">
        <f>IF(output!AK29&lt;0,"",output!AK29)</f>
        <v>5.2027926623653154E-6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1.3483013583380548E-6</v>
      </c>
      <c r="AV85" s="87"/>
      <c r="AW85" s="75"/>
      <c r="AX85" s="304">
        <f>output!AL24</f>
        <v>1.1846506857748325E-3</v>
      </c>
      <c r="AY85" s="87"/>
      <c r="AZ85" s="201"/>
      <c r="BA85" s="311">
        <f>IF(output!AI23&lt;0,"",output!AI23)</f>
        <v>3.8208262317853687E-9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5.5641404832367462E-3</v>
      </c>
      <c r="BE86" s="87"/>
      <c r="BF86" s="304">
        <f>IF(output!AJ30&lt;0,"",output!AJ30)</f>
        <v>2.0607927715691646E-3</v>
      </c>
      <c r="BG86" s="75"/>
      <c r="BH86" s="311">
        <f>IF(output!AJ29&lt;0,"",output!AJ29)</f>
        <v>1.236475662941499E-2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3.0856444703100019E-2</v>
      </c>
      <c r="AV87" s="200"/>
      <c r="AW87" s="84"/>
      <c r="AX87" s="304">
        <f>IF(output!AH24&lt;0,"",output!AH24)</f>
        <v>7.9655015285303517E-4</v>
      </c>
      <c r="AY87" s="291">
        <f>output!AL24</f>
        <v>1.1846506857748325E-3</v>
      </c>
      <c r="AZ87" s="75"/>
      <c r="BA87" s="311">
        <f>IF(output!AH23&lt;0,"",output!AH23)</f>
        <v>7.2413650259366846E-5</v>
      </c>
      <c r="BB87" s="291">
        <f>output!AL23</f>
        <v>1.0769551688862114E-4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4.8374114792431911E-6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8.7995361232585218E-4</v>
      </c>
      <c r="AT89" s="83"/>
      <c r="AU89" s="302"/>
      <c r="AV89" s="75"/>
      <c r="AW89" s="81"/>
      <c r="AX89" s="265">
        <f>output!AD24</f>
        <v>4.8374114792431911E-6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4.6550210977037043E-2</v>
      </c>
      <c r="AT90" s="81"/>
      <c r="AU90" s="278">
        <f>output!AD25</f>
        <v>0.14322312314282704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1.75267934842513E-4</v>
      </c>
      <c r="BB91" s="309">
        <f>IF(ISERROR(output!F15),0,output!F15)</f>
        <v>1.0458168917626914E-3</v>
      </c>
      <c r="BC91" s="2"/>
      <c r="BD91" s="295">
        <f>output!AG28</f>
        <v>5.0258143464390415E-3</v>
      </c>
      <c r="BE91" s="2"/>
      <c r="BF91" s="312">
        <f>output!AG30</f>
        <v>1.8612818527260879E-3</v>
      </c>
      <c r="BG91" s="75"/>
      <c r="BH91" s="295">
        <f>output!AG29</f>
        <v>1.1789687595555657E-2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6.2779281311219721E-3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1.0505585284824076E-3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2.6566878612403527E-4</v>
      </c>
      <c r="AZ96" s="75"/>
      <c r="BA96" s="75"/>
      <c r="BB96" s="43"/>
      <c r="BC96" s="2"/>
      <c r="BD96" s="277">
        <f>IF(ISERROR(output!F39),0,output!F39)</f>
        <v>5.9958780446438473E-2</v>
      </c>
      <c r="BE96" s="43"/>
      <c r="BF96" s="277">
        <f>IF(ISERROR(output!F47),0,output!F47)</f>
        <v>2.2205394442318831E-2</v>
      </c>
      <c r="BG96" s="43"/>
      <c r="BH96" s="277">
        <f>IF(ISERROR(output!F43),0,output!F43)</f>
        <v>0.14065288555174743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0.12745724474707879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3.2043149250546852E-4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4.2198850423708123E-5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0.76087152779926637</v>
      </c>
      <c r="AW101" s="56"/>
      <c r="AX101" s="307"/>
      <c r="AY101" s="276">
        <f>IF(ISERROR(output!F23),0,output!F23)</f>
        <v>2.2654760899553971E-3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2.925330418078053E-4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3.6329686226064281E-4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3.4706538491930368E-3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6.4647604670790102E-5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6.1162157820473448E-6</v>
      </c>
      <c r="AW111" s="75"/>
      <c r="AX111" s="290">
        <f>output!AF26</f>
        <v>1.2563855957725116E-5</v>
      </c>
      <c r="AY111" s="75"/>
      <c r="AZ111" s="75"/>
      <c r="BA111" s="75"/>
      <c r="BB111" s="76"/>
      <c r="BC111" s="2"/>
      <c r="BD111" s="295">
        <f>output!AF28</f>
        <v>3.5514866739569592E-6</v>
      </c>
      <c r="BE111" s="76"/>
      <c r="BF111" s="295">
        <f>output!AF30</f>
        <v>1.3162831644354441E-6</v>
      </c>
      <c r="BG111" s="43"/>
      <c r="BH111" s="294">
        <f>output!AF29</f>
        <v>3.7940464213518674E-6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8.7145227584052751E-10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2.3155298529217174E-9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4.2120850526562785E-8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1.9767448897608356E-9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1.1692218510932807E-6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4.6239803657413606E-8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1.4461216962457212E-6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3.8163941362992491E-7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1.4460200254510829E-6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5.5086055787037481E-4</v>
      </c>
      <c r="AT136" s="81">
        <f>output!AD32</f>
        <v>8.6830211387900688E-3</v>
      </c>
      <c r="AU136" s="268">
        <f>output!AF32</f>
        <v>1.732779843657511E-7</v>
      </c>
      <c r="AV136" s="221"/>
      <c r="AW136" s="221"/>
      <c r="AX136" s="221"/>
      <c r="AY136" s="279">
        <f>output!AE38</f>
        <v>7.4539149816674983E-6</v>
      </c>
      <c r="AZ136" s="266">
        <f>output!AD38</f>
        <v>1.7942580420785673E-4</v>
      </c>
      <c r="BA136" s="268">
        <f>output!AF38</f>
        <v>3.9439504774625357E-9</v>
      </c>
      <c r="BB136" s="75"/>
      <c r="BC136" s="75"/>
      <c r="BD136" s="75"/>
      <c r="BE136" s="279">
        <f>output!AE44</f>
        <v>6.5141110642835107E-6</v>
      </c>
      <c r="BF136" s="266">
        <f>output!AD44</f>
        <v>3.1077460907691346E-4</v>
      </c>
      <c r="BG136" s="268">
        <f>output!AF44</f>
        <v>5.9698415505767796E-9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4.2667180162518749E-3</v>
      </c>
      <c r="AV141" s="223" t="s">
        <v>446</v>
      </c>
      <c r="AW141" s="221"/>
      <c r="AX141" s="221"/>
      <c r="AY141" s="2"/>
      <c r="AZ141" s="202"/>
      <c r="BA141" s="269">
        <f>output!AG38</f>
        <v>8.0240930868062148E-5</v>
      </c>
      <c r="BB141" s="47" t="s">
        <v>446</v>
      </c>
      <c r="BC141" s="75"/>
      <c r="BD141" s="75"/>
      <c r="BE141" s="2"/>
      <c r="BF141" s="202"/>
      <c r="BG141" s="269">
        <f>output!AG44</f>
        <v>1.6343258115413369E-4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8.9685030551660651E-4</v>
      </c>
      <c r="AW142" s="221"/>
      <c r="AX142" s="221"/>
      <c r="AY142" s="203"/>
      <c r="AZ142" s="202"/>
      <c r="BA142" s="75"/>
      <c r="BB142" s="277">
        <f>IF(ISERROR(output!J11),0,output!J11)</f>
        <v>4.1215444195352061E-5</v>
      </c>
      <c r="BC142" s="75"/>
      <c r="BD142" s="75"/>
      <c r="BE142" s="203"/>
      <c r="BF142" s="75"/>
      <c r="BG142" s="75"/>
      <c r="BH142" s="277">
        <f>IF(ISERROR(output!L11),0,output!L11)</f>
        <v>5.5273318692824498E-3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1.4133581844030939E-6</v>
      </c>
      <c r="AY144" s="2"/>
      <c r="AZ144" s="75"/>
      <c r="BA144" s="75"/>
      <c r="BB144" s="75"/>
      <c r="BC144" s="75"/>
      <c r="BD144" s="270">
        <f>k.sA.aA*M.sA*Molweight</f>
        <v>3.5740683381738262E-9</v>
      </c>
      <c r="BE144" s="2"/>
      <c r="BF144" s="75"/>
      <c r="BG144" s="75"/>
      <c r="BH144" s="75"/>
      <c r="BI144" s="75"/>
      <c r="BJ144" s="270">
        <f>k.sT.aT*M.sT*Molweight</f>
        <v>7.2357816075919589E-8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2.5045991905340437E-7</v>
      </c>
      <c r="AV145" s="221"/>
      <c r="AW145" s="221"/>
      <c r="AX145" s="221"/>
      <c r="AY145" s="2"/>
      <c r="AZ145" s="75"/>
      <c r="BA145" s="270">
        <f>k.w2A.aA*M.w2A*Molweight</f>
        <v>1.4998610433087372E-9</v>
      </c>
      <c r="BB145" s="75"/>
      <c r="BC145" s="75"/>
      <c r="BD145" s="221"/>
      <c r="BE145" s="2"/>
      <c r="BF145" s="75"/>
      <c r="BG145" s="270">
        <f>k.w2T.aT*M.w2T*Molweight</f>
        <v>3.1081425558334753E-9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1.6081220177509537E-3</v>
      </c>
      <c r="AY146" s="2"/>
      <c r="AZ146" s="75"/>
      <c r="BA146" s="221"/>
      <c r="BB146" s="75"/>
      <c r="BC146" s="75"/>
      <c r="BD146" s="270">
        <f>IF(output!AJ42&lt;0,"",output!AJ42)</f>
        <v>2.9669683659597419E-5</v>
      </c>
      <c r="BE146" s="2"/>
      <c r="BF146" s="75"/>
      <c r="BG146" s="221"/>
      <c r="BH146" s="75"/>
      <c r="BI146" s="75"/>
      <c r="BJ146" s="270">
        <f>IF(output!AJ48&lt;0,"",output!AJ48)</f>
        <v>3.2851244686749907E-5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4.006886169203968E-2</v>
      </c>
      <c r="AT147" s="81">
        <f>output!AD33</f>
        <v>4.9495359648057222E-2</v>
      </c>
      <c r="AU147" s="270">
        <f>IF(output!AH33&lt;0,"",output!AH33)</f>
        <v>2.2588110870359565E-3</v>
      </c>
      <c r="AV147" s="272">
        <f>output!AL33</f>
        <v>1.5314472531294167E-4</v>
      </c>
      <c r="AW147" s="221"/>
      <c r="AX147" s="221"/>
      <c r="AY147" s="279">
        <f>output!AE39</f>
        <v>6.9412144695659437E-3</v>
      </c>
      <c r="AZ147" s="266">
        <f>output!AD39</f>
        <v>7.3618340071738633E-3</v>
      </c>
      <c r="BA147" s="270">
        <f>IF(output!AH39&lt;0,"",output!AH39)</f>
        <v>6.2062404677433697E-5</v>
      </c>
      <c r="BB147" s="272">
        <f>output!AL39</f>
        <v>4.4066653358432982E-6</v>
      </c>
      <c r="BC147" s="75"/>
      <c r="BD147" s="75"/>
      <c r="BE147" s="279">
        <f>output!AE45</f>
        <v>6.8436899768205682E-5</v>
      </c>
      <c r="BF147" s="266">
        <f>output!AD45</f>
        <v>1.7931780654125343E-5</v>
      </c>
      <c r="BG147" s="270">
        <f>IF(output!AH45&lt;0,"",output!AH45)</f>
        <v>1.0804616828882755E-4</v>
      </c>
      <c r="BH147" s="272">
        <f>output!AL45</f>
        <v>2.4079550009544705E-6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0.25853477526812851</v>
      </c>
      <c r="AW150" s="221"/>
      <c r="AX150" s="221"/>
      <c r="AY150" s="2"/>
      <c r="AZ150" s="75"/>
      <c r="BA150" s="59"/>
      <c r="BB150" s="273">
        <f>IF(ISERROR(output!J27),0,output!J27)</f>
        <v>9.8686502506192417E-2</v>
      </c>
      <c r="BC150" s="78"/>
      <c r="BD150" s="75"/>
      <c r="BE150" s="2"/>
      <c r="BF150" s="75"/>
      <c r="BG150" s="59"/>
      <c r="BH150" s="273">
        <f>IF(ISERROR(output!L27),0,output!L27)</f>
        <v>9.5110792217958887E-2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1.4525375000840645E-3</v>
      </c>
      <c r="AY151" s="2"/>
      <c r="AZ151" s="75"/>
      <c r="BA151" s="59"/>
      <c r="BB151" s="49"/>
      <c r="BC151" s="75"/>
      <c r="BD151" s="274">
        <f>output!AJ42</f>
        <v>2.9669683659597419E-5</v>
      </c>
      <c r="BE151" s="2"/>
      <c r="BF151" s="75"/>
      <c r="BG151" s="59"/>
      <c r="BH151" s="59"/>
      <c r="BI151" s="75"/>
      <c r="BJ151" s="274">
        <f>output!AG48</f>
        <v>3.0354753424812028E-5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1.1838203308447374E-2</v>
      </c>
      <c r="AW152" s="221"/>
      <c r="AX152" s="221"/>
      <c r="AY152" s="2"/>
      <c r="AZ152" s="75"/>
      <c r="BA152" s="59"/>
      <c r="BB152" s="257">
        <f>output!AG39</f>
        <v>4.8708710776015435E-4</v>
      </c>
      <c r="BC152" s="2"/>
      <c r="BD152" s="75"/>
      <c r="BE152" s="2"/>
      <c r="BF152" s="75"/>
      <c r="BG152" s="59"/>
      <c r="BH152" s="257">
        <f>output!AG45</f>
        <v>5.9945896033145857E-5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2.9648063997929331E-3</v>
      </c>
      <c r="AU153" s="224"/>
      <c r="AV153" s="225"/>
      <c r="AW153" s="221"/>
      <c r="AX153" s="221"/>
      <c r="AY153" s="2"/>
      <c r="AZ153" s="275">
        <f>k.w3A.w2A*M.w3A*Molweight</f>
        <v>2.0883741064068226E-3</v>
      </c>
      <c r="BA153" s="59"/>
      <c r="BB153" s="49"/>
      <c r="BC153" s="2"/>
      <c r="BD153" s="75"/>
      <c r="BE153" s="2"/>
      <c r="BF153" s="275">
        <f>k.w3T.w2T*M.w3T*Molweight</f>
        <v>1.7931780654125343E-5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3.3967939922174319E-2</v>
      </c>
      <c r="AU155" s="221"/>
      <c r="AV155" s="223" t="s">
        <v>2166</v>
      </c>
      <c r="AW155" s="221"/>
      <c r="AX155" s="271">
        <f>IF(ISERROR(output!H47),0,output!H47)</f>
        <v>6.339573907524762E-2</v>
      </c>
      <c r="AY155" s="2"/>
      <c r="AZ155" s="275">
        <f>k.w2A.w3A*M.w2A*Molweight</f>
        <v>6.9412144695659437E-3</v>
      </c>
      <c r="BA155" s="75"/>
      <c r="BB155" s="223" t="s">
        <v>2166</v>
      </c>
      <c r="BC155" s="47"/>
      <c r="BD155" s="271">
        <f>IF(ISERROR(output!J47),0,output!J47)</f>
        <v>1.0215770695631843E-2</v>
      </c>
      <c r="BE155" s="2"/>
      <c r="BF155" s="275">
        <f>k.w2T.w3T*M.w2T*Molweight</f>
        <v>6.3723953450622449E-5</v>
      </c>
      <c r="BG155" s="75"/>
      <c r="BH155" s="223" t="s">
        <v>2166</v>
      </c>
      <c r="BI155" s="47"/>
      <c r="BJ155" s="271">
        <f>IF(ISERROR(output!L47),0,output!L47)</f>
        <v>9.6249081691405738E-2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0.67696677341059386</v>
      </c>
      <c r="AW156" s="221"/>
      <c r="AX156" s="221"/>
      <c r="AY156" s="203"/>
      <c r="AZ156" s="2"/>
      <c r="BA156" s="75"/>
      <c r="BB156" s="273">
        <f>IF(ISERROR(output!J31),0,output!J31)</f>
        <v>0.89074183223734316</v>
      </c>
      <c r="BC156" s="75"/>
      <c r="BD156" s="75"/>
      <c r="BE156" s="203"/>
      <c r="BF156" s="2"/>
      <c r="BG156" s="75"/>
      <c r="BH156" s="273">
        <f>IF(ISERROR(output!L31),0,output!L31)</f>
        <v>0.80291904607616815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3.4250871144511424E-3</v>
      </c>
      <c r="AT157" s="266">
        <f>output!AD34</f>
        <v>3.4424171705626193E-2</v>
      </c>
      <c r="AU157" s="221"/>
      <c r="AV157" s="225"/>
      <c r="AW157" s="226"/>
      <c r="AX157" s="221"/>
      <c r="AY157" s="279">
        <f>output!AE40</f>
        <v>2.5446058898586994E-3</v>
      </c>
      <c r="AZ157" s="266">
        <f>output!AD40</f>
        <v>6.9412144695659437E-3</v>
      </c>
      <c r="BA157" s="75"/>
      <c r="BB157" s="2"/>
      <c r="BC157" s="76"/>
      <c r="BD157" s="75"/>
      <c r="BE157" s="279">
        <f>output!AE46</f>
        <v>1.7931780654125343E-5</v>
      </c>
      <c r="BF157" s="266">
        <f>output!AD46</f>
        <v>5.2400466810883204E-4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3.099803609934787E-2</v>
      </c>
      <c r="AW158" s="226"/>
      <c r="AX158" s="221"/>
      <c r="AY158" s="2"/>
      <c r="AZ158" s="75"/>
      <c r="BA158" s="75"/>
      <c r="BB158" s="274">
        <f>output!AG40</f>
        <v>4.3964357010042327E-3</v>
      </c>
      <c r="BC158" s="2"/>
      <c r="BD158" s="75"/>
      <c r="BE158" s="2"/>
      <c r="BF158" s="75"/>
      <c r="BG158" s="75"/>
      <c r="BH158" s="274">
        <f>output!AG46</f>
        <v>5.0605930764212857E-4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4.8418438031319073E-6</v>
      </c>
      <c r="AU159" s="221"/>
      <c r="AV159" s="221"/>
      <c r="AW159" s="226"/>
      <c r="AX159" s="221"/>
      <c r="AY159" s="2"/>
      <c r="AZ159" s="272">
        <f>k.sdA.w3A*M.sdA*Molweight</f>
        <v>3.665718814959619E-6</v>
      </c>
      <c r="BA159" s="2"/>
      <c r="BB159" s="75"/>
      <c r="BC159" s="2"/>
      <c r="BD159" s="75"/>
      <c r="BE159" s="2"/>
      <c r="BF159" s="275">
        <f>k.sdT.w3T*M.sdT*Molweight</f>
        <v>2.5474435842163749E-8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5.8903356303164405E-6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3.8385975179694811E-6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3.9054248420282402E-8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2.0586194051348616E-4</v>
      </c>
      <c r="AW162" s="221"/>
      <c r="AX162" s="221"/>
      <c r="AY162" s="2"/>
      <c r="AZ162" s="75"/>
      <c r="BA162" s="47"/>
      <c r="BB162" s="276">
        <f>IF(ISERROR(output!J35),0,output!J35)</f>
        <v>3.1467911663726089E-4</v>
      </c>
      <c r="BC162" s="75"/>
      <c r="BD162" s="75"/>
      <c r="BE162" s="2"/>
      <c r="BF162" s="75"/>
      <c r="BG162" s="47"/>
      <c r="BH162" s="276">
        <f>IF(ISERROR(output!L35),0,output!L35)</f>
        <v>1.9374814518479416E-4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1.0481678449888987E-6</v>
      </c>
      <c r="AV164" s="269">
        <f>output!AF35</f>
        <v>3.2398219563602611E-10</v>
      </c>
      <c r="AW164" s="221"/>
      <c r="AX164" s="274">
        <f>output!AF36</f>
        <v>1.0264341695443648E-6</v>
      </c>
      <c r="AY164" s="2"/>
      <c r="AZ164" s="2"/>
      <c r="BA164" s="269">
        <f>output!AG41</f>
        <v>1.7270493336204775E-7</v>
      </c>
      <c r="BB164" s="269">
        <f>output!AF41</f>
        <v>1.7376964781374644E-10</v>
      </c>
      <c r="BC164" s="75"/>
      <c r="BD164" s="274">
        <f>output!AF42</f>
        <v>2.9257160758077977E-8</v>
      </c>
      <c r="BE164" s="2"/>
      <c r="BF164" s="2"/>
      <c r="BG164" s="269">
        <f>output!AG47</f>
        <v>1.3578604988565828E-8</v>
      </c>
      <c r="BH164" s="269">
        <f>output!AF47</f>
        <v>1.207589552827037E-12</v>
      </c>
      <c r="BI164" s="75"/>
      <c r="BJ164" s="274">
        <f>output!AF48</f>
        <v>1.6178444907488981E-8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473.01594826171919</v>
      </c>
      <c r="BA172" s="128">
        <f>output!I11</f>
        <v>10.766234855643514</v>
      </c>
      <c r="BB172" s="128">
        <f>output!K11</f>
        <v>16.296532259157704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136356.16906172741</v>
      </c>
      <c r="BA173" s="128">
        <f>output!I27</f>
        <v>25778.736194805777</v>
      </c>
      <c r="BB173" s="128">
        <f>output!K27</f>
        <v>280.42030589620236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357045.18167280615</v>
      </c>
      <c r="BA174" s="128">
        <f>output!I31</f>
        <v>232678.20956045709</v>
      </c>
      <c r="BB174" s="128">
        <f>output!K31</f>
        <v>2367.2897602891817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108.57551188198957</v>
      </c>
      <c r="BA175" s="128">
        <f>output!I35</f>
        <v>82.199994201815485</v>
      </c>
      <c r="BB175" s="128">
        <f>output!K35</f>
        <v>0.57123816206929878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33436.121334827956</v>
      </c>
      <c r="BA176" s="128">
        <f>output!I47</f>
        <v>2668.547887516796</v>
      </c>
      <c r="BB176" s="128">
        <f>output!K47</f>
        <v>283.77638647232567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0.48054288819358054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1.4416286645807417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1.4416286645807417</v>
      </c>
      <c r="G11" s="508">
        <f>2*Scale*(M.tot/Emis.tot)/(3600*24*365)</f>
        <v>2.8832573291614834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9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1.9754002880121276E-3</v>
      </c>
      <c r="M271" s="451">
        <f>((DRYDEPaerosol.R+AerosolWashout.R+GasWashout.R+GASABS.aR.sR)/HEIGHT.aR)*AREAFRAC.s1R</f>
        <v>1.9754002880121276E-3</v>
      </c>
      <c r="N271" s="451">
        <f>((DRYDEPaerosol.R+AerosolWashout.R+GasWashout.R+GASABS.aR.sR)/HEIGHT.aR)*AREAFRAC.s1R</f>
        <v>1.9754002880121276E-3</v>
      </c>
      <c r="O271" s="451">
        <f>((DRYDEPaerosol.R+AerosolWashout.R+GasWashout.R+GASABS.aR.sR)/HEIGHT.aR)*AREAFRAC.s1R</f>
        <v>1.9754002880121276E-3</v>
      </c>
      <c r="P271" s="451">
        <f>((DRYDEPaerosol.R+AerosolWashout.R+GasWashout.R+GASABS.aR.sR)/HEIGHT.aR)*AREAFRAC.s1R</f>
        <v>1.9754002880121276E-3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4.389778417804727E-3</v>
      </c>
      <c r="M272" s="451">
        <f>((DRYDEPaerosol.R+AerosolWashout.R+GasWashout.R+GASABS.aR.sR)/HEIGHT.aR)*AREAFRAC.s2R</f>
        <v>4.389778417804727E-3</v>
      </c>
      <c r="N272" s="451">
        <f>((DRYDEPaerosol.R+AerosolWashout.R+GasWashout.R+GASABS.aR.sR)/HEIGHT.aR)*AREAFRAC.s2R</f>
        <v>4.389778417804727E-3</v>
      </c>
      <c r="O272" s="451">
        <f>((DRYDEPaerosol.R+AerosolWashout.R+GasWashout.R+GASABS.aR.sR)/HEIGHT.aR)*AREAFRAC.s2R</f>
        <v>4.389778417804727E-3</v>
      </c>
      <c r="P272" s="451">
        <f>((DRYDEPaerosol.R+AerosolWashout.R+GasWashout.R+GASABS.aR.sR)/HEIGHT.aR)*AREAFRAC.s2R</f>
        <v>4.389778417804727E-3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7.3162973630078783E-4</v>
      </c>
      <c r="M273" s="451">
        <f>((DRYDEPaerosol.R+AerosolWashout.R+GasWashout.R+GASABS.aR.sR)/HEIGHT.aR)*AREAFRAC.s3R</f>
        <v>7.3162973630078783E-4</v>
      </c>
      <c r="N273" s="451">
        <f>((DRYDEPaerosol.R+AerosolWashout.R+GasWashout.R+GASABS.aR.sR)/HEIGHT.aR)*AREAFRAC.s3R</f>
        <v>7.3162973630078783E-4</v>
      </c>
      <c r="O273" s="451">
        <f>((DRYDEPaerosol.R+AerosolWashout.R+GasWashout.R+GASABS.aR.sR)/HEIGHT.aR)*AREAFRAC.s3R</f>
        <v>7.3162973630078783E-4</v>
      </c>
      <c r="P273" s="451">
        <f>((DRYDEPaerosol.R+AerosolWashout.R+GasWashout.R+GASABS.aR.sR)/HEIGHT.aR)*AREAFRAC.s3R</f>
        <v>7.3162973630078783E-4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9.6066332869602325E-4</v>
      </c>
      <c r="M496" s="451">
        <f>((DRYDEPaerosol.C+AerosolWashout.C+GasWashout.C+GASABS.aC.sC)/HEIGHT.aC)*AREAFRAC.s1C</f>
        <v>9.6066332869602325E-4</v>
      </c>
      <c r="N496" s="451">
        <f>((DRYDEPaerosol.C+AerosolWashout.C+GasWashout.C+GASABS.aC.sC)/HEIGHT.aC)*AREAFRAC.s1C</f>
        <v>9.6066332869602325E-4</v>
      </c>
      <c r="O496" s="451">
        <f>((DRYDEPaerosol.C+AerosolWashout.C+GasWashout.C+GASABS.aC.sC)/HEIGHT.aC)*AREAFRAC.s1C</f>
        <v>9.6066332869602325E-4</v>
      </c>
      <c r="P496" s="451">
        <f>((DRYDEPaerosol.C+AerosolWashout.C+GasWashout.C+GASABS.aC.sC)/HEIGHT.aC)*AREAFRAC.s1C</f>
        <v>9.6066332869602325E-4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2.1348073971022737E-3</v>
      </c>
      <c r="M497" s="451">
        <f>((DRYDEPaerosol.C+AerosolWashout.C+GasWashout.C+GASABS.aC.sC)/HEIGHT.aC)*AREAFRAC.s2C</f>
        <v>2.1348073971022737E-3</v>
      </c>
      <c r="N497" s="451">
        <f>((DRYDEPaerosol.C+AerosolWashout.C+GasWashout.C+GASABS.aC.sC)/HEIGHT.aC)*AREAFRAC.s2C</f>
        <v>2.1348073971022737E-3</v>
      </c>
      <c r="O497" s="451">
        <f>((DRYDEPaerosol.C+AerosolWashout.C+GasWashout.C+GASABS.aC.sC)/HEIGHT.aC)*AREAFRAC.s2C</f>
        <v>2.1348073971022737E-3</v>
      </c>
      <c r="P497" s="451">
        <f>((DRYDEPaerosol.C+AerosolWashout.C+GasWashout.C+GASABS.aC.sC)/HEIGHT.aC)*AREAFRAC.s2C</f>
        <v>2.1348073971022737E-3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3.5580123285037889E-4</v>
      </c>
      <c r="M498" s="451">
        <f>((DRYDEPaerosol.C+AerosolWashout.C+GasWashout.C+GASABS.aC.sC)/HEIGHT.aC)*AREAFRAC.s3C</f>
        <v>3.5580123285037889E-4</v>
      </c>
      <c r="N498" s="451">
        <f>((DRYDEPaerosol.C+AerosolWashout.C+GasWashout.C+GASABS.aC.sC)/HEIGHT.aC)*AREAFRAC.s3C</f>
        <v>3.5580123285037889E-4</v>
      </c>
      <c r="O498" s="451">
        <f>((DRYDEPaerosol.C+AerosolWashout.C+GasWashout.C+GASABS.aC.sC)/HEIGHT.aC)*AREAFRAC.s3C</f>
        <v>3.5580123285037889E-4</v>
      </c>
      <c r="P498" s="451">
        <f>((DRYDEPaerosol.C+AerosolWashout.C+GasWashout.C+GASABS.aC.sC)/HEIGHT.aC)*AREAFRAC.s3C</f>
        <v>3.5580123285037889E-4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3.6741531820136471E-3</v>
      </c>
      <c r="M681" s="452">
        <f>((DRYDEPaerosol.M+AerosolWashout.M+GasWashout.M+GASABS.aM.sM)/HEIGHT.aC)*AREAFRAC.sM</f>
        <v>3.6741531820136471E-3</v>
      </c>
      <c r="N681" s="452">
        <f>((DRYDEPaerosol.M+AerosolWashout.M+GasWashout.M+GASABS.aM.sM)/HEIGHT.aC)*AREAFRAC.sM</f>
        <v>3.6741531820136471E-3</v>
      </c>
      <c r="O681" s="452">
        <f>((DRYDEPaerosol.M+AerosolWashout.M+GasWashout.M+GASABS.aM.sM)/HEIGHT.aC)*AREAFRAC.sM</f>
        <v>3.6741531820136471E-3</v>
      </c>
      <c r="P681" s="452">
        <f>((DRYDEPaerosol.M+AerosolWashout.M+GasWashout.M+GASABS.aM.sM)/HEIGHT.aC)*AREAFRAC.sM</f>
        <v>3.6741531820136471E-3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3.2732803484141253E-2</v>
      </c>
      <c r="M817" s="451">
        <f>((DRYDEPaerosol.A+AerosolWashout.A+GasWashout.A+GASABS.aA.sA)/HEIGHT.aC)*AREAFRAC.sA</f>
        <v>3.2732803484141253E-2</v>
      </c>
      <c r="N817" s="451">
        <f>((DRYDEPaerosol.A+AerosolWashout.A+GasWashout.A+GASABS.aA.sA)/HEIGHT.aC)*AREAFRAC.sA</f>
        <v>3.2732803484141253E-2</v>
      </c>
      <c r="O817" s="451">
        <f>((DRYDEPaerosol.A+AerosolWashout.A+GasWashout.A+GASABS.aA.sA)/HEIGHT.aC)*AREAFRAC.sA</f>
        <v>3.2732803484141253E-2</v>
      </c>
      <c r="P817" s="451">
        <f>((DRYDEPaerosol.A+AerosolWashout.A+GasWashout.A+GASABS.aA.sA)/HEIGHT.aC)*AREAFRAC.sA</f>
        <v>3.2732803484141253E-2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6.7957943816697724E-4</v>
      </c>
      <c r="M953" s="451">
        <f>((DRYDEPaerosol.T+AerosolWashout.T+GasWashout.T+GASABS.aT.sT)/HEIGHT.aT)*AREAFRAC.sT</f>
        <v>6.7957943816697724E-4</v>
      </c>
      <c r="N953" s="451">
        <f>((DRYDEPaerosol.T+AerosolWashout.T+GasWashout.T+GASABS.aT.sT)/HEIGHT.aT)*AREAFRAC.sT</f>
        <v>6.7957943816697724E-4</v>
      </c>
      <c r="O953" s="451">
        <f>((DRYDEPaerosol.T+AerosolWashout.T+GasWashout.T+GASABS.aT.sT)/HEIGHT.aT)*AREAFRAC.sT</f>
        <v>6.7957943816697724E-4</v>
      </c>
      <c r="P953" s="451">
        <f>((DRYDEPaerosol.T+AerosolWashout.T+GasWashout.T+GASABS.aT.sT)/HEIGHT.aT)*AREAFRAC.sT</f>
        <v>6.7957943816697724E-4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06" transitionEvaluation="1" transitionEntry="1" codeName="Sheet2"/>
  <dimension ref="A1:O219"/>
  <sheetViews>
    <sheetView topLeftCell="A106" zoomScaleNormal="100" workbookViewId="0">
      <selection activeCell="K138" sqref="K13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2.3739569380188086E-8</v>
      </c>
      <c r="L108" s="664">
        <f>IF(ISBLANK(I108),IF(ISNUMBER(J108)=FALSE,K108,J108),I108)</f>
        <v>2.3739569380188086E-8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2.6113526318206898E-7</v>
      </c>
      <c r="L109" s="664">
        <f t="shared" ref="L109:L137" si="4">IF(ISBLANK(I109),IF(ISNUMBER(J109)=FALSE,K109,J109),I109)</f>
        <v>2.6113526318206898E-7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4.1544506068492124E-8</v>
      </c>
      <c r="L110" s="664">
        <f t="shared" si="4"/>
        <v>4.1544506068492124E-8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1.8242769560973718E-6</v>
      </c>
      <c r="L111" s="664">
        <f t="shared" si="4"/>
        <v>1.8242769560973718E-6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4.0539487913274925E-6</v>
      </c>
      <c r="L112" s="664">
        <f t="shared" si="4"/>
        <v>4.0539487913274925E-6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6.7565813188791542E-7</v>
      </c>
      <c r="L113" s="664">
        <f t="shared" si="4"/>
        <v>6.7565813188791542E-7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4.2270398837526125E-11</v>
      </c>
      <c r="L117" s="664">
        <f t="shared" si="4"/>
        <v>4.2270398837526125E-11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1.9185759281117113E-11</v>
      </c>
      <c r="L118" s="664">
        <f t="shared" si="4"/>
        <v>1.9185759281117113E-11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4.2161478458732919E-11</v>
      </c>
      <c r="L119" s="664">
        <f t="shared" si="4"/>
        <v>4.2161478458732919E-11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5.7638446293405443E-6</v>
      </c>
      <c r="L120" s="664">
        <f t="shared" si="4"/>
        <v>5.7638446293405443E-6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2.5320687308717479E-5</v>
      </c>
      <c r="L121" s="664">
        <f t="shared" si="4"/>
        <v>2.5320687308717479E-5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1.9580769786137339E-5</v>
      </c>
      <c r="L122" s="664">
        <f t="shared" si="4"/>
        <v>1.9580769786137339E-5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7.3668169826823521E-3</v>
      </c>
      <c r="L123" s="664">
        <f t="shared" si="4"/>
        <v>7.3668169826823521E-3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1.0222969175601312E-3</v>
      </c>
      <c r="L132" s="664">
        <f t="shared" si="5"/>
        <v>1.0222969175601312E-3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2.1135199418763065E-12</v>
      </c>
      <c r="L138" s="664">
        <f t="shared" ref="L138:L145" si="6">IF(ISBLANK(I138),IF(ISNUMBER(J138)=FALSE,K138,J138),I138)</f>
        <v>2.1135199418763065E-12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3.8371518562234229E-12</v>
      </c>
      <c r="L139" s="664">
        <f t="shared" si="6"/>
        <v>3.8371518562234229E-12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2.1080739229366462E-12</v>
      </c>
      <c r="L140" s="664">
        <f t="shared" si="6"/>
        <v>2.1080739229366462E-12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6.0755804044606696E-8</v>
      </c>
      <c r="L149" s="664">
        <f t="shared" si="7"/>
        <v>6.0755804044606696E-8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4.3682943293577E-8</v>
      </c>
      <c r="L150" s="664">
        <f t="shared" si="7"/>
        <v>4.3682943293577E-8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9.0206076770066419E-6</v>
      </c>
      <c r="L187" s="664">
        <f t="shared" ref="L187:L211" si="9">IF(ISBLANK(I187),IF(ISNUMBER(J187)=FALSE,K187,J187),I187)</f>
        <v>9.0206076770066419E-6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4.3472863365271319E-8</v>
      </c>
      <c r="L193" s="664">
        <f t="shared" si="9"/>
        <v>4.3472863365271319E-8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4.3456145152004627E-8</v>
      </c>
      <c r="L194" s="664">
        <f t="shared" si="9"/>
        <v>4.3456145152004627E-8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4.3472886943431158E-8</v>
      </c>
      <c r="L195" s="664">
        <f t="shared" si="9"/>
        <v>4.3472886943431158E-8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9.0202413511248139E-6</v>
      </c>
      <c r="L197" s="664">
        <f t="shared" si="9"/>
        <v>9.0202413511248139E-6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1.1542226079497355E-8</v>
      </c>
      <c r="L114" s="664">
        <f>IF(ISBLANK(I114),IF(ISNUMBER(J114)=FALSE,K114,J114),I114)</f>
        <v>1.1542226079497355E-8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1.2696448687447087E-7</v>
      </c>
      <c r="L115" s="664">
        <f t="shared" ref="L115:L136" si="4">IF(ISBLANK(I115),IF(ISNUMBER(J115)=FALSE,K115,J115),I115)</f>
        <v>1.2696448687447087E-7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4.9183000649331315E-6</v>
      </c>
      <c r="L116" s="664">
        <f t="shared" si="4"/>
        <v>4.9183000649331315E-6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8.8688482303507228E-7</v>
      </c>
      <c r="L117" s="664">
        <f t="shared" si="4"/>
        <v>8.8688482303507228E-7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1.9708551623001603E-6</v>
      </c>
      <c r="L118" s="664">
        <f t="shared" si="4"/>
        <v>1.9708551623001603E-6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3.2847586038336002E-7</v>
      </c>
      <c r="L119" s="664">
        <f t="shared" si="4"/>
        <v>3.2847586038336002E-7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4.2270398837526125E-11</v>
      </c>
      <c r="L123" s="664">
        <f t="shared" si="4"/>
        <v>4.2270398837526125E-11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1.9171040409881066E-11</v>
      </c>
      <c r="L124" s="664">
        <f t="shared" si="4"/>
        <v>1.9171040409881066E-11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4.2129133146594749E-11</v>
      </c>
      <c r="L125" s="664">
        <f t="shared" si="4"/>
        <v>4.2129133146594749E-11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5.7616628679288897E-6</v>
      </c>
      <c r="L126" s="664">
        <f t="shared" si="4"/>
        <v>5.7616628679288897E-6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1.8945439938357102E-5</v>
      </c>
      <c r="L127" s="664">
        <f t="shared" si="4"/>
        <v>1.8945439938357102E-5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1.3207704177188618E-5</v>
      </c>
      <c r="L128" s="664">
        <f t="shared" si="4"/>
        <v>1.3207704177188618E-5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7.3604439170734028E-3</v>
      </c>
      <c r="L129" s="664">
        <f t="shared" si="4"/>
        <v>7.3604439170734028E-3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1.0222969175601312E-3</v>
      </c>
      <c r="L138" s="664">
        <f t="shared" si="5"/>
        <v>1.0222969175601312E-3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2.1135199418763065E-12</v>
      </c>
      <c r="L144" s="664">
        <f t="shared" si="5"/>
        <v>2.1135199418763065E-12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3.8342080819762133E-12</v>
      </c>
      <c r="L145" s="664">
        <f t="shared" si="5"/>
        <v>3.8342080819762133E-12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2.1064566573297375E-12</v>
      </c>
      <c r="L146" s="664">
        <f t="shared" si="5"/>
        <v>2.1064566573297375E-12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6.077694390583737E-8</v>
      </c>
      <c r="L155" s="664">
        <f t="shared" si="6"/>
        <v>6.077694390583737E-8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4.3683903201830158E-8</v>
      </c>
      <c r="L156" s="664">
        <f t="shared" si="6"/>
        <v>4.3683903201830158E-8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9.0206076770066419E-6</v>
      </c>
      <c r="L193" s="664">
        <f t="shared" ref="L193:L217" si="11">IF(ISBLANK(I193),IF(ISNUMBER(J193)=FALSE,K193,J193),I193)</f>
        <v>9.0206076770066419E-6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1.056714777841879E-8</v>
      </c>
      <c r="L198" s="664">
        <f t="shared" si="11"/>
        <v>1.056714777841879E-8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4.3472863365271319E-8</v>
      </c>
      <c r="L199" s="664">
        <f t="shared" si="11"/>
        <v>4.3472863365271319E-8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4.3456145152004627E-8</v>
      </c>
      <c r="L200" s="664">
        <f t="shared" si="11"/>
        <v>4.3456145152004627E-8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4.3472886943431158E-8</v>
      </c>
      <c r="L201" s="664">
        <f t="shared" si="11"/>
        <v>4.3472886943431158E-8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9.0202413511248139E-6</v>
      </c>
      <c r="L203" s="664">
        <f t="shared" si="11"/>
        <v>9.0202413511248139E-6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4.7753381156319045E-6</v>
      </c>
      <c r="L76" s="664">
        <f t="shared" ref="L76:L89" si="4">IF(ISBLANK(I76),IF(ISNUMBER(J76)=FALSE,K76,J76),I76)</f>
        <v>4.7753381156319045E-6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3.3997205034219729E-6</v>
      </c>
      <c r="L77" s="664">
        <f t="shared" si="4"/>
        <v>3.3997205034219729E-6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4.2270398837526125E-11</v>
      </c>
      <c r="L79" s="664">
        <f t="shared" si="4"/>
        <v>4.2270398837526125E-11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5.7771440892838148E-6</v>
      </c>
      <c r="L80" s="664">
        <f t="shared" si="4"/>
        <v>5.7771440892838148E-6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1.8359870762970617E-5</v>
      </c>
      <c r="L81" s="664">
        <f t="shared" si="4"/>
        <v>1.8359870762970617E-5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1.2606653780447208E-5</v>
      </c>
      <c r="L82" s="664">
        <f t="shared" si="4"/>
        <v>1.2606653780447208E-5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7.359842866676662E-3</v>
      </c>
      <c r="L83" s="664">
        <f t="shared" si="4"/>
        <v>7.359842866676662E-3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1.0222969175601312E-3</v>
      </c>
      <c r="L93" s="664">
        <f>IF(ISBLANK(I93),IF(ISNUMBER(J93)=FALSE,K93,J93),I93)</f>
        <v>1.0222969175601312E-3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2.1135199418763065E-12</v>
      </c>
      <c r="L95" s="664">
        <f>IF(ISBLANK(I95),IF(ISNUMBER(J95)=FALSE,K95,J95),I95)</f>
        <v>2.1135199418763065E-12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4.4594252600848833E-8</v>
      </c>
      <c r="L104" s="664">
        <f t="shared" si="6"/>
        <v>4.4594252600848833E-8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9.0206076770066419E-6</v>
      </c>
      <c r="L123" s="664">
        <f t="shared" ref="L123:L138" si="7">IF(ISBLANK(I123),IF(ISNUMBER(J123)=FALSE,K123,J123),I123)</f>
        <v>9.0206076770066419E-6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4.3472863365271319E-8</v>
      </c>
      <c r="L127" s="664">
        <f t="shared" si="7"/>
        <v>4.3472863365271319E-8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9.0202413511248139E-6</v>
      </c>
      <c r="L129" s="664">
        <f t="shared" si="7"/>
        <v>9.0202413511248139E-6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5.7645412263045167E-6</v>
      </c>
      <c r="L212" s="664">
        <f t="shared" ref="L212:L225" si="12">IF(ISBLANK(I212),IF(ISNUMBER(J212)=FALSE,K212,J212),I212)</f>
        <v>5.7645412263045167E-6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2.7558086979725298E-6</v>
      </c>
      <c r="L213" s="664">
        <f t="shared" si="12"/>
        <v>2.7558086979725298E-6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1.3393307854406381E-12</v>
      </c>
      <c r="L215" s="664">
        <f t="shared" si="12"/>
        <v>1.3393307854406381E-12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5.8791562822336185E-6</v>
      </c>
      <c r="L216" s="664">
        <f t="shared" si="12"/>
        <v>5.8791562822336185E-6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1.6665708726640642E-5</v>
      </c>
      <c r="L217" s="664">
        <f t="shared" si="12"/>
        <v>1.6665708726640642E-5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1.0822187097280837E-5</v>
      </c>
      <c r="L218" s="664">
        <f t="shared" si="12"/>
        <v>1.0822187097280837E-5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8.1841749262681965E-2</v>
      </c>
      <c r="L219" s="664">
        <f t="shared" si="12"/>
        <v>8.1841749262681965E-2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1.0103654626977051E-3</v>
      </c>
      <c r="L229" s="664">
        <f>IF(ISBLANK(I229),IF(ISNUMBER(J229)=FALSE,K229,J229),I229)</f>
        <v>1.0103654626977051E-3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6.6966539272031908E-14</v>
      </c>
      <c r="L231" s="664">
        <f>IF(ISBLANK(I231),IF(ISNUMBER(J231)=FALSE,K231,J231),I231)</f>
        <v>6.6966539272031908E-14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4.4595122549031241E-8</v>
      </c>
      <c r="L240" s="664">
        <f t="shared" si="14"/>
        <v>4.4595122549031241E-8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7.4533832759998107E-6</v>
      </c>
      <c r="L259" s="664">
        <f t="shared" ref="L259:L274" si="15">IF(ISBLANK(I259),IF(ISNUMBER(J259)=FALSE,K259,J259),I259)</f>
        <v>7.4533832759998107E-6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9.4656140043718675E-9</v>
      </c>
      <c r="L263" s="664">
        <f t="shared" si="15"/>
        <v>9.4656140043718675E-9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7.4530169501179827E-6</v>
      </c>
      <c r="L265" s="664">
        <f t="shared" si="15"/>
        <v>7.4530169501179827E-6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6.6300097818731875E-6</v>
      </c>
      <c r="L348" s="664">
        <f t="shared" ref="L348:L361" si="20">IF(ISBLANK(I348),IF(ISNUMBER(J348)=FALSE,K348,J348),I348)</f>
        <v>6.6300097818731875E-6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2.0158426445779233E-6</v>
      </c>
      <c r="L349" s="664">
        <f t="shared" si="20"/>
        <v>2.0158426445779233E-6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2.5498180794890081E-10</v>
      </c>
      <c r="L351" s="664">
        <f t="shared" si="20"/>
        <v>2.5498180794890081E-10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5.6974076031252021E-6</v>
      </c>
      <c r="L352" s="664">
        <f t="shared" si="20"/>
        <v>5.6974076031252021E-6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1.9074248450575631E-5</v>
      </c>
      <c r="L353" s="664">
        <f t="shared" si="20"/>
        <v>1.9074248450575631E-5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1.3400444458905253E-5</v>
      </c>
      <c r="L354" s="664">
        <f t="shared" si="20"/>
        <v>1.3400444458905253E-5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2.2775959632471187E-3</v>
      </c>
      <c r="L355" s="664">
        <f t="shared" si="20"/>
        <v>2.2775959632471187E-3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1.0220678788012071E-3</v>
      </c>
      <c r="L365" s="664">
        <f>IF(ISBLANK(I365),IF(ISNUMBER(J365)=FALSE,K365,J365),I365)</f>
        <v>1.0220678788012071E-3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1.2749090397445042E-11</v>
      </c>
      <c r="L367" s="664">
        <f>IF(ISBLANK(I367),IF(ISNUMBER(J367)=FALSE,K367,J367),I367)</f>
        <v>1.2749090397445042E-11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4.4595122549031241E-8</v>
      </c>
      <c r="L376" s="664">
        <f t="shared" si="22"/>
        <v>4.4595122549031241E-8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1.00290385952411E-5</v>
      </c>
      <c r="L395" s="664">
        <f t="shared" ref="L395:L410" si="23">IF(ISBLANK(I395),IF(ISNUMBER(J395)=FALSE,K395,J395),I395)</f>
        <v>1.00290385952411E-5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1.070241687381601E-7</v>
      </c>
      <c r="L399" s="664">
        <f t="shared" si="23"/>
        <v>1.070241687381601E-7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1.0028672269359272E-5</v>
      </c>
      <c r="L401" s="664">
        <f t="shared" si="23"/>
        <v>1.0028672269359272E-5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-2.5321053634599309E-5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4.2270398837526125E-11</v>
      </c>
      <c r="K9" s="179">
        <f>k.s2R.aR</f>
        <v>1.9185759281117113E-11</v>
      </c>
      <c r="L9" s="179">
        <f>k.s3R.aR</f>
        <v>4.2161478458732919E-11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2.3739569380188086E-8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2.6113526318206898E-7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4.1544506068492124E-8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4.3682943293577E-8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-7.3304986746076396E-8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-5.4251050980248959E-8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1.8242769560973718E-6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-4.809535177980979E-8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4.0539487913274925E-6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-4.5561170887084385E-8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6.7565813188791542E-7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-4.8098765746778479E-8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-1.8945806264238928E-5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4.2270398837526125E-11</v>
      </c>
      <c r="T18" s="691">
        <f>k.s2C.aC</f>
        <v>1.9171040409881066E-11</v>
      </c>
      <c r="U18" s="691">
        <f>k.s3C.aC</f>
        <v>4.2129133146594749E-11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1.1542226079497355E-8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1.2696448687447087E-7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6.077694390583737E-8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4.9183000649331315E-6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4.3683903201830158E-8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-7.3304986746076383E-8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-5.4251050980248952E-8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8.8688482303507228E-7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-4.809535177980979E-8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1.9708551623001603E-6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-4.556115616821315E-8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3.2847586038336002E-7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-4.8098733401466337E-8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-1.8360237088852444E-5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4.2270398837526125E-11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4.7753381156319045E-6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-5.4251050980248946E-8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3.3997205034219729E-6</v>
      </c>
      <c r="W31" s="376">
        <v>0</v>
      </c>
      <c r="X31" s="376">
        <v>0</v>
      </c>
      <c r="Y31" s="376">
        <v>0</v>
      </c>
      <c r="Z31" s="378">
        <f>-k.sM-SUM(Z9:Z30,Z32:Z41)</f>
        <v>-4.809535177980979E-8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-1.6666075052522468E-5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1.3393307854406381E-12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5.7645412263045167E-6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-4.669826993594484E-8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2.7558086979725298E-6</v>
      </c>
      <c r="AB36" s="376">
        <v>0</v>
      </c>
      <c r="AC36" s="376">
        <v>0</v>
      </c>
      <c r="AD36" s="376">
        <v>0</v>
      </c>
      <c r="AE36" s="378">
        <f>-k.sA-SUM(AE9:AE35,AE37:AE41)</f>
        <v>-1.1118287889225924E-8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-1.9074614776457458E-5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2.5498180794890081E-10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6.6300097818731875E-6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-6.836771597823432E-8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2.0158426445779233E-6</v>
      </c>
      <c r="AG41" s="373">
        <v>0</v>
      </c>
      <c r="AH41" s="373">
        <v>0</v>
      </c>
      <c r="AI41" s="373">
        <v>0</v>
      </c>
      <c r="AJ41" s="381">
        <f>-k.sT-SUM(AJ9:AJ40)</f>
        <v>-1.1576454649778837E-7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64295275.380463019</v>
      </c>
      <c r="D45" s="370">
        <f t="array" ref="D45:AJ45">TRANSPOSE(MMULT(MINVERSE(D9:AJ41),-TRANSPOSE(D5:AJ5)))</f>
        <v>56239.208235262136</v>
      </c>
      <c r="E45" s="370">
        <v>97654.597684784472</v>
      </c>
      <c r="F45" s="370">
        <v>9211394.5677214321</v>
      </c>
      <c r="G45" s="370">
        <v>460739.95300274662</v>
      </c>
      <c r="H45" s="370">
        <v>3324057.50949373</v>
      </c>
      <c r="I45" s="370">
        <v>42032.559583117116</v>
      </c>
      <c r="J45" s="370">
        <v>2133176.8625470279</v>
      </c>
      <c r="K45" s="370">
        <v>36044236.334257238</v>
      </c>
      <c r="L45" s="370">
        <v>790009.42716784193</v>
      </c>
      <c r="M45" s="370">
        <v>27980.56728590187</v>
      </c>
      <c r="N45" s="370">
        <v>8999.6059478510379</v>
      </c>
      <c r="O45" s="370">
        <v>54023.682151279427</v>
      </c>
      <c r="P45" s="370">
        <v>6547555.2948771594</v>
      </c>
      <c r="Q45" s="370">
        <v>19495.183386752251</v>
      </c>
      <c r="R45" s="370">
        <v>29866.143174915596</v>
      </c>
      <c r="S45" s="370">
        <v>515965.46334432811</v>
      </c>
      <c r="T45" s="370">
        <v>1210365.3664078964</v>
      </c>
      <c r="U45" s="370">
        <v>191084.88443005277</v>
      </c>
      <c r="V45" s="370">
        <v>2109.606405591469</v>
      </c>
      <c r="W45" s="370">
        <v>608135.62154012755</v>
      </c>
      <c r="X45" s="370">
        <v>1592387.7516403806</v>
      </c>
      <c r="Y45" s="370">
        <v>484.23651717950929</v>
      </c>
      <c r="Z45" s="370">
        <v>149121.93976820959</v>
      </c>
      <c r="AA45" s="370">
        <v>48.016389508712486</v>
      </c>
      <c r="AB45" s="370">
        <v>114970.72604944151</v>
      </c>
      <c r="AC45" s="370">
        <v>1037722.8149159624</v>
      </c>
      <c r="AD45" s="370">
        <v>366.6042021310119</v>
      </c>
      <c r="AE45" s="370">
        <v>11901.471267134048</v>
      </c>
      <c r="AF45" s="370">
        <v>72.680993038790945</v>
      </c>
      <c r="AG45" s="370">
        <v>1250.6480505583907</v>
      </c>
      <c r="AH45" s="370">
        <v>10557.888503653472</v>
      </c>
      <c r="AI45" s="370">
        <v>2.5476681922633966</v>
      </c>
      <c r="AJ45" s="371">
        <v>1265.6158526104971</v>
      </c>
    </row>
    <row r="46" spans="1:36" ht="12.75" customHeight="1" x14ac:dyDescent="0.2">
      <c r="B46" s="255" t="s">
        <v>2410</v>
      </c>
      <c r="C46" s="531">
        <f>SUM(D46:AJ46)</f>
        <v>67553646.62753053</v>
      </c>
      <c r="D46" s="383">
        <f>D45</f>
        <v>56239.208235262136</v>
      </c>
      <c r="E46" s="383"/>
      <c r="F46" s="383">
        <f t="shared" ref="F46:AJ46" si="0">F45</f>
        <v>9211394.5677214321</v>
      </c>
      <c r="G46" s="383">
        <f t="shared" si="0"/>
        <v>460739.95300274662</v>
      </c>
      <c r="H46" s="383">
        <f t="shared" si="0"/>
        <v>3324057.50949373</v>
      </c>
      <c r="I46" s="383">
        <f t="shared" si="0"/>
        <v>42032.559583117116</v>
      </c>
      <c r="J46" s="383">
        <f t="shared" si="0"/>
        <v>2133176.8625470279</v>
      </c>
      <c r="K46" s="383">
        <f t="shared" si="0"/>
        <v>36044236.334257238</v>
      </c>
      <c r="L46" s="383">
        <f t="shared" si="0"/>
        <v>790009.42716784193</v>
      </c>
      <c r="M46" s="383">
        <f t="shared" si="0"/>
        <v>27980.56728590187</v>
      </c>
      <c r="N46" s="383"/>
      <c r="O46" s="383">
        <f t="shared" si="0"/>
        <v>54023.682151279427</v>
      </c>
      <c r="P46" s="383">
        <f t="shared" si="0"/>
        <v>6547555.2948771594</v>
      </c>
      <c r="Q46" s="383">
        <f t="shared" si="0"/>
        <v>19495.183386752251</v>
      </c>
      <c r="R46" s="383">
        <f t="shared" si="0"/>
        <v>29866.143174915596</v>
      </c>
      <c r="S46" s="383">
        <f t="shared" si="0"/>
        <v>515965.46334432811</v>
      </c>
      <c r="T46" s="383">
        <f t="shared" si="0"/>
        <v>1210365.3664078964</v>
      </c>
      <c r="U46" s="383">
        <f t="shared" si="0"/>
        <v>191084.88443005277</v>
      </c>
      <c r="V46" s="383">
        <f t="shared" si="0"/>
        <v>2109.606405591469</v>
      </c>
      <c r="W46" s="383">
        <f>SUM(W45:X45)</f>
        <v>2200523.3731805081</v>
      </c>
      <c r="X46" s="383">
        <f>SUM(W45:X45)</f>
        <v>2200523.3731805081</v>
      </c>
      <c r="Y46" s="383">
        <f t="shared" si="0"/>
        <v>484.23651717950929</v>
      </c>
      <c r="Z46" s="383">
        <f t="shared" si="0"/>
        <v>149121.93976820959</v>
      </c>
      <c r="AA46" s="383">
        <f t="shared" si="0"/>
        <v>48.016389508712486</v>
      </c>
      <c r="AB46" s="383">
        <f>SUM(AB45:AC45)</f>
        <v>1152693.5409654039</v>
      </c>
      <c r="AC46" s="383">
        <f>SUM(AB45:AC45)</f>
        <v>1152693.5409654039</v>
      </c>
      <c r="AD46" s="383">
        <f t="shared" si="0"/>
        <v>366.6042021310119</v>
      </c>
      <c r="AE46" s="383">
        <f t="shared" si="0"/>
        <v>11901.471267134048</v>
      </c>
      <c r="AF46" s="383">
        <f t="shared" si="0"/>
        <v>72.680993038790945</v>
      </c>
      <c r="AG46" s="383">
        <f>SUM(AG45:AH45)</f>
        <v>11808.536554211863</v>
      </c>
      <c r="AH46" s="383">
        <f>SUM(AG45:AH45)</f>
        <v>11808.536554211863</v>
      </c>
      <c r="AI46" s="383">
        <f t="shared" si="0"/>
        <v>2.5476681922633966</v>
      </c>
      <c r="AJ46" s="384">
        <f t="shared" si="0"/>
        <v>1265.6158526104971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-1.0774615348170629</v>
      </c>
      <c r="E48" s="515" t="e">
        <f t="shared" ref="E48:AJ48" si="1">IF(E49&gt;0.0001,LOG(E46/E47),"")</f>
        <v>#DIV/0!</v>
      </c>
      <c r="F48" s="515">
        <f t="shared" si="1"/>
        <v>0.88789852756772703</v>
      </c>
      <c r="G48" s="515">
        <f t="shared" si="1"/>
        <v>1.0537946035065677</v>
      </c>
      <c r="H48" s="515">
        <f t="shared" si="1"/>
        <v>1.312448110226621</v>
      </c>
      <c r="I48" s="515">
        <f t="shared" si="1"/>
        <v>1.4645003224189705</v>
      </c>
      <c r="J48" s="515">
        <f t="shared" si="1"/>
        <v>2.9729173059436529</v>
      </c>
      <c r="K48" s="515">
        <f t="shared" si="1"/>
        <v>0.242637067502222</v>
      </c>
      <c r="L48" s="515">
        <f t="shared" si="1"/>
        <v>2.9728864793805605</v>
      </c>
      <c r="M48" s="515">
        <f t="shared" si="1"/>
        <v>-2.120687476983377</v>
      </c>
      <c r="N48" s="515" t="e">
        <f t="shared" si="1"/>
        <v>#DIV/0!</v>
      </c>
      <c r="O48" s="515">
        <f t="shared" si="1"/>
        <v>1.2143004668926525</v>
      </c>
      <c r="P48" s="515">
        <f t="shared" si="1"/>
        <v>0.58597107129401382</v>
      </c>
      <c r="Q48" s="515">
        <f t="shared" si="1"/>
        <v>1.6392007794560348</v>
      </c>
      <c r="R48" s="515">
        <f t="shared" si="1"/>
        <v>0.99683348927756921</v>
      </c>
      <c r="S48" s="515">
        <f t="shared" si="1"/>
        <v>1.9019693238163529</v>
      </c>
      <c r="T48" s="515">
        <f t="shared" si="1"/>
        <v>1.4853680553019513</v>
      </c>
      <c r="U48" s="515">
        <f t="shared" si="1"/>
        <v>1.9019387893063948</v>
      </c>
      <c r="V48" s="515" t="str">
        <f t="shared" si="1"/>
        <v/>
      </c>
      <c r="W48" s="515">
        <f t="shared" si="1"/>
        <v>-0.30717795500605216</v>
      </c>
      <c r="X48" s="515">
        <f t="shared" si="1"/>
        <v>-0.30717795500605216</v>
      </c>
      <c r="Y48" s="515" t="str">
        <f t="shared" si="1"/>
        <v/>
      </c>
      <c r="Z48" s="515">
        <f t="shared" si="1"/>
        <v>0.56611261348503661</v>
      </c>
      <c r="AA48" s="515" t="str">
        <f t="shared" si="1"/>
        <v/>
      </c>
      <c r="AB48" s="515">
        <f t="shared" si="1"/>
        <v>-1.2441347245394383</v>
      </c>
      <c r="AC48" s="515">
        <f t="shared" si="1"/>
        <v>-1.2441347245394383</v>
      </c>
      <c r="AD48" s="515" t="str">
        <f t="shared" si="1"/>
        <v/>
      </c>
      <c r="AE48" s="515">
        <f t="shared" si="1"/>
        <v>-0.58993894315719131</v>
      </c>
      <c r="AF48" s="515" t="str">
        <f t="shared" si="1"/>
        <v/>
      </c>
      <c r="AG48" s="515" t="str">
        <f t="shared" si="1"/>
        <v/>
      </c>
      <c r="AH48" s="515">
        <f t="shared" si="1"/>
        <v>-1.9692810607145377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8.7470203529684508E-4</v>
      </c>
      <c r="E49" s="151">
        <f t="shared" si="2"/>
        <v>1.5188456244556055E-3</v>
      </c>
      <c r="F49" s="151">
        <f t="shared" si="2"/>
        <v>0.14326705210007448</v>
      </c>
      <c r="G49" s="151">
        <f t="shared" si="2"/>
        <v>7.1660001497209332E-3</v>
      </c>
      <c r="H49" s="151">
        <f t="shared" si="2"/>
        <v>5.169987203295795E-2</v>
      </c>
      <c r="I49" s="151">
        <f t="shared" si="2"/>
        <v>6.5374258581819952E-4</v>
      </c>
      <c r="J49" s="151">
        <f t="shared" si="2"/>
        <v>3.3177816720188158E-2</v>
      </c>
      <c r="K49" s="151">
        <f t="shared" si="2"/>
        <v>0.56060474305410257</v>
      </c>
      <c r="L49" s="151">
        <f t="shared" si="2"/>
        <v>1.2287208080111854E-2</v>
      </c>
      <c r="M49" s="151">
        <f t="shared" si="2"/>
        <v>4.3518854410885908E-4</v>
      </c>
      <c r="N49" s="151">
        <f t="shared" si="2"/>
        <v>1.399730523681012E-4</v>
      </c>
      <c r="O49" s="151">
        <f t="shared" si="2"/>
        <v>8.4024342117827288E-4</v>
      </c>
      <c r="P49" s="151">
        <f t="shared" si="2"/>
        <v>0.1018357143061047</v>
      </c>
      <c r="Q49" s="151">
        <f t="shared" si="2"/>
        <v>3.0321331188630577E-4</v>
      </c>
      <c r="R49" s="151">
        <f t="shared" si="2"/>
        <v>4.6451536288140427E-4</v>
      </c>
      <c r="S49" s="151">
        <f t="shared" si="2"/>
        <v>8.024935896006927E-3</v>
      </c>
      <c r="T49" s="151">
        <f t="shared" si="2"/>
        <v>1.8825105876685958E-2</v>
      </c>
      <c r="U49" s="151">
        <f t="shared" si="2"/>
        <v>2.9719895171040275E-3</v>
      </c>
      <c r="V49" s="151">
        <f t="shared" si="2"/>
        <v>3.2811219690840628E-5</v>
      </c>
      <c r="W49" s="151">
        <f t="shared" si="2"/>
        <v>9.4584807039323725E-3</v>
      </c>
      <c r="X49" s="151">
        <f t="shared" si="2"/>
        <v>2.4766792617615087E-2</v>
      </c>
      <c r="Y49" s="151">
        <f t="shared" si="2"/>
        <v>7.5314479067718718E-6</v>
      </c>
      <c r="Z49" s="151">
        <f t="shared" si="2"/>
        <v>2.3193296690276295E-3</v>
      </c>
      <c r="AA49" s="151">
        <f t="shared" si="2"/>
        <v>7.4681054283660333E-7</v>
      </c>
      <c r="AB49" s="151">
        <f t="shared" si="2"/>
        <v>1.7881675654876643E-3</v>
      </c>
      <c r="AC49" s="151">
        <f t="shared" si="2"/>
        <v>1.6139954433281554E-2</v>
      </c>
      <c r="AD49" s="151">
        <f t="shared" si="2"/>
        <v>5.7018840025438246E-6</v>
      </c>
      <c r="AE49" s="151">
        <f t="shared" si="2"/>
        <v>1.8510646694812149E-4</v>
      </c>
      <c r="AF49" s="151">
        <f t="shared" si="2"/>
        <v>1.130425099024866E-6</v>
      </c>
      <c r="AG49" s="151">
        <f t="shared" si="2"/>
        <v>1.9451632225816967E-5</v>
      </c>
      <c r="AH49" s="151">
        <f t="shared" si="2"/>
        <v>1.642093986094292E-4</v>
      </c>
      <c r="AI49" s="151">
        <f t="shared" si="2"/>
        <v>3.9624500823547912E-8</v>
      </c>
      <c r="AJ49" s="253">
        <f t="shared" si="2"/>
        <v>1.9684430078591301E-5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2.4497629583683469E-10</v>
      </c>
      <c r="E50" s="179">
        <f t="shared" si="3"/>
        <v>1.7089661405221065E-6</v>
      </c>
      <c r="F50" s="179">
        <f t="shared" si="3"/>
        <v>4.8848609829606909E-4</v>
      </c>
      <c r="G50" s="179">
        <f t="shared" si="3"/>
        <v>4.6073995300274609E-5</v>
      </c>
      <c r="H50" s="179">
        <f t="shared" si="3"/>
        <v>1.7627687874909908E-2</v>
      </c>
      <c r="I50" s="179">
        <f t="shared" si="3"/>
        <v>1.4010853194372358E-3</v>
      </c>
      <c r="J50" s="179">
        <f t="shared" si="3"/>
        <v>6.9131163726389921E-4</v>
      </c>
      <c r="K50" s="179">
        <f t="shared" si="3"/>
        <v>1.3141209962760218E-3</v>
      </c>
      <c r="L50" s="179">
        <f t="shared" si="3"/>
        <v>6.9126256916291894E-4</v>
      </c>
      <c r="M50" s="179">
        <f t="shared" si="3"/>
        <v>3.8865947544399584E-12</v>
      </c>
      <c r="N50" s="179">
        <f t="shared" si="3"/>
        <v>1.0327044210693592E-8</v>
      </c>
      <c r="O50" s="179">
        <f t="shared" si="3"/>
        <v>1.8785501082224058E-7</v>
      </c>
      <c r="P50" s="179">
        <f t="shared" si="3"/>
        <v>8.8160953071128152E-9</v>
      </c>
      <c r="Q50" s="179">
        <f t="shared" si="3"/>
        <v>6.779004577741794E-6</v>
      </c>
      <c r="R50" s="179">
        <f t="shared" si="3"/>
        <v>2.6809269804048564E-7</v>
      </c>
      <c r="S50" s="179">
        <f t="shared" si="3"/>
        <v>1.0964262258575178E-5</v>
      </c>
      <c r="T50" s="179">
        <f t="shared" si="3"/>
        <v>2.8935286913338351E-6</v>
      </c>
      <c r="U50" s="179">
        <f t="shared" si="3"/>
        <v>1.0963491406952285E-5</v>
      </c>
      <c r="V50" s="179">
        <f t="shared" si="3"/>
        <v>2.7195749833784519E-14</v>
      </c>
      <c r="W50" s="179">
        <f t="shared" si="3"/>
        <v>1.5679421701207266E-10</v>
      </c>
      <c r="X50" s="179">
        <f t="shared" si="3"/>
        <v>1.3685389785573978E-11</v>
      </c>
      <c r="Y50" s="179">
        <f t="shared" si="3"/>
        <v>4.1616531395595573E-10</v>
      </c>
      <c r="Z50" s="179">
        <f t="shared" si="3"/>
        <v>7.6895537630449657E-8</v>
      </c>
      <c r="AA50" s="179">
        <f t="shared" si="3"/>
        <v>1.1297974002049997E-15</v>
      </c>
      <c r="AB50" s="179">
        <f t="shared" si="3"/>
        <v>4.5086559235075102E-11</v>
      </c>
      <c r="AC50" s="179">
        <f t="shared" si="3"/>
        <v>1.3565004116548528E-11</v>
      </c>
      <c r="AD50" s="179">
        <f t="shared" si="3"/>
        <v>4.7922117925622474E-10</v>
      </c>
      <c r="AE50" s="179">
        <f t="shared" si="3"/>
        <v>1.4001730902510644E-8</v>
      </c>
      <c r="AF50" s="179">
        <f t="shared" si="3"/>
        <v>5.7004700422581133E-16</v>
      </c>
      <c r="AG50" s="179">
        <f t="shared" si="3"/>
        <v>1.4012863311578609E-13</v>
      </c>
      <c r="AH50" s="179">
        <f t="shared" si="3"/>
        <v>3.9431889836240796E-14</v>
      </c>
      <c r="AI50" s="179">
        <f t="shared" si="3"/>
        <v>9.5151006246998935E-13</v>
      </c>
      <c r="AJ50" s="380">
        <f t="shared" si="3"/>
        <v>6.617599229335931E-10</v>
      </c>
    </row>
    <row r="51" spans="1:36" ht="12.75" customHeight="1" x14ac:dyDescent="0.2">
      <c r="B51" s="141" t="s">
        <v>703</v>
      </c>
      <c r="C51" s="254"/>
      <c r="D51" s="385">
        <f>D50*8.314*TEMP.R</f>
        <v>5.8046888322242141E-7</v>
      </c>
      <c r="E51" s="385">
        <f>E50*Kaw.R*8.314*TEMP.R</f>
        <v>1.9906202786938825E-10</v>
      </c>
      <c r="F51" s="385">
        <f>F50*Kaw.R*8.314*TEMP.R</f>
        <v>5.6899332881524095E-8</v>
      </c>
      <c r="G51" s="385">
        <f>G50*Kaw.R*8.314*TEMP.R</f>
        <v>5.3667435059393953E-9</v>
      </c>
      <c r="H51" s="385">
        <f>H50*Kaw.R/Ksdw1.R*8.314*TEMP.R</f>
        <v>7.7748178565582149E-8</v>
      </c>
      <c r="I51" s="385">
        <f>I50*Kaw.R/Ksdw2.R*8.314*TEMP.R</f>
        <v>6.2216294142131669E-9</v>
      </c>
      <c r="J51" s="385">
        <f>J50*Kaw.R/Ks1w.R*8.314*TEMP.R</f>
        <v>2.6013327396777006E-9</v>
      </c>
      <c r="K51" s="385">
        <f>K50*Kaw.R/Ks2w.R*8.314*TEMP.R</f>
        <v>4.9486966099841488E-9</v>
      </c>
      <c r="L51" s="385">
        <f>L50*Kaw.R/Ks3w.R*8.314*TEMP.R</f>
        <v>2.6031459373372231E-9</v>
      </c>
      <c r="M51" s="385">
        <f>M50*8.314*TEMP.C</f>
        <v>9.2092474046979369E-9</v>
      </c>
      <c r="N51" s="385">
        <f>N50*Kaw.C*8.314*TEMP.C</f>
        <v>1.2029040913879361E-12</v>
      </c>
      <c r="O51" s="385">
        <f>O50*Kaw.C*8.314*TEMP.C</f>
        <v>2.1881533234050262E-11</v>
      </c>
      <c r="P51" s="385">
        <f>P50*Kaw.C*8.314*TEMP.C</f>
        <v>1.0269073026733689E-12</v>
      </c>
      <c r="Q51" s="385">
        <f>Q50*Kaw.C/Ksdw1.C*8.314*TEMP.C</f>
        <v>2.9899284701843597E-11</v>
      </c>
      <c r="R51" s="385">
        <f>R50*Kaw.C/Ksdw2.C*8.314*TEMP.C</f>
        <v>1.1904866839475681E-12</v>
      </c>
      <c r="S51" s="385">
        <f>S50*Kaw.C/Ks1w.C*8.314*TEMP.C</f>
        <v>4.1257361864366242E-11</v>
      </c>
      <c r="T51" s="385">
        <f>T50*Kaw.C/Ks2w.C*8.314*TEMP.C</f>
        <v>1.089640578475924E-11</v>
      </c>
      <c r="U51" s="385">
        <f>U50*Kaw.C/Ks3w.C*8.314*TEMP.C</f>
        <v>4.1286147099790525E-11</v>
      </c>
      <c r="V51" s="385">
        <f>V50*8.314*TEMP.M</f>
        <v>6.4440057273654081E-11</v>
      </c>
      <c r="W51" s="385">
        <f>W50*Kaw.M*8.314*TEMP.M</f>
        <v>1.8263541948865414E-14</v>
      </c>
      <c r="X51" s="385">
        <f>X50*Kaw.M*8.314*TEMP.M</f>
        <v>1.5940874299985165E-15</v>
      </c>
      <c r="Y51" s="385">
        <f>Y50*Kaw.M/Ksdw.M*8.314*TEMP.M</f>
        <v>1.8480147658128543E-15</v>
      </c>
      <c r="Z51" s="372">
        <f>Z50*Kaw.M/Kslw.M*8.314*TEMP.M</f>
        <v>2.8934979362548787E-13</v>
      </c>
      <c r="AA51" s="385">
        <f>AA50*8.314*TEMP.A</f>
        <v>2.4703946589350485E-12</v>
      </c>
      <c r="AB51" s="385">
        <f>AB50*Kaw.A*8.314*TEMP.A</f>
        <v>1.5350494022132336E-16</v>
      </c>
      <c r="AC51" s="385">
        <f>AC50*Kaw.A*8.314*TEMP.A</f>
        <v>4.6184388015860506E-17</v>
      </c>
      <c r="AD51" s="385">
        <f>AD50*Kaw.A/Ksdw.A*8.314*TEMP.A</f>
        <v>6.2200783851757916E-17</v>
      </c>
      <c r="AE51" s="372">
        <f>AE50*Kaw.A/Kslw.A*8.314*TEMP.A</f>
        <v>1.5400118535445313E-15</v>
      </c>
      <c r="AF51" s="385">
        <f>AF50*8.314*TEMP.T</f>
        <v>1.4123324963537518E-12</v>
      </c>
      <c r="AG51" s="385">
        <f>AG50*Kaw.T*8.314*TEMP.T</f>
        <v>1.0300714040560986E-16</v>
      </c>
      <c r="AH51" s="385">
        <f>AH50*Kaw.T*8.314*TEMP.T</f>
        <v>2.8985983253429883E-17</v>
      </c>
      <c r="AI51" s="385">
        <f>AI50*Kaw.T/Ksdw.T*8.314*TEMP.T</f>
        <v>2.6664805575653397E-17</v>
      </c>
      <c r="AJ51" s="386">
        <f>AJ50*Kaw.T/Kslw.T*8.314*TEMP.T</f>
        <v>1.571476822458715E-14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-0.90691490731321356</v>
      </c>
      <c r="E55" s="370">
        <f t="shared" ref="E55:AJ55" si="4">E9*E$45</f>
        <v>1.8490648360482478E-7</v>
      </c>
      <c r="F55" s="370">
        <f t="shared" si="4"/>
        <v>5.8052465779305084E-4</v>
      </c>
      <c r="G55" s="370">
        <f t="shared" si="4"/>
        <v>8.4629021281389888E-6</v>
      </c>
      <c r="H55" s="389">
        <f t="shared" si="4"/>
        <v>0</v>
      </c>
      <c r="I55" s="389">
        <f t="shared" si="4"/>
        <v>0</v>
      </c>
      <c r="J55" s="370">
        <f t="shared" si="4"/>
        <v>9.017023677084551E-5</v>
      </c>
      <c r="K55" s="370">
        <f t="shared" si="4"/>
        <v>6.915360417807545E-4</v>
      </c>
      <c r="L55" s="370">
        <f t="shared" si="4"/>
        <v>3.3307965445732899E-5</v>
      </c>
      <c r="M55" s="370">
        <f t="shared" si="4"/>
        <v>8.4050805130751419E-3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1.3350945857878507E-3</v>
      </c>
      <c r="E56" s="378">
        <f>SUM(D56,F56:AJ56)-SUM(E55,E57:E87)</f>
        <v>8.4819815281851115E-3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8.1420125804285929E-4</v>
      </c>
      <c r="K56" s="376">
        <f t="shared" si="6"/>
        <v>6.2652090869273046E-3</v>
      </c>
      <c r="L56" s="376">
        <f t="shared" si="6"/>
        <v>3.0176499151121194E-4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1.468604044366636E-2</v>
      </c>
      <c r="E57" s="179">
        <f t="shared" ref="E57:E87" si="7">E11*E$45</f>
        <v>2.3410348760051071E-4</v>
      </c>
      <c r="F57" s="378">
        <f>SUM(D57:E57,G57:AJ57)-SUM(F55:F56,F58:F87)</f>
        <v>-0.61533651353980623</v>
      </c>
      <c r="G57" s="376">
        <f t="shared" ref="G57:AJ57" si="8">G11*G$45</f>
        <v>0</v>
      </c>
      <c r="H57" s="179">
        <f t="shared" si="8"/>
        <v>0.20195578667980443</v>
      </c>
      <c r="I57" s="376">
        <f t="shared" si="8"/>
        <v>0</v>
      </c>
      <c r="J57" s="179">
        <f t="shared" si="8"/>
        <v>8.9562138384714513E-3</v>
      </c>
      <c r="K57" s="179">
        <f t="shared" si="8"/>
        <v>6.8917299956200356E-2</v>
      </c>
      <c r="L57" s="179">
        <f t="shared" si="8"/>
        <v>3.3194149066233317E-3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2.33643012781704E-3</v>
      </c>
      <c r="E58" s="179">
        <f t="shared" si="7"/>
        <v>0</v>
      </c>
      <c r="F58" s="179">
        <f t="shared" ref="F58:F87" si="9">F12*F$45</f>
        <v>0.66915485651774609</v>
      </c>
      <c r="G58" s="378">
        <f>SUM(D58:F58,H58:AJ58)-SUM(G55:G57,G59:G87)</f>
        <v>4.0000634173741334E-2</v>
      </c>
      <c r="H58" s="376">
        <f t="shared" ref="H58:N58" si="10">H12*H$45</f>
        <v>0</v>
      </c>
      <c r="I58" s="179">
        <f t="shared" si="10"/>
        <v>1.8361059167532015E-3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1.0869090665569082E-4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0.24366999167663361</v>
      </c>
      <c r="G59" s="376">
        <f t="shared" ref="G59:G87" si="12">G13*G$45</f>
        <v>0</v>
      </c>
      <c r="H59" s="378">
        <f>SUM(D59:G59,I59:AJ59)-SUM(H55:H58,H60:H87)</f>
        <v>4.1714204996829179E-2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2.2803105327740391E-3</v>
      </c>
      <c r="H60" s="376">
        <f t="shared" ref="H60:H87" si="15">H14*H$45</f>
        <v>0</v>
      </c>
      <c r="I60" s="378">
        <f>SUM(D60:H60,J60:AJ60)-SUM(I55:I59,I61:I87)</f>
        <v>4.4420461602083755E-4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0.10259589161275026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9.2735306279465107E-2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0.22799087025055609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0.15211682516564767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3.7998478375092681E-2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3.4343990511512407E-2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0.52978136914102059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0.25240172006620726</v>
      </c>
      <c r="N64" s="179">
        <f>N18*N$45</f>
        <v>1.7040523734659571E-8</v>
      </c>
      <c r="O64" s="179">
        <f>O18*O$45</f>
        <v>3.4047048319362014E-6</v>
      </c>
      <c r="P64" s="179">
        <f t="shared" ref="P64:AJ64" si="25">P18*P$45</f>
        <v>6.013296576300307E-6</v>
      </c>
      <c r="Q64" s="376">
        <f t="shared" si="25"/>
        <v>0</v>
      </c>
      <c r="R64" s="376">
        <f t="shared" si="25"/>
        <v>0</v>
      </c>
      <c r="S64" s="179">
        <f t="shared" si="25"/>
        <v>2.1810065921953717E-5</v>
      </c>
      <c r="T64" s="179">
        <f t="shared" si="25"/>
        <v>2.3203963350126285E-5</v>
      </c>
      <c r="U64" s="179">
        <f t="shared" si="25"/>
        <v>8.0502405384553623E-6</v>
      </c>
      <c r="V64" s="179">
        <f t="shared" si="25"/>
        <v>2.7053850943539617E-4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3.2295803344646709E-4</v>
      </c>
      <c r="N65" s="378">
        <f>SUM(D65:M65,O65:AJ65)-SUM(N55:N64,N66:N87)</f>
        <v>7.8167841781515038E-4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1.9693619255743136E-4</v>
      </c>
      <c r="T65" s="376">
        <f t="shared" si="27"/>
        <v>2.1038570554798015E-4</v>
      </c>
      <c r="U65" s="376">
        <f t="shared" si="27"/>
        <v>7.298992460719715E-5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3.5525383679111369E-3</v>
      </c>
      <c r="N66" s="179">
        <f t="shared" ref="N66:N87" si="28">N20*N$45</f>
        <v>2.1574397820190846E-5</v>
      </c>
      <c r="O66" s="378">
        <f>SUM(D66:N66,P66:AJ66)-SUM(O55:O65,O67:O87)</f>
        <v>4.6853917067273577E-3</v>
      </c>
      <c r="P66" s="376">
        <f t="shared" ref="P66:AJ66" si="29">P20*P$45</f>
        <v>0</v>
      </c>
      <c r="Q66" s="179">
        <f t="shared" si="29"/>
        <v>1.1848576671306542E-3</v>
      </c>
      <c r="R66" s="376">
        <f t="shared" si="29"/>
        <v>0</v>
      </c>
      <c r="S66" s="179">
        <f t="shared" si="29"/>
        <v>2.1662981181317449E-3</v>
      </c>
      <c r="T66" s="179">
        <f t="shared" si="29"/>
        <v>2.3142427610277814E-3</v>
      </c>
      <c r="U66" s="179">
        <f t="shared" si="29"/>
        <v>8.0288917067916849E-4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0.63114667586032847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0.13761682589911703</v>
      </c>
      <c r="N67" s="179">
        <f t="shared" si="28"/>
        <v>0</v>
      </c>
      <c r="O67" s="179">
        <f t="shared" ref="O67:O87" si="30">O21*O$45</f>
        <v>3.9245099113631799E-3</v>
      </c>
      <c r="P67" s="378">
        <f>SUM(D67:O67,Q67:AJ67)-SUM(P55:P66,P68:P87)</f>
        <v>0.56844726049004923</v>
      </c>
      <c r="Q67" s="376">
        <f t="shared" ref="Q67:AJ67" si="31">Q21*Q$45</f>
        <v>0</v>
      </c>
      <c r="R67" s="179">
        <f t="shared" si="31"/>
        <v>1.3046697074650133E-3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3.6904016996624598E-3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1.4290941597782023E-3</v>
      </c>
      <c r="P68" s="376">
        <f t="shared" ref="P68:P87" si="32">P22*P$45</f>
        <v>0</v>
      </c>
      <c r="Q68" s="378">
        <f>SUM(D68:P68,R68:AJ68)-SUM(Q55:Q67,Q69:Q87)</f>
        <v>2.4423649264754808E-4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1.6202696559657604E-3</v>
      </c>
      <c r="Q69" s="376">
        <f t="shared" ref="Q69:Q87" si="34">Q23*Q$45</f>
        <v>0</v>
      </c>
      <c r="R69" s="378">
        <f>SUM(D69:Q69,S69:AJ69)-SUM(R55:R68,R70:R87)</f>
        <v>3.1559994850074709E-4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2.4815540465778014E-2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2.2430496089166883E-2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5.5145645479506691E-2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5.2597813049580805E-2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9.1909409132511135E-3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8.3070115774262921E-3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3.866315722390562E-2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1.9029931737740789E-2</v>
      </c>
      <c r="W73" s="179">
        <f t="shared" ref="W73:AJ73" si="43">W27*W$45</f>
        <v>1.117027557993954E-6</v>
      </c>
      <c r="X73" s="376">
        <f t="shared" si="43"/>
        <v>0</v>
      </c>
      <c r="Y73" s="376">
        <f t="shared" si="43"/>
        <v>0</v>
      </c>
      <c r="Z73" s="179">
        <f t="shared" si="43"/>
        <v>6.3034438694277672E-6</v>
      </c>
      <c r="AA73" s="179">
        <f t="shared" si="43"/>
        <v>3.324375605060877E-5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2.905231943753238E-5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0.20750084872868924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1.007408387760216E-2</v>
      </c>
      <c r="W74" s="378">
        <f>SUM(D74:V74,X74:AJ74)-SUM(W55:W73,W75:W87)</f>
        <v>5.2797267453605357E-2</v>
      </c>
      <c r="X74" s="376">
        <f t="shared" ref="X74:AJ74" si="45">X28*X$45</f>
        <v>1.3222756220644604E-2</v>
      </c>
      <c r="Y74" s="376">
        <f t="shared" si="45"/>
        <v>0</v>
      </c>
      <c r="Z74" s="179">
        <f t="shared" si="45"/>
        <v>6.8301099506262448E-4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2.1019294967367914E-5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0.1514938003843293</v>
      </c>
      <c r="X75" s="378">
        <f>SUM(D75:W75,Y75:AJ75)-SUM(X55:X74,X76:X87)</f>
        <v>0.13824831013891653</v>
      </c>
      <c r="Y75" s="376">
        <f t="shared" ref="Y75:AJ75" si="47">Y29*Y$45</f>
        <v>2.1594165565658314E-5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2.0347506174822794E-3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2.6270339980003749E-5</v>
      </c>
      <c r="Y76" s="378">
        <f>SUM(D76:X76,Z76:AJ76)-SUM(Y55:Y75,Y77:Y87)</f>
        <v>4.6761744143454344E-6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7.1720721512396474E-3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6.4827577123075953E-3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8.002221220580534E-4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3.5788455453813041E-4</v>
      </c>
      <c r="AB78" s="179">
        <f t="shared" ref="AB78:AJ78" si="53">AB32*AB$45</f>
        <v>6.6892384413020125E-9</v>
      </c>
      <c r="AC78" s="376">
        <f t="shared" si="53"/>
        <v>0</v>
      </c>
      <c r="AD78" s="376">
        <f t="shared" si="53"/>
        <v>0</v>
      </c>
      <c r="AE78" s="179">
        <f t="shared" si="53"/>
        <v>1.594000686010983E-8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2.3519132551810901E-2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2.767924568612688E-4</v>
      </c>
      <c r="AB79" s="378">
        <f>SUM(D79:AA79,AC79:AJ79)-SUM(AB55:AB78,AB80:AB87)</f>
        <v>2.1723624465264171E-3</v>
      </c>
      <c r="AC79" s="376">
        <f t="shared" ref="AC79:AJ79" si="55">AC33*AC$45</f>
        <v>9.3139510588119822E-3</v>
      </c>
      <c r="AD79" s="376">
        <f t="shared" si="55"/>
        <v>0</v>
      </c>
      <c r="AE79" s="179">
        <f t="shared" si="55"/>
        <v>1.965331074767326E-5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3.0957160242466968E-2</v>
      </c>
      <c r="AC80" s="378">
        <f>SUM(D80:AB80,AD80:AJ80)-SUM(AC55:AC79,AC81:AC87)</f>
        <v>1.9607687543502964E-2</v>
      </c>
      <c r="AD80" s="376">
        <f t="shared" ref="AD80:AJ80" si="57">AD34*AD$45</f>
        <v>1.6348759321022295E-5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1.711978199076568E-5</v>
      </c>
      <c r="AD81" s="378">
        <f>SUM(D81:AC81,AE81:AJ81)-SUM(AD55:AD80,AD82:AD87)</f>
        <v>7.7102266974338478E-7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1.323239838533468E-4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1.1265473309881343E-4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1.3860253727451318E-3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7.2892048432648395E-4</v>
      </c>
      <c r="AG83" s="179">
        <f>AG37*AG$45</f>
        <v>1.3862021924152508E-8</v>
      </c>
      <c r="AH83" s="376">
        <f>AH37*AH$45</f>
        <v>0</v>
      </c>
      <c r="AI83" s="376">
        <f>AI37*AI$45</f>
        <v>0</v>
      </c>
      <c r="AJ83" s="380">
        <f>AJ37*AJ$45</f>
        <v>3.2270901826741412E-7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4.8187569480344101E-4</v>
      </c>
      <c r="AG84" s="378">
        <f>SUM(D84:AF84,AH84:AJ84)-SUM(AG55:AG83,AG85:AG87)</f>
        <v>2.6735302842362783E-4</v>
      </c>
      <c r="AH84" s="376">
        <f>AH38*AH$45</f>
        <v>7.9974046267618158E-5</v>
      </c>
      <c r="AI84" s="179">
        <f>AI38*AI$45</f>
        <v>0</v>
      </c>
      <c r="AJ84" s="380">
        <f>AJ38*AJ$45</f>
        <v>1.0739251632122337E-5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2.0528084678360968E-3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2.8420280729026155E-4</v>
      </c>
      <c r="AH85" s="378">
        <f>SUM(D85:AG85,AI85:AJ85)-SUM(AH55:AH84,AH86:AH87)</f>
        <v>2.2569766641786131E-3</v>
      </c>
      <c r="AI85" s="376">
        <f>AI39*AI$45</f>
        <v>1.1361357524825505E-7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1.7417825537544554E-7</v>
      </c>
      <c r="AI86" s="378">
        <f>SUM(D86:AH86,AJ86)-SUM(AI55:AI85,AI87)</f>
        <v>6.0564680127190484E-8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1.4651344521786596E-4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1.3545148456747621E-4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3.51588924432038</v>
      </c>
      <c r="D92" s="179">
        <f>SUM($D$55:$AJ$55)</f>
        <v>-0.89710564008973637</v>
      </c>
      <c r="E92" s="179">
        <f>SUM($D$56:$AJ$56)</f>
        <v>1.7198251450454342E-2</v>
      </c>
      <c r="F92" s="179">
        <f>SUM($D$57:$AJ$57)</f>
        <v>-0.31726765422743985</v>
      </c>
      <c r="G92" s="179">
        <f>SUM($D$58:$AJ$58)</f>
        <v>0.71343671764271333</v>
      </c>
      <c r="H92" s="179">
        <f>SUM($D$59:$AJ$59)</f>
        <v>0.28538419667346282</v>
      </c>
      <c r="I92" s="179">
        <f>SUM($D$60:$AJ$60)</f>
        <v>2.7245151487948769E-3</v>
      </c>
      <c r="J92" s="179">
        <f>SUM($D$61:$AJ$61)</f>
        <v>0.19533119789221537</v>
      </c>
      <c r="K92" s="179">
        <f>SUM($D$62:$AJ$62)</f>
        <v>0.38010769541620376</v>
      </c>
      <c r="L92" s="179">
        <f>SUM($D$63:$AJ$63)</f>
        <v>7.2342468886605088E-2</v>
      </c>
      <c r="M92" s="179">
        <f>SUM($D$64:$AJ$64)</f>
        <v>0.78251612702840578</v>
      </c>
      <c r="N92" s="179">
        <f>SUM($D$65:$AJ$65)</f>
        <v>1.584948273974226E-3</v>
      </c>
      <c r="O92" s="179">
        <f>SUM($D$66:$AJ$66)</f>
        <v>1.4727792189428034E-2</v>
      </c>
      <c r="P92" s="179">
        <f>SUM($D$67:$AJ$67)</f>
        <v>1.3461303435679852</v>
      </c>
      <c r="Q92" s="179">
        <f>SUM($D$68:$AJ$68)</f>
        <v>1.6733306524257504E-3</v>
      </c>
      <c r="R92" s="179">
        <f>SUM($D$69:$AJ$69)</f>
        <v>1.9358696044665074E-3</v>
      </c>
      <c r="S92" s="179">
        <f>SUM($D$70:$AJ$70)</f>
        <v>4.7246036554944901E-2</v>
      </c>
      <c r="T92" s="179">
        <f>SUM($D$71:$AJ$71)</f>
        <v>0.1077434585290875</v>
      </c>
      <c r="U92" s="179">
        <f>SUM($D$72:$AJ$72)</f>
        <v>1.7497952490677406E-2</v>
      </c>
      <c r="V92" s="179">
        <f>SUM($D$73:$AJ$73)</f>
        <v>5.7762805508561964E-2</v>
      </c>
      <c r="W92" s="179">
        <f>SUM($D$74:$AJ$74)</f>
        <v>0.2842989865705714</v>
      </c>
      <c r="X92" s="179">
        <f>SUM($D$75:$AJ$75)</f>
        <v>0.29179845530629378</v>
      </c>
      <c r="Y92" s="179">
        <f>SUM($D$76:$AJ$76)</f>
        <v>3.0946514394349183E-5</v>
      </c>
      <c r="Z92" s="179">
        <f>SUM($D$77:$AJ$77)</f>
        <v>1.3654829863547243E-2</v>
      </c>
      <c r="AA92" s="179">
        <f>SUM($D$78:$AJ$78)</f>
        <v>1.1581293058414853E-3</v>
      </c>
      <c r="AB92" s="179">
        <f>SUM($D$79:$AJ$79)</f>
        <v>3.5301891824758243E-2</v>
      </c>
      <c r="AC92" s="179">
        <f>SUM($D$80:$AJ$80)</f>
        <v>5.0581196545290953E-2</v>
      </c>
      <c r="AD92" s="179">
        <f>SUM($D$81:$AJ$81)</f>
        <v>1.7890804660509065E-5</v>
      </c>
      <c r="AE92" s="179">
        <f>SUM($D$82:$AJ$82)</f>
        <v>2.4497871695216026E-4</v>
      </c>
      <c r="AF92" s="179">
        <f>SUM($D$83:$AJ$83)</f>
        <v>2.1152824281118073E-3</v>
      </c>
      <c r="AG92" s="179">
        <f>SUM($D$84:$AJ$84)</f>
        <v>8.3994202112680928E-4</v>
      </c>
      <c r="AH92" s="179">
        <f>SUM($D$85:$AJ$85)</f>
        <v>4.5941015528802196E-3</v>
      </c>
      <c r="AI92" s="179">
        <f>SUM($D$86:$AJ$86)</f>
        <v>2.3474293550263602E-7</v>
      </c>
      <c r="AJ92" s="380">
        <f>SUM($D$87:$AJ$87)</f>
        <v>2.8196492978534214E-4</v>
      </c>
    </row>
    <row r="93" spans="2:36" ht="12.75" customHeight="1" x14ac:dyDescent="0.2">
      <c r="B93" s="146" t="s">
        <v>1212</v>
      </c>
      <c r="C93" s="150">
        <f>SUM(D93:AJ93)</f>
        <v>3.51588924432038</v>
      </c>
      <c r="D93" s="179">
        <f t="shared" ref="D93:AJ93" si="61">SUM(D55:D87)</f>
        <v>9.8092672234774136E-3</v>
      </c>
      <c r="E93" s="179">
        <f t="shared" si="61"/>
        <v>8.7162699222692284E-3</v>
      </c>
      <c r="F93" s="179">
        <f t="shared" si="61"/>
        <v>0.29806885931236649</v>
      </c>
      <c r="G93" s="179">
        <f t="shared" si="61"/>
        <v>0.67343608346897199</v>
      </c>
      <c r="H93" s="179">
        <f t="shared" si="61"/>
        <v>0.24366999167663361</v>
      </c>
      <c r="I93" s="179">
        <f t="shared" si="61"/>
        <v>2.2803105327740391E-3</v>
      </c>
      <c r="J93" s="179">
        <f t="shared" si="61"/>
        <v>0.10259589161275026</v>
      </c>
      <c r="K93" s="179">
        <f t="shared" si="61"/>
        <v>0.22799087025055609</v>
      </c>
      <c r="L93" s="179">
        <f t="shared" si="61"/>
        <v>3.7998478375092681E-2</v>
      </c>
      <c r="M93" s="179">
        <f t="shared" si="61"/>
        <v>0.53011440696219836</v>
      </c>
      <c r="N93" s="179">
        <f t="shared" si="61"/>
        <v>8.0326985615907594E-4</v>
      </c>
      <c r="O93" s="179">
        <f t="shared" si="61"/>
        <v>1.0042400482700676E-2</v>
      </c>
      <c r="P93" s="179">
        <f t="shared" si="61"/>
        <v>0.77768308307793621</v>
      </c>
      <c r="Q93" s="179">
        <f t="shared" si="61"/>
        <v>1.4290941597782023E-3</v>
      </c>
      <c r="R93" s="179">
        <f t="shared" si="61"/>
        <v>1.6202696559657604E-3</v>
      </c>
      <c r="S93" s="179">
        <f t="shared" si="61"/>
        <v>2.4815540465778014E-2</v>
      </c>
      <c r="T93" s="179">
        <f t="shared" si="61"/>
        <v>5.5145645479506691E-2</v>
      </c>
      <c r="U93" s="179">
        <f t="shared" si="61"/>
        <v>9.1909409132511135E-3</v>
      </c>
      <c r="V93" s="179">
        <f t="shared" si="61"/>
        <v>3.8732873770821179E-2</v>
      </c>
      <c r="W93" s="179">
        <f t="shared" si="61"/>
        <v>0.23150171911696601</v>
      </c>
      <c r="X93" s="179">
        <f t="shared" si="61"/>
        <v>0.15355014516737725</v>
      </c>
      <c r="Y93" s="179">
        <f t="shared" si="61"/>
        <v>2.6270339980003749E-5</v>
      </c>
      <c r="Z93" s="179">
        <f t="shared" si="61"/>
        <v>7.1720721512396474E-3</v>
      </c>
      <c r="AA93" s="179">
        <f t="shared" si="61"/>
        <v>8.0024475130335479E-4</v>
      </c>
      <c r="AB93" s="179">
        <f t="shared" si="61"/>
        <v>3.3129529378231826E-2</v>
      </c>
      <c r="AC93" s="179">
        <f t="shared" si="61"/>
        <v>3.097350900178799E-2</v>
      </c>
      <c r="AD93" s="179">
        <f t="shared" si="61"/>
        <v>1.711978199076568E-5</v>
      </c>
      <c r="AE93" s="179">
        <f t="shared" si="61"/>
        <v>1.323239838533468E-4</v>
      </c>
      <c r="AF93" s="179">
        <f t="shared" si="61"/>
        <v>1.3863619437853233E-3</v>
      </c>
      <c r="AG93" s="179">
        <f t="shared" si="61"/>
        <v>5.7258899270318144E-4</v>
      </c>
      <c r="AH93" s="179">
        <f t="shared" si="61"/>
        <v>2.337124888701607E-3</v>
      </c>
      <c r="AI93" s="179">
        <f t="shared" si="61"/>
        <v>1.7417825537544554E-7</v>
      </c>
      <c r="AJ93" s="380">
        <f t="shared" si="61"/>
        <v>1.4651344521786596E-4</v>
      </c>
    </row>
    <row r="94" spans="2:36" ht="12.75" customHeight="1" x14ac:dyDescent="0.2">
      <c r="B94" s="152" t="s">
        <v>1211</v>
      </c>
      <c r="C94" s="150">
        <f>SUM(D94:AJ94)</f>
        <v>4.2426802226069817</v>
      </c>
      <c r="D94" s="179">
        <f>k.aR*D45</f>
        <v>0.5073118335557808</v>
      </c>
      <c r="E94" s="179">
        <f>k.w0R*E45</f>
        <v>8.4819815281851115E-3</v>
      </c>
      <c r="F94" s="179">
        <f>k.w1R*F45</f>
        <v>0.7988902273291878</v>
      </c>
      <c r="G94" s="179">
        <f>k.w2R*G45</f>
        <v>4.0000634173741473E-2</v>
      </c>
      <c r="H94" s="179">
        <f>k.sd1R*H45</f>
        <v>4.1714204996829152E-2</v>
      </c>
      <c r="I94" s="179">
        <f>k.sd2R*I45</f>
        <v>4.4420461602083717E-4</v>
      </c>
      <c r="J94" s="179">
        <f>k.s1R*J45</f>
        <v>9.2735306279465107E-2</v>
      </c>
      <c r="K94" s="179">
        <f>k.s2R*K45</f>
        <v>1.5663435660346416</v>
      </c>
      <c r="L94" s="179">
        <f>k.s3R*L45</f>
        <v>3.4343990511512407E-2</v>
      </c>
      <c r="M94" s="179">
        <f>k.aC*M45</f>
        <v>0.25240172006620731</v>
      </c>
      <c r="N94" s="179">
        <f>k.w0C*N45</f>
        <v>7.8167841781515027E-4</v>
      </c>
      <c r="O94" s="179">
        <f>k.w1C*O45</f>
        <v>4.6853917067273551E-3</v>
      </c>
      <c r="P94" s="179">
        <f>k.w2C*P45</f>
        <v>0.56844726049004901</v>
      </c>
      <c r="Q94" s="179">
        <f>k.sd1C*Q45</f>
        <v>2.4423649264754819E-4</v>
      </c>
      <c r="R94" s="179">
        <f>k.sd2C*R45</f>
        <v>3.1559994850074687E-4</v>
      </c>
      <c r="S94" s="179">
        <f>k.s1C*S45</f>
        <v>2.2430496089166883E-2</v>
      </c>
      <c r="T94" s="179">
        <f>k.s2C*T45</f>
        <v>5.2597813049580812E-2</v>
      </c>
      <c r="U94" s="179">
        <f>k.s3C*U45</f>
        <v>8.3070115774262921E-3</v>
      </c>
      <c r="V94" s="179">
        <f>k.aM*V45</f>
        <v>1.9029931737740792E-2</v>
      </c>
      <c r="W94" s="179">
        <f>k.w2M*W45</f>
        <v>5.2797267453605273E-2</v>
      </c>
      <c r="X94" s="179">
        <f>k.w3M*X45</f>
        <v>0.13824831013891656</v>
      </c>
      <c r="Y94" s="179">
        <f>k.sdM*Y45</f>
        <v>4.6761744143454403E-6</v>
      </c>
      <c r="Z94" s="179">
        <f>k.sM*Z45</f>
        <v>6.4827577123075944E-3</v>
      </c>
      <c r="AA94" s="179">
        <f>k.aA*AA45</f>
        <v>3.5788455453813041E-4</v>
      </c>
      <c r="AB94" s="179">
        <f>k.w2A*AB45</f>
        <v>2.1723624465264219E-3</v>
      </c>
      <c r="AC94" s="179">
        <f>k.w3A*AC45</f>
        <v>1.9607687543502957E-2</v>
      </c>
      <c r="AD94" s="179">
        <f>k.sdA*AD45</f>
        <v>7.7102266974338372E-7</v>
      </c>
      <c r="AE94" s="179">
        <f>k.sA*AE45</f>
        <v>1.1265473309881343E-4</v>
      </c>
      <c r="AF94" s="179">
        <f>k.aT*AF45</f>
        <v>7.2892048432648406E-4</v>
      </c>
      <c r="AG94" s="179">
        <f>k.w2T*AG45</f>
        <v>2.6735302842362794E-4</v>
      </c>
      <c r="AH94" s="179">
        <f>k.w3T*AH45</f>
        <v>2.2569766641786127E-3</v>
      </c>
      <c r="AI94" s="179">
        <f>k.sdT*AI45</f>
        <v>6.0564680127190498E-8</v>
      </c>
      <c r="AJ94" s="374">
        <f>k.sT*AJ45</f>
        <v>1.3545148456747621E-4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17176212865.860987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962162141.5191083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2138140202.4015963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356356700.40026605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39650389102.751045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63089929.127749585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140199846.50496897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23366641.084161498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39094096364.146179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7.4533832759998107E-6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9.0206076770066419E-6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9.0206076770066419E-6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9.0206076770066419E-6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1.00290385952411E-5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4.3472863365271319E-8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4.3472863365271319E-8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4.3456145152004627E-8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4.3456145152004627E-8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4.3472886943431158E-8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4.3472886943431158E-8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9.4656140043718675E-9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1.056714777841879E-8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4.3472863365271319E-8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1.070241687381601E-7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7.4530169501179827E-6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9.0202413511248139E-6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9.0202413511248139E-6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9.0202413511248139E-6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1.0028672269359272E-5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1.9891959356313285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0.13043355834096021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8.0254184558987145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0.52623467986619266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0.73484084035294783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4.8184245656562923E-2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1.1384311676245422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81.974117922438239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487.65270770227301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2024-07-23T11:12:58Z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