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4A11440E-4023-4CA0-BBCC-A822FDE6982A}" xr6:coauthVersionLast="47" xr6:coauthVersionMax="47" xr10:uidLastSave="{00000000-0000-0000-0000-000000000000}"/>
  <bookViews>
    <workbookView xWindow="-120" yWindow="-120" windowWidth="29040" windowHeight="15840" tabRatio="704" firstSheet="3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/>
  <c r="J15" i="3"/>
  <c r="L15" i="3" s="1"/>
  <c r="K143" i="7" s="1"/>
  <c r="L143" i="7" s="1"/>
  <c r="J19" i="3"/>
  <c r="J14" i="3"/>
  <c r="L14" i="3" s="1"/>
  <c r="K30" i="3" s="1"/>
  <c r="L30" i="3" s="1"/>
  <c r="J35" i="3"/>
  <c r="L35" i="3" s="1"/>
  <c r="J37" i="3"/>
  <c r="J39" i="3"/>
  <c r="L39" i="3" s="1"/>
  <c r="J66" i="6"/>
  <c r="J17" i="3"/>
  <c r="J20" i="3"/>
  <c r="L20" i="3" s="1"/>
  <c r="J60" i="6"/>
  <c r="J66" i="3"/>
  <c r="L66" i="3" s="1"/>
  <c r="J108" i="6"/>
  <c r="J126" i="6"/>
  <c r="J62" i="6"/>
  <c r="J75" i="3"/>
  <c r="J127" i="6"/>
  <c r="J128" i="6"/>
  <c r="J109" i="6"/>
  <c r="J110" i="6"/>
  <c r="J111" i="6"/>
  <c r="J112" i="6"/>
  <c r="J113" i="6"/>
  <c r="J72" i="6"/>
  <c r="J78" i="6"/>
  <c r="J70" i="3"/>
  <c r="L70" i="3" s="1"/>
  <c r="J74" i="3"/>
  <c r="J66" i="7"/>
  <c r="J114" i="7"/>
  <c r="J132" i="7"/>
  <c r="J68" i="7"/>
  <c r="K142" i="7"/>
  <c r="L142" i="7" s="1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K97" i="8"/>
  <c r="L97" i="8" s="1"/>
  <c r="J87" i="8"/>
  <c r="J88" i="8"/>
  <c r="J77" i="8"/>
  <c r="J53" i="8"/>
  <c r="J54" i="8"/>
  <c r="J182" i="8"/>
  <c r="J212" i="8"/>
  <c r="J222" i="8"/>
  <c r="J184" i="8"/>
  <c r="K232" i="8"/>
  <c r="L232" i="8" s="1"/>
  <c r="K233" i="8"/>
  <c r="L233" i="8" s="1"/>
  <c r="J223" i="8"/>
  <c r="J224" i="8"/>
  <c r="J213" i="8"/>
  <c r="J189" i="8"/>
  <c r="J190" i="8"/>
  <c r="J318" i="8"/>
  <c r="J348" i="8"/>
  <c r="J358" i="8"/>
  <c r="J320" i="8"/>
  <c r="K368" i="8"/>
  <c r="L368" i="8" s="1"/>
  <c r="K369" i="8"/>
  <c r="L369" i="8" s="1"/>
  <c r="J359" i="8"/>
  <c r="J360" i="8"/>
  <c r="J349" i="8"/>
  <c r="J325" i="8"/>
  <c r="J326" i="8"/>
  <c r="L81" i="3"/>
  <c r="I8" i="16" s="1"/>
  <c r="AC13" i="23"/>
  <c r="AS28" i="23" s="1"/>
  <c r="L89" i="3"/>
  <c r="AC23" i="23" s="1"/>
  <c r="AS92" i="23" s="1"/>
  <c r="A6" i="2"/>
  <c r="L6" i="2"/>
  <c r="R6" i="2"/>
  <c r="I6" i="2"/>
  <c r="K6" i="2"/>
  <c r="N6" i="2"/>
  <c r="E6" i="2"/>
  <c r="BQ12" i="23"/>
  <c r="G6" i="2"/>
  <c r="Y6" i="2"/>
  <c r="D6" i="2"/>
  <c r="BP12" i="23"/>
  <c r="Z6" i="2"/>
  <c r="Q6" i="2"/>
  <c r="J6" i="2"/>
  <c r="C6" i="2"/>
  <c r="U6" i="2"/>
  <c r="W6" i="2"/>
  <c r="F6" i="2"/>
  <c r="T6" i="2"/>
  <c r="O6" i="2"/>
  <c r="X6" i="2"/>
  <c r="S6" i="2"/>
  <c r="B6" i="2"/>
  <c r="P6" i="2"/>
  <c r="V6" i="2"/>
  <c r="M6" i="2"/>
  <c r="H6" i="2"/>
  <c r="J22" i="3"/>
  <c r="L22" i="3" s="1"/>
  <c r="B700" i="22"/>
  <c r="B696" i="22"/>
  <c r="B209" i="22"/>
  <c r="B698" i="22"/>
  <c r="B694" i="22"/>
  <c r="K156" i="3"/>
  <c r="L156" i="3" s="1"/>
  <c r="B208" i="22"/>
  <c r="B702" i="22"/>
  <c r="B701" i="22"/>
  <c r="B695" i="22"/>
  <c r="B693" i="22"/>
  <c r="B699" i="22"/>
  <c r="B697" i="22"/>
  <c r="K155" i="3"/>
  <c r="L155" i="3" s="1"/>
  <c r="C5" i="23"/>
  <c r="BO12" i="23"/>
  <c r="F5" i="20"/>
  <c r="K6" i="3"/>
  <c r="I17" i="18"/>
  <c r="AB5" i="23"/>
  <c r="BO5" i="23"/>
  <c r="AY132" i="23"/>
  <c r="P17" i="3"/>
  <c r="AY3" i="23"/>
  <c r="AY67" i="23"/>
  <c r="BN12" i="23"/>
  <c r="B329" i="22" l="1"/>
  <c r="B333" i="22"/>
  <c r="I44" i="3"/>
  <c r="K37" i="3"/>
  <c r="I59" i="3"/>
  <c r="J60" i="3"/>
  <c r="I58" i="3"/>
  <c r="I48" i="3"/>
  <c r="J48" i="3"/>
  <c r="I54" i="3"/>
  <c r="I56" i="3"/>
  <c r="J49" i="3"/>
  <c r="J50" i="3"/>
  <c r="I46" i="3"/>
  <c r="J47" i="3"/>
  <c r="I61" i="3"/>
  <c r="I47" i="3"/>
  <c r="I63" i="3"/>
  <c r="J63" i="3"/>
  <c r="J61" i="3"/>
  <c r="I51" i="3"/>
  <c r="I50" i="3"/>
  <c r="K21" i="3"/>
  <c r="L21" i="3" s="1"/>
  <c r="J44" i="3"/>
  <c r="K96" i="8"/>
  <c r="L96" i="8" s="1"/>
  <c r="K27" i="3"/>
  <c r="L27" i="3" s="1"/>
  <c r="K23" i="3"/>
  <c r="L23" i="3" s="1"/>
  <c r="K82" i="6" s="1"/>
  <c r="L82" i="6" s="1"/>
  <c r="B332" i="22"/>
  <c r="I42" i="3"/>
  <c r="J42" i="3"/>
  <c r="J59" i="3"/>
  <c r="J46" i="3"/>
  <c r="J43" i="3"/>
  <c r="I53" i="3"/>
  <c r="J55" i="3"/>
  <c r="I43" i="3"/>
  <c r="J51" i="3"/>
  <c r="I60" i="3"/>
  <c r="J62" i="3"/>
  <c r="I57" i="3"/>
  <c r="J56" i="3"/>
  <c r="I52" i="3"/>
  <c r="J53" i="3"/>
  <c r="J57" i="3"/>
  <c r="J52" i="3"/>
  <c r="J54" i="3"/>
  <c r="J64" i="3"/>
  <c r="I49" i="3"/>
  <c r="I55" i="3"/>
  <c r="I62" i="3"/>
  <c r="I64" i="3"/>
  <c r="J58" i="3"/>
  <c r="K36" i="3"/>
  <c r="L36" i="3" s="1"/>
  <c r="L447" i="18" s="1"/>
  <c r="B401" i="22"/>
  <c r="O220" i="18"/>
  <c r="K17" i="3"/>
  <c r="L17" i="3" s="1"/>
  <c r="K29" i="3"/>
  <c r="L29" i="3" s="1"/>
  <c r="K24" i="3"/>
  <c r="L24" i="3" s="1"/>
  <c r="K32" i="3"/>
  <c r="L32" i="3" s="1"/>
  <c r="K34" i="3"/>
  <c r="L34" i="3" s="1"/>
  <c r="K26" i="3"/>
  <c r="L26" i="3" s="1"/>
  <c r="B328" i="22"/>
  <c r="B336" i="22"/>
  <c r="B337" i="22"/>
  <c r="K18" i="3"/>
  <c r="L18" i="3" s="1"/>
  <c r="K31" i="3"/>
  <c r="L31" i="3" s="1"/>
  <c r="K33" i="3"/>
  <c r="L33" i="3" s="1"/>
  <c r="K28" i="3"/>
  <c r="L28" i="3" s="1"/>
  <c r="B331" i="22"/>
  <c r="B338" i="22"/>
  <c r="B335" i="22"/>
  <c r="B330" i="22"/>
  <c r="B334" i="22"/>
  <c r="B339" i="22"/>
  <c r="K70" i="6"/>
  <c r="L70" i="6" s="1"/>
  <c r="L84" i="3"/>
  <c r="L90" i="3"/>
  <c r="L94" i="3"/>
  <c r="L100" i="3"/>
  <c r="L105" i="3"/>
  <c r="L83" i="3"/>
  <c r="L88" i="3"/>
  <c r="L93" i="3"/>
  <c r="L98" i="3"/>
  <c r="L104" i="3"/>
  <c r="K137" i="6"/>
  <c r="L137" i="6" s="1"/>
  <c r="L37" i="3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K25" i="3"/>
  <c r="L25" i="3" s="1"/>
  <c r="K75" i="3" l="1"/>
  <c r="K74" i="3"/>
  <c r="L74" i="3" s="1"/>
  <c r="P788" i="18"/>
  <c r="L75" i="3"/>
  <c r="L652" i="18"/>
  <c r="P445" i="18"/>
  <c r="K103" i="6"/>
  <c r="L103" i="6" s="1"/>
  <c r="K109" i="7"/>
  <c r="L109" i="7" s="1"/>
  <c r="B620" i="22"/>
  <c r="N445" i="18"/>
  <c r="L924" i="18"/>
  <c r="L922" i="18"/>
  <c r="M220" i="18"/>
  <c r="P652" i="18"/>
  <c r="B722" i="22"/>
  <c r="P650" i="18"/>
  <c r="M922" i="18"/>
  <c r="L222" i="18"/>
  <c r="L445" i="18"/>
  <c r="N788" i="18"/>
  <c r="O788" i="18"/>
  <c r="O652" i="18"/>
  <c r="M650" i="18"/>
  <c r="O922" i="18"/>
  <c r="M924" i="18"/>
  <c r="M786" i="18"/>
  <c r="L650" i="18"/>
  <c r="L788" i="18"/>
  <c r="L220" i="18"/>
  <c r="N924" i="18"/>
  <c r="O447" i="18"/>
  <c r="B725" i="22"/>
  <c r="O650" i="18"/>
  <c r="P924" i="18"/>
  <c r="O222" i="18"/>
  <c r="B724" i="22"/>
  <c r="B723" i="22"/>
  <c r="O445" i="18"/>
  <c r="N786" i="18"/>
  <c r="B721" i="22"/>
  <c r="M447" i="18"/>
  <c r="O924" i="18"/>
  <c r="O786" i="18"/>
  <c r="P786" i="18"/>
  <c r="N922" i="18"/>
  <c r="M788" i="18"/>
  <c r="P220" i="18"/>
  <c r="K98" i="6"/>
  <c r="L98" i="6" s="1"/>
  <c r="B619" i="22"/>
  <c r="B617" i="22"/>
  <c r="B618" i="22"/>
  <c r="K104" i="7"/>
  <c r="L104" i="7" s="1"/>
  <c r="M222" i="18"/>
  <c r="N650" i="18"/>
  <c r="M652" i="18"/>
  <c r="M445" i="18"/>
  <c r="P222" i="18"/>
  <c r="K62" i="8"/>
  <c r="L62" i="8" s="1"/>
  <c r="B603" i="22"/>
  <c r="K76" i="7"/>
  <c r="L76" i="7" s="1"/>
  <c r="K334" i="8"/>
  <c r="L334" i="8" s="1"/>
  <c r="B608" i="22"/>
  <c r="B610" i="22"/>
  <c r="K76" i="6"/>
  <c r="L76" i="6" s="1"/>
  <c r="K88" i="7"/>
  <c r="L88" i="7" s="1"/>
  <c r="K61" i="8"/>
  <c r="L61" i="8" s="1"/>
  <c r="B606" i="22"/>
  <c r="B604" i="22"/>
  <c r="K197" i="8"/>
  <c r="L197" i="8" s="1"/>
  <c r="K82" i="7"/>
  <c r="L82" i="7" s="1"/>
  <c r="K198" i="8"/>
  <c r="L198" i="8" s="1"/>
  <c r="K333" i="8"/>
  <c r="L333" i="8" s="1"/>
  <c r="B605" i="22"/>
  <c r="K94" i="7"/>
  <c r="L94" i="7" s="1"/>
  <c r="K202" i="8"/>
  <c r="L202" i="8" s="1"/>
  <c r="B627" i="22"/>
  <c r="B624" i="22"/>
  <c r="K66" i="8"/>
  <c r="L66" i="8" s="1"/>
  <c r="B626" i="22"/>
  <c r="K88" i="6"/>
  <c r="L88" i="6" s="1"/>
  <c r="K338" i="8"/>
  <c r="L338" i="8" s="1"/>
  <c r="B625" i="22"/>
  <c r="B628" i="22"/>
  <c r="P447" i="18"/>
  <c r="K85" i="6"/>
  <c r="L85" i="6" s="1"/>
  <c r="K91" i="7"/>
  <c r="L91" i="7" s="1"/>
  <c r="B623" i="22"/>
  <c r="B622" i="22"/>
  <c r="K93" i="6"/>
  <c r="L93" i="6" s="1"/>
  <c r="K99" i="7"/>
  <c r="L99" i="7" s="1"/>
  <c r="K71" i="8"/>
  <c r="L71" i="8" s="1"/>
  <c r="K207" i="8"/>
  <c r="L207" i="8" s="1"/>
  <c r="K343" i="8"/>
  <c r="L343" i="8" s="1"/>
  <c r="B629" i="22"/>
  <c r="B616" i="22"/>
  <c r="B621" i="22"/>
  <c r="B630" i="22"/>
  <c r="B615" i="22"/>
  <c r="N220" i="18"/>
  <c r="P922" i="18"/>
  <c r="N222" i="18"/>
  <c r="L786" i="18"/>
  <c r="N652" i="18"/>
  <c r="N447" i="18"/>
  <c r="K79" i="6"/>
  <c r="L79" i="6" s="1"/>
  <c r="K78" i="6" s="1"/>
  <c r="L78" i="6" s="1"/>
  <c r="B639" i="22"/>
  <c r="B640" i="22"/>
  <c r="K85" i="7"/>
  <c r="L85" i="7" s="1"/>
  <c r="K55" i="8"/>
  <c r="L55" i="8" s="1"/>
  <c r="K191" i="8"/>
  <c r="L191" i="8" s="1"/>
  <c r="K192" i="8"/>
  <c r="L192" i="8" s="1"/>
  <c r="B642" i="22"/>
  <c r="B635" i="22"/>
  <c r="B638" i="22"/>
  <c r="K56" i="8"/>
  <c r="L56" i="8" s="1"/>
  <c r="K327" i="8"/>
  <c r="L327" i="8" s="1"/>
  <c r="B641" i="22"/>
  <c r="K328" i="8"/>
  <c r="L328" i="8" s="1"/>
  <c r="B637" i="22"/>
  <c r="B636" i="22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K67" i="6"/>
  <c r="L67" i="6" s="1"/>
  <c r="K73" i="6"/>
  <c r="L73" i="6" s="1"/>
  <c r="K73" i="7"/>
  <c r="L73" i="7" s="1"/>
  <c r="K79" i="7"/>
  <c r="L79" i="7" s="1"/>
  <c r="B634" i="22"/>
  <c r="B632" i="22"/>
  <c r="B631" i="22"/>
  <c r="B633" i="22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09" i="6"/>
  <c r="L209" i="6" s="1"/>
  <c r="K211" i="6"/>
  <c r="L211" i="6" s="1"/>
  <c r="K215" i="7"/>
  <c r="L215" i="7" s="1"/>
  <c r="K216" i="7"/>
  <c r="L216" i="7" s="1"/>
  <c r="K210" i="6"/>
  <c r="L210" i="6" s="1"/>
  <c r="K138" i="8"/>
  <c r="L138" i="8" s="1"/>
  <c r="K410" i="8"/>
  <c r="L410" i="8" s="1"/>
  <c r="K217" i="7"/>
  <c r="L217" i="7" s="1"/>
  <c r="K274" i="8"/>
  <c r="L274" i="8" s="1"/>
  <c r="B556" i="22"/>
  <c r="B569" i="22"/>
  <c r="B558" i="22"/>
  <c r="B561" i="22"/>
  <c r="B555" i="22"/>
  <c r="B560" i="22"/>
  <c r="B570" i="22"/>
  <c r="B557" i="22"/>
  <c r="B559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s="1"/>
  <c r="L19" i="3" s="1"/>
  <c r="K213" i="7" l="1"/>
  <c r="L213" i="7" s="1"/>
  <c r="K197" i="7" s="1"/>
  <c r="L197" i="7" s="1"/>
  <c r="B471" i="22"/>
  <c r="K214" i="7"/>
  <c r="L214" i="7" s="1"/>
  <c r="K198" i="7" s="1"/>
  <c r="L198" i="7" s="1"/>
  <c r="B568" i="22"/>
  <c r="K409" i="8"/>
  <c r="L409" i="8" s="1"/>
  <c r="K398" i="8" s="1"/>
  <c r="L398" i="8" s="1"/>
  <c r="B562" i="22"/>
  <c r="B567" i="22"/>
  <c r="B467" i="22"/>
  <c r="B461" i="22"/>
  <c r="B465" i="22"/>
  <c r="K137" i="8"/>
  <c r="L137" i="8" s="1"/>
  <c r="K126" i="8" s="1"/>
  <c r="L126" i="8" s="1"/>
  <c r="K208" i="6"/>
  <c r="L208" i="6" s="1"/>
  <c r="K192" i="6" s="1"/>
  <c r="L192" i="6" s="1"/>
  <c r="B469" i="22"/>
  <c r="B463" i="22"/>
  <c r="B566" i="22"/>
  <c r="K273" i="8"/>
  <c r="L273" i="8" s="1"/>
  <c r="K262" i="8" s="1"/>
  <c r="L262" i="8" s="1"/>
  <c r="K207" i="6"/>
  <c r="L207" i="6" s="1"/>
  <c r="K191" i="6" s="1"/>
  <c r="L191" i="6" s="1"/>
  <c r="B459" i="22"/>
  <c r="B563" i="22"/>
  <c r="B565" i="22"/>
  <c r="B564" i="22"/>
  <c r="B365" i="22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K153" i="6"/>
  <c r="L153" i="6" s="1"/>
  <c r="K164" i="6"/>
  <c r="L164" i="6" s="1"/>
  <c r="B5" i="22"/>
  <c r="B513" i="22"/>
  <c r="B578" i="22"/>
  <c r="B760" i="22"/>
  <c r="K202" i="6"/>
  <c r="L202" i="6" s="1"/>
  <c r="K190" i="6" s="1"/>
  <c r="L190" i="6" s="1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K170" i="7" l="1"/>
  <c r="L170" i="7" s="1"/>
  <c r="B4" i="22"/>
  <c r="B502" i="22"/>
  <c r="K159" i="7"/>
  <c r="L159" i="7" s="1"/>
  <c r="K154" i="7" s="1"/>
  <c r="L154" i="7" s="1"/>
  <c r="P23" i="11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819" i="22" l="1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K127" i="7" s="1"/>
  <c r="L127" i="7" s="1"/>
  <c r="K126" i="7" s="1"/>
  <c r="L126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77" i="8" l="1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M26" i="11" l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s="1" a="1"/>
  <c r="L45" i="11" l="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48" i="11" s="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48" i="11" s="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48" i="11" s="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U48" i="11" s="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48" i="11" s="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48" i="11" s="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I48" i="11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48" i="11" s="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48" i="11" s="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48" i="11" s="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Z48" i="11" s="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48" i="11" s="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48" i="11" s="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48" i="11" s="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AB48" i="11" l="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J93" i="11"/>
  <c r="J95" i="11" s="1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L33" i="23" s="1"/>
  <c r="BB174" i="23"/>
  <c r="K32" i="23"/>
  <c r="L32" i="23" s="1"/>
  <c r="L31" i="23"/>
  <c r="BH156" i="23" s="1"/>
  <c r="AB51" i="11"/>
  <c r="V27" i="23" s="1"/>
  <c r="P27" i="23"/>
  <c r="P28" i="23" s="1"/>
  <c r="P29" i="23" s="1"/>
  <c r="K29" i="23"/>
  <c r="L29" i="23" s="1"/>
  <c r="K28" i="23"/>
  <c r="L28" i="23" s="1"/>
  <c r="BB173" i="23"/>
  <c r="L27" i="23"/>
  <c r="BH150" i="23" s="1"/>
  <c r="AG93" i="11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AO38" i="23" l="1"/>
  <c r="AO16" i="23"/>
  <c r="X93" i="11"/>
  <c r="X95" i="11" s="1"/>
  <c r="M93" i="11"/>
  <c r="M95" i="11" s="1"/>
  <c r="AO26" i="23"/>
  <c r="AO23" i="23"/>
  <c r="AO44" i="23"/>
  <c r="Q92" i="11"/>
  <c r="Q95" i="11" s="1"/>
  <c r="T92" i="1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T95" i="11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<sst xmlns="http://schemas.openxmlformats.org/spreadsheetml/2006/main" count="14981" uniqueCount="4056">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</sst>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81" formatCode="0.000000E+00_)"/>
    <numFmt numFmtId="182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2" fontId="0" fillId="2" borderId="11" xfId="8" applyNumberFormat="1" applyFont="1" applyFill="1" applyBorder="1" applyAlignment="1" applyProtection="1">
      <alignment horizontal="right"/>
    </xf>
    <xf numFmtId="181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45" zoomScaleNormal="100" workbookViewId="0">
      <selection activeCell="K76" sqref="K7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1-aminoanthraquinone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67</v>
      </c>
      <c r="J6" s="400"/>
      <c r="K6" s="121">
        <f>VLOOKUP(ChemName,ChemData,26,FALSE)</f>
        <v>0</v>
      </c>
      <c r="L6" s="393">
        <f>IF(ISBLANK(I6),IF(ISBLANK(J6),K6,J6),I6)</f>
        <v>67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/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223</v>
      </c>
      <c r="K15" s="345">
        <f>MEDIAN(substances!F$17:F$283)</f>
        <v>138</v>
      </c>
      <c r="L15" s="346">
        <f>IF(ISBLANK(I15),IF(ISNUMBER(J15)=FALSE,K15/1000,J15/1000),I15/1000)</f>
        <v>0.223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3.8430650478067814</v>
      </c>
      <c r="L17" s="346">
        <f t="shared" ref="L17:L23" si="0">IF(ISBLANK(I17), IF(ISNUMBER(J17)=FALSE, K17, J17), I17)</f>
        <v>3.8430650478067814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3.8430650478067814</v>
      </c>
      <c r="L18" s="346">
        <f t="shared" si="0"/>
        <v>3.8430650478067814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4.5003737530130299E-10</v>
      </c>
      <c r="L19" s="346">
        <f>IF(ISBLANK(I19), IF(ISNUMBER(J19)=FALSE, K19, J19), I19)</f>
        <v>4.5003737530130299E-10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160</v>
      </c>
      <c r="K20" s="345">
        <f>MEDIAN(substances!K$17:K$283)</f>
        <v>18</v>
      </c>
      <c r="L20" s="346">
        <f t="shared" si="0"/>
        <v>160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5.0596442562694036E-2</v>
      </c>
      <c r="L21" s="346">
        <f t="shared" si="0"/>
        <v>5.0596442562694036E-2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160</v>
      </c>
      <c r="L23" s="346">
        <f t="shared" si="0"/>
        <v>160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9.9999999999999995E-8</v>
      </c>
      <c r="K35" s="345">
        <f>MEDIAN(substances!$H$17:$H$283)</f>
        <v>4</v>
      </c>
      <c r="L35" s="346">
        <f t="shared" si="2"/>
        <v>9.9999999999999995E-8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111.11682001753326</v>
      </c>
      <c r="L36" s="346">
        <f>IF(ISBLANK(I36),IF(ISNUMBER(J36)=FALSE,K36*1000,J36*1000),I36*1000)</f>
        <v>111116.82001753326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20</v>
      </c>
      <c r="K37" s="345">
        <f>10^(LOG(Kow)*-1.214+0.85)*(Molweight*1000000)</f>
        <v>3330.4521941465923</v>
      </c>
      <c r="L37" s="346">
        <f>IF(ISBLANK(I37),IF(ISNUMBER(J37)=FALSE,K37/(1000*Molweight),J37/(1000*Molweight)),I37/(1000*Molweight))</f>
        <v>8.9686098654708515E-2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260</v>
      </c>
      <c r="K39" s="345">
        <f>MEDIAN(substances!$G$17:$G$283)</f>
        <v>1</v>
      </c>
      <c r="L39" s="346">
        <f>IF(ISBLANK(I39),IF(ISNUMBER(J39)=FALSE,K39+273,J39+273),I39+273)</f>
        <v>533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76.861300956135622</v>
      </c>
      <c r="J42" s="245">
        <f>1.26*Kow^0.81</f>
        <v>76.861300956135622</v>
      </c>
      <c r="K42" s="245">
        <f>MAX(IF(Pvap25&gt;100000,(100000/_Sol25)/(8.314*298),(Pvap25/_Sol25)/(8.314*298)),1E-20)</f>
        <v>4.5003737530130299E-10</v>
      </c>
      <c r="L42" s="245">
        <f>MAX(IF(Pvap25&gt;100000,(100000/_Sol25)/(8.314*298),(Pvap25/_Sol25)/(8.314*298)),1E-20)</f>
        <v>4.5003737530130299E-10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199.62953291926755</v>
      </c>
      <c r="J43" s="245">
        <f>10^(0.11*LOG(Kow)+1.54)</f>
        <v>60.597289411186779</v>
      </c>
      <c r="K43" s="245">
        <f>MAX(IF(Pvap25&gt;100000,(100000/_Sol25)/(8.314*298),(Pvap25/_Sol25)/(8.314*298)),1E-20)</f>
        <v>4.5003737530130299E-10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327.73618467249736</v>
      </c>
      <c r="J44" s="245">
        <f>IF(pKa&gt;0,10^(pKa^0.65*(Kow/(1+Kow))^0.14),1)</f>
        <v>3462.9228995105746</v>
      </c>
      <c r="K44" s="245">
        <f>MAX(IF(Pvap25&gt;100000,(100000/_Sol25)/(8.314*298),(Pvap25/_Sol25)/(8.314*298)),1E-20)</f>
        <v>4.5003737530130299E-10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76.861300956135622</v>
      </c>
      <c r="J46" s="245">
        <f>1.26*Kow^0.81</f>
        <v>76.861300956135622</v>
      </c>
      <c r="K46" s="245">
        <f t="shared" ref="K46:L64" si="3">MAX(IF(Pvap25&gt;100000,(100000/_Sol25)/(8.314*298),(Pvap25/_Sol25)/(8.314*298)),1E-20)</f>
        <v>4.5003737530130299E-10</v>
      </c>
      <c r="L46" s="245">
        <f t="shared" si="3"/>
        <v>4.5003737530130299E-10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146.58484518029866</v>
      </c>
      <c r="J47" s="245">
        <f>10.47*Kow^0.52</f>
        <v>146.58484518029866</v>
      </c>
      <c r="K47" s="245">
        <f t="shared" si="3"/>
        <v>4.5003737530130299E-10</v>
      </c>
      <c r="L47" s="245">
        <f t="shared" si="3"/>
        <v>4.5003737530130299E-10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194.2746304428793</v>
      </c>
      <c r="J48" s="245">
        <f>7.94*Kow^0.63</f>
        <v>194.2746304428793</v>
      </c>
      <c r="K48" s="245">
        <f t="shared" si="3"/>
        <v>4.5003737530130299E-10</v>
      </c>
      <c r="L48" s="245">
        <f t="shared" si="3"/>
        <v>4.5003737530130299E-10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133.61078121159886</v>
      </c>
      <c r="J49" s="245">
        <f>12.3*Kow^0.47</f>
        <v>133.61078121159886</v>
      </c>
      <c r="K49" s="245">
        <f t="shared" si="3"/>
        <v>4.5003737530130299E-10</v>
      </c>
      <c r="L49" s="245">
        <f t="shared" si="3"/>
        <v>4.5003737530130299E-10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34.326021839727836</v>
      </c>
      <c r="J50" s="245">
        <f>3.16*Kow^0.47</f>
        <v>34.326021839727836</v>
      </c>
      <c r="K50" s="245">
        <f t="shared" si="3"/>
        <v>4.5003737530130299E-10</v>
      </c>
      <c r="L50" s="245">
        <f t="shared" si="3"/>
        <v>4.5003737530130299E-10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100.3606356491011</v>
      </c>
      <c r="J51" s="245">
        <f>13.18*Kow^0.4</f>
        <v>100.3606356491011</v>
      </c>
      <c r="K51" s="245">
        <f t="shared" si="3"/>
        <v>4.5003737530130299E-10</v>
      </c>
      <c r="L51" s="245">
        <f t="shared" si="3"/>
        <v>4.5003737530130299E-10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22.871459324204174</v>
      </c>
      <c r="J52" s="245">
        <f>3.16*Kow^0.39</f>
        <v>22.871459324204174</v>
      </c>
      <c r="K52" s="245">
        <f t="shared" si="3"/>
        <v>4.5003737530130299E-10</v>
      </c>
      <c r="L52" s="245">
        <f t="shared" si="3"/>
        <v>4.5003737530130299E-10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94.905493302853273</v>
      </c>
      <c r="J53" s="245">
        <f>17.78*Kow^0.33</f>
        <v>94.905493302853273</v>
      </c>
      <c r="K53" s="245">
        <f t="shared" si="3"/>
        <v>4.5003737530130299E-10</v>
      </c>
      <c r="L53" s="245">
        <f t="shared" si="3"/>
        <v>4.5003737530130299E-10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164.65982402471172</v>
      </c>
      <c r="J54" s="245">
        <f>7.08*Kow^0.62</f>
        <v>164.65982402471172</v>
      </c>
      <c r="K54" s="245">
        <f t="shared" si="3"/>
        <v>4.5003737530130299E-10</v>
      </c>
      <c r="L54" s="245">
        <f t="shared" si="3"/>
        <v>4.5003737530130299E-10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90.240912876962668</v>
      </c>
      <c r="J55" s="245">
        <f>13.8*Kow^0.37</f>
        <v>90.240912876962668</v>
      </c>
      <c r="K55" s="245">
        <f t="shared" si="3"/>
        <v>4.5003737530130299E-10</v>
      </c>
      <c r="L55" s="245">
        <f t="shared" si="3"/>
        <v>4.5003737530130299E-10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572.24829771382952</v>
      </c>
      <c r="J56" s="245">
        <f>83.18*Kow^0.38</f>
        <v>572.24829771382952</v>
      </c>
      <c r="K56" s="245">
        <f t="shared" si="3"/>
        <v>4.5003737530130299E-10</v>
      </c>
      <c r="L56" s="245">
        <f t="shared" si="3"/>
        <v>4.5003737530130299E-10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134.89990642602893</v>
      </c>
      <c r="J57" s="245">
        <f>11.22*Kow^0.49</f>
        <v>134.89990642602893</v>
      </c>
      <c r="K57" s="245">
        <f t="shared" si="3"/>
        <v>4.5003737530130299E-10</v>
      </c>
      <c r="L57" s="245">
        <f t="shared" si="3"/>
        <v>4.5003737530130299E-10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176.76681616579415</v>
      </c>
      <c r="J58" s="245">
        <f>3.55*Kow^0.77</f>
        <v>176.76681616579415</v>
      </c>
      <c r="K58" s="245">
        <f t="shared" si="3"/>
        <v>4.5003737530130299E-10</v>
      </c>
      <c r="L58" s="245">
        <f t="shared" si="3"/>
        <v>4.5003737530130299E-10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43.915544889630972</v>
      </c>
      <c r="J59" s="245">
        <f>2.09*Kow^0.6</f>
        <v>43.915544889630972</v>
      </c>
      <c r="K59" s="245">
        <f t="shared" si="3"/>
        <v>4.5003737530130299E-10</v>
      </c>
      <c r="L59" s="245">
        <f t="shared" si="3"/>
        <v>4.5003737530130299E-10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216.89665671995149</v>
      </c>
      <c r="J60" s="245">
        <f>12.02*Kow^0.57</f>
        <v>216.89665671995149</v>
      </c>
      <c r="K60" s="245">
        <f t="shared" si="3"/>
        <v>4.5003737530130299E-10</v>
      </c>
      <c r="L60" s="245">
        <f t="shared" si="3"/>
        <v>4.5003737530130299E-10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134.89990642602893</v>
      </c>
      <c r="J61" s="245">
        <f>11.22*Kow^0.49</f>
        <v>134.89990642602893</v>
      </c>
      <c r="K61" s="245">
        <f t="shared" si="3"/>
        <v>4.5003737530130299E-10</v>
      </c>
      <c r="L61" s="245">
        <f t="shared" si="3"/>
        <v>4.5003737530130299E-10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177.82260392521994</v>
      </c>
      <c r="J62" s="245">
        <f>14.79*Kow^0.49</f>
        <v>177.82260392521994</v>
      </c>
      <c r="K62" s="245">
        <f t="shared" si="3"/>
        <v>4.5003737530130299E-10</v>
      </c>
      <c r="L62" s="245">
        <f t="shared" si="3"/>
        <v>4.5003737530130299E-10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144.94320504587481</v>
      </c>
      <c r="J63" s="245">
        <f>31.62*Kow^0.3</f>
        <v>144.94320504587481</v>
      </c>
      <c r="K63" s="245">
        <f t="shared" si="3"/>
        <v>4.5003737530130299E-10</v>
      </c>
      <c r="L63" s="245">
        <f t="shared" si="3"/>
        <v>4.5003737530130299E-10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279.17049407626752</v>
      </c>
      <c r="J64" s="247">
        <f>25.7*Kow^0.47</f>
        <v>279.17049407626752</v>
      </c>
      <c r="K64" s="247">
        <f t="shared" si="3"/>
        <v>4.5003737530130299E-10</v>
      </c>
      <c r="L64" s="247">
        <f t="shared" si="3"/>
        <v>4.5003737530130299E-10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 t="str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/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3.5063474584268925E-6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5.3000000000000003E-10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5.3000000000000003E-10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 t="str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/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6.5846009179950362E-10</v>
      </c>
      <c r="L74" s="346">
        <f t="shared" si="4"/>
        <v>6.5846009179950362E-10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 t="str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/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6.5846009179950347E-9</v>
      </c>
      <c r="L75" s="346">
        <f t="shared" si="4"/>
        <v>6.5846009179950347E-9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1.4219637660880982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1.4219637660880982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1.4219637660880982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7.3015816211560352E-6</v>
      </c>
      <c r="L155" s="346">
        <f t="shared" ref="L155:L160" si="17">IF(ISBLANK(I155), IF(ISNUMBER(J155)=FALSE, K155, J155), I155)</f>
        <v>7.3015816211560352E-6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7.5762195809660557E-10</v>
      </c>
      <c r="L156" s="346">
        <f t="shared" si="17"/>
        <v>7.5762195809660557E-10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1-aminoanthraquinone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1-aminoanthraquinone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1-aminoanthraquinone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1-aminoanthraquinone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2.7869309168584676E-2</v>
      </c>
      <c r="AY8" s="75"/>
      <c r="AZ8" s="295">
        <f>output!AF12</f>
        <v>6.6061689521165886E-6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4.4930171036386161E-3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0.16987894543681453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18033.585066795054</v>
      </c>
      <c r="D11" s="117">
        <f>C11/$C$51</f>
        <v>4.7703541526711237E-4</v>
      </c>
      <c r="E11" s="517">
        <f>M.aC*Molweight</f>
        <v>14957.282942084808</v>
      </c>
      <c r="F11" s="117">
        <f>E11/$E$51</f>
        <v>4.1927100414099162E-4</v>
      </c>
      <c r="G11" s="517">
        <f>M.aM*Molweight</f>
        <v>1905.1873773362206</v>
      </c>
      <c r="H11" s="117">
        <f>G11/$G$51</f>
        <v>2.0125016179863153E-6</v>
      </c>
      <c r="I11" s="517">
        <f>M.aA*Molweight</f>
        <v>80.086215865033225</v>
      </c>
      <c r="J11" s="117">
        <f>I11/$I$51</f>
        <v>1.2769809924454246E-7</v>
      </c>
      <c r="K11" s="517">
        <f>M.aT*Molweight</f>
        <v>114.64441768662925</v>
      </c>
      <c r="L11" s="118">
        <f>K11/$K$51</f>
        <v>1.0047551689489025E-7</v>
      </c>
      <c r="M11" s="320">
        <f>C.aR*(Molweight*1000)</f>
        <v>7.8553752958988776E-8</v>
      </c>
      <c r="N11" s="320">
        <f>C.aC*(Molweight*1000)</f>
        <v>2.0776168270423734E-9</v>
      </c>
      <c r="O11" s="320">
        <f>C.aM*(Molweight*1000)</f>
        <v>2.4560505297666227E-11</v>
      </c>
      <c r="P11" s="320">
        <f>C.aA*(Molweight*1000)</f>
        <v>1.8843815497654876E-12</v>
      </c>
      <c r="Q11" s="321">
        <f>C.aT*(Molweight*1000)</f>
        <v>8.9917190342454317E-13</v>
      </c>
      <c r="R11" s="119" t="s">
        <v>1493</v>
      </c>
      <c r="S11" s="323">
        <f>F.aR</f>
        <v>8.346741349721718E-7</v>
      </c>
      <c r="T11" s="323">
        <f>F.aC</f>
        <v>2.2075750204074591E-8</v>
      </c>
      <c r="U11" s="323">
        <f>F.aM</f>
        <v>2.6096803451913516E-10</v>
      </c>
      <c r="V11" s="323">
        <f>F.aA</f>
        <v>1.8476927254929682E-11</v>
      </c>
      <c r="W11" s="324">
        <f>F.aT</f>
        <v>9.9899691978087542E-12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4.7703541526711237E-4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8833.9029203982063</v>
      </c>
      <c r="D12" s="122">
        <f>C12/$C$51</f>
        <v>2.3367979979870115E-4</v>
      </c>
      <c r="E12" s="318">
        <f>FRgas.aC*E11</f>
        <v>7326.9505189290539</v>
      </c>
      <c r="F12" s="122">
        <f>E12/$E$51</f>
        <v>2.0538341844956494E-4</v>
      </c>
      <c r="G12" s="318">
        <f>FRgas.aM*G11</f>
        <v>933.27201852644851</v>
      </c>
      <c r="H12" s="122">
        <f>G12/$G$51</f>
        <v>9.8584079951857245E-7</v>
      </c>
      <c r="I12" s="318">
        <f>FRgas.aA*I11</f>
        <v>7.4648141711040141</v>
      </c>
      <c r="J12" s="122">
        <f>I12/$I$51</f>
        <v>1.1902704735983244E-8</v>
      </c>
      <c r="K12" s="318">
        <f>FRgas.aT*K11</f>
        <v>63.256386221361637</v>
      </c>
      <c r="L12" s="123">
        <f>K12/$K$51</f>
        <v>5.5438530987761986E-8</v>
      </c>
      <c r="M12" s="320">
        <f>FRgas.aR*M11</f>
        <v>3.8480214838167907E-8</v>
      </c>
      <c r="N12" s="320">
        <f>FRgas.aC*N11</f>
        <v>1.0177380308961424E-9</v>
      </c>
      <c r="O12" s="320">
        <f>FRgas.aM*O11</f>
        <v>1.2031169546814275E-11</v>
      </c>
      <c r="P12" s="320">
        <f>FRgas.aA*P11</f>
        <v>1.7564268637891797E-13</v>
      </c>
      <c r="Q12" s="320">
        <f>FRgas.aT*Q11</f>
        <v>4.9612851938322855E-13</v>
      </c>
      <c r="R12" s="120" t="s">
        <v>1493</v>
      </c>
      <c r="S12" s="325">
        <f>S11*FRgas.aR</f>
        <v>4.0887212671251333E-7</v>
      </c>
      <c r="T12" s="325">
        <f>T11*FRgas.aC</f>
        <v>1.0813991420753815E-8</v>
      </c>
      <c r="U12" s="325">
        <f>U11*FRgas.aM</f>
        <v>1.2783738084969035E-10</v>
      </c>
      <c r="V12" s="325">
        <f>V11*FRgas.aA</f>
        <v>1.7222293115147409E-12</v>
      </c>
      <c r="W12" s="326">
        <f>W11*FRgas.aT</f>
        <v>5.5120812915934717E-12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4.4930171036386161E-3</v>
      </c>
      <c r="AE12" s="325">
        <f>k.aR.aC*M.aR*Molweight</f>
        <v>0.16987894543681453</v>
      </c>
      <c r="AF12" s="325">
        <f>kesc.aR*M.aR*Molweight</f>
        <v>6.6061689521165886E-6</v>
      </c>
      <c r="AG12" s="326">
        <f>KDEG.aR*M.aR*Molweight</f>
        <v>2.7869309168584676E-2</v>
      </c>
      <c r="AH12" s="325">
        <f>SUM(AH13:AH15)</f>
        <v>5.0636130582959902E-3</v>
      </c>
      <c r="AI12" s="325">
        <f>SUM(AI13:AI15)</f>
        <v>9.7385168221084891E-7</v>
      </c>
      <c r="AJ12" s="325">
        <f>SUM(AJ18:AJ20)</f>
        <v>0.11877888130657305</v>
      </c>
      <c r="AK12" s="325">
        <f>SUM(AK18:AK20)</f>
        <v>5.4443462536255979E-6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67</v>
      </c>
      <c r="BO12" s="409" t="str">
        <f>ChemName</f>
        <v>1-aminoanthraquinone</v>
      </c>
      <c r="BP12" s="541" t="str">
        <f>substances!D6</f>
        <v/>
      </c>
      <c r="BQ12" s="542" t="str">
        <f>substances!E6</f>
        <v/>
      </c>
      <c r="BR12" s="425">
        <f>engine!D45</f>
        <v>80868.09446993297</v>
      </c>
      <c r="BS12" s="425"/>
      <c r="BT12" s="425">
        <f>engine!F45</f>
        <v>43845386.875380956</v>
      </c>
      <c r="BU12" s="425">
        <f>engine!G45</f>
        <v>2328609.026402995</v>
      </c>
      <c r="BV12" s="425">
        <f>engine!H45</f>
        <v>1245888.5993616343</v>
      </c>
      <c r="BW12" s="425">
        <f>engine!I45</f>
        <v>19463.093696793734</v>
      </c>
      <c r="BX12" s="425">
        <f>engine!J45</f>
        <v>2497652.0314935828</v>
      </c>
      <c r="BY12" s="425">
        <f>engine!K45</f>
        <v>61519951.45403529</v>
      </c>
      <c r="BZ12" s="425">
        <f>engine!L45</f>
        <v>925056.30796058627</v>
      </c>
      <c r="CA12" s="425">
        <f>engine!M45</f>
        <v>67073.017677510346</v>
      </c>
      <c r="CB12" s="425">
        <f>engine!N45</f>
        <v>7114395.8931090068</v>
      </c>
      <c r="CC12" s="425">
        <f>engine!O45</f>
        <v>3036450.2663019728</v>
      </c>
      <c r="CD12" s="425">
        <f>engine!P45</f>
        <v>143037811.59143937</v>
      </c>
      <c r="CE12" s="425">
        <f>engine!Q45</f>
        <v>86282.253137978667</v>
      </c>
      <c r="CF12" s="425">
        <f>engine!R45</f>
        <v>59777.28114987375</v>
      </c>
      <c r="CG12" s="425">
        <f>engine!S45</f>
        <v>1094892.7566110813</v>
      </c>
      <c r="CH12" s="425">
        <f>engine!T45</f>
        <v>5073132.1318689082</v>
      </c>
      <c r="CI12" s="425">
        <f>engine!U45</f>
        <v>405515.83578188199</v>
      </c>
      <c r="CJ12" s="425">
        <f>engine!V45</f>
        <v>8543.4411539740831</v>
      </c>
      <c r="CK12" s="425">
        <f>engine!W45</f>
        <v>140324062.96584749</v>
      </c>
      <c r="CL12" s="611"/>
      <c r="CM12" s="425">
        <f>engine!Y45</f>
        <v>114346.36441881652</v>
      </c>
      <c r="CN12" s="425">
        <f>engine!Z45</f>
        <v>539647.97070333001</v>
      </c>
      <c r="CO12" s="425">
        <f>engine!AA45</f>
        <v>359.1310128476826</v>
      </c>
      <c r="CP12" s="425">
        <f>engine!AB45</f>
        <v>110212992.86147466</v>
      </c>
      <c r="CQ12" s="425"/>
      <c r="CR12" s="425">
        <f>engine!AD45</f>
        <v>75325.430060845843</v>
      </c>
      <c r="CS12" s="425">
        <f>engine!AE45</f>
        <v>54636.983944199121</v>
      </c>
      <c r="CT12" s="425">
        <f>engine!AF45</f>
        <v>514.10052774273208</v>
      </c>
      <c r="CU12" s="425">
        <f>engine!AG45</f>
        <v>153718644.89224631</v>
      </c>
      <c r="CV12" s="425"/>
      <c r="CW12" s="425">
        <f>engine!AI45</f>
        <v>138112.18533712067</v>
      </c>
      <c r="CX12" s="425">
        <f>engine!AJ45</f>
        <v>10339.034755056078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9199.6821463968481</v>
      </c>
      <c r="D13" s="122">
        <f>C13/$C$51</f>
        <v>2.4335561546841121E-4</v>
      </c>
      <c r="E13" s="318">
        <f>(1-FRgas.aC)*E11</f>
        <v>7630.3324231557544</v>
      </c>
      <c r="F13" s="122">
        <f>E13/$E$51</f>
        <v>2.1388758569142668E-4</v>
      </c>
      <c r="G13" s="318">
        <f>(1-FRgas.aM)*G11</f>
        <v>971.9153588097721</v>
      </c>
      <c r="H13" s="122">
        <f>G13/$G$51</f>
        <v>1.0266608184677426E-6</v>
      </c>
      <c r="I13" s="318">
        <f>(1-FRgas.aA)*I11</f>
        <v>72.621401693929215</v>
      </c>
      <c r="J13" s="122">
        <f>I13/$I$51</f>
        <v>1.1579539450855923E-7</v>
      </c>
      <c r="K13" s="318">
        <f>(1-FRgas.aT)*K11</f>
        <v>51.388031465267616</v>
      </c>
      <c r="L13" s="123">
        <f>K13/$K$51</f>
        <v>4.5036985907128267E-8</v>
      </c>
      <c r="M13" s="320">
        <f>(1-FRgas.aR)*M11</f>
        <v>4.0073538120820869E-8</v>
      </c>
      <c r="N13" s="320">
        <f>(1-FRgas.aC)*N11</f>
        <v>1.059878796146231E-9</v>
      </c>
      <c r="O13" s="320">
        <f>(1-FRgas.aM)*O11</f>
        <v>1.2529335750851953E-11</v>
      </c>
      <c r="P13" s="320">
        <f>(1-FRgas.aA)*P11</f>
        <v>1.7087388633865696E-12</v>
      </c>
      <c r="Q13" s="320">
        <f>(1-FRgas.aT)*Q11</f>
        <v>4.0304338404131467E-13</v>
      </c>
      <c r="R13" s="120" t="s">
        <v>1493</v>
      </c>
      <c r="S13" s="325">
        <f>S11*(1-FRgas.aR)</f>
        <v>4.2580200825965847E-7</v>
      </c>
      <c r="T13" s="325">
        <f>T11*(1-FRgas.aC)</f>
        <v>1.1261758783320776E-8</v>
      </c>
      <c r="U13" s="325">
        <f>U11*(1-FRgas.aM)</f>
        <v>1.3313065366944481E-10</v>
      </c>
      <c r="V13" s="325">
        <f>V11*(1-FRgas.aA)</f>
        <v>1.6754697943414941E-11</v>
      </c>
      <c r="W13" s="326">
        <f>W11*(1-FRgas.aT)</f>
        <v>4.4778879062152825E-12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3.0503291143584674E-2</v>
      </c>
      <c r="AF13" s="330"/>
      <c r="AG13" s="326">
        <f>KDEG.w0R*M.w0R*Molweight</f>
        <v>2.7388052941290371E-3</v>
      </c>
      <c r="AH13" s="325">
        <f>k.aR.w0R*M.aR*Molweight</f>
        <v>3.6826247493818151E-4</v>
      </c>
      <c r="AI13" s="325">
        <f>k.w0R.aR*M.w0R*Molweight</f>
        <v>3.6043014221157369E-8</v>
      </c>
      <c r="AJ13" s="325"/>
      <c r="AK13" s="325"/>
      <c r="AL13" s="631">
        <f>SUM(AL18:AL20)*AREAFRAC.w0R/(AREAFRAC.w0R+AREAFRAC.w1R)</f>
        <v>3.2873870005789743E-2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3.0503291143584674E-2</v>
      </c>
      <c r="AE14" s="325">
        <f>(WATERflow.w1R.w0R+WATERflow.w1R.w2R)*C.w1R*Molweight</f>
        <v>0.7102807068541892</v>
      </c>
      <c r="AF14" s="330"/>
      <c r="AG14" s="326">
        <f>KDEG.w1R*M.w1R*Molweight</f>
        <v>2.1043114520557277E-3</v>
      </c>
      <c r="AH14" s="325">
        <f>k.aR.w1R*M.aR*Molweight</f>
        <v>4.050887224319997E-3</v>
      </c>
      <c r="AI14" s="325">
        <f>k.w1R.aR*M.w1R*Molweight</f>
        <v>9.2309990971578603E-7</v>
      </c>
      <c r="AJ14" s="325"/>
      <c r="AK14" s="325"/>
      <c r="AL14" s="631">
        <f>SUM(AL18:AL20)*AREAFRAC.w1R/(AREAFRAC.w0R+AREAFRAC.w1R)</f>
        <v>0.36161257006368724</v>
      </c>
      <c r="AM14" s="325">
        <f>k.w1R.sd1R*M.w1R*Molweight</f>
        <v>0.10171006999876345</v>
      </c>
      <c r="AN14" s="326">
        <f>k.sd1R.w1R*M.sd1R*Molweight</f>
        <v>0.10083134313568007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12724230.019895321</v>
      </c>
      <c r="D15" s="122">
        <f>C15/$C$51</f>
        <v>0.33658911020812188</v>
      </c>
      <c r="E15" s="318">
        <f>M.w0C*Molweight</f>
        <v>1586510.2841633086</v>
      </c>
      <c r="F15" s="122">
        <f>E15/$E$51</f>
        <v>4.4471831046905705E-2</v>
      </c>
      <c r="G15" s="318"/>
      <c r="H15" s="122"/>
      <c r="I15" s="318"/>
      <c r="J15" s="122"/>
      <c r="K15" s="318"/>
      <c r="L15" s="123"/>
      <c r="M15" s="320">
        <f>C.w0R*Molweight</f>
        <v>2.2267541706952481E-4</v>
      </c>
      <c r="N15" s="320">
        <f>C.w0C*Molweight</f>
        <v>1.8205199138954266E-6</v>
      </c>
      <c r="O15" s="320"/>
      <c r="P15" s="320"/>
      <c r="Q15" s="320"/>
      <c r="R15" s="120" t="s">
        <v>1489</v>
      </c>
      <c r="S15" s="325">
        <f>F.w0R</f>
        <v>1.7303839096416301E-10</v>
      </c>
      <c r="T15" s="325">
        <f>F.w0C</f>
        <v>1.4147041499436112E-12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0.71081021147786738</v>
      </c>
      <c r="AE15" s="325">
        <f>k.w2R.w2C*M.w2R*Molweight</f>
        <v>0.71133776354662559</v>
      </c>
      <c r="AF15" s="330"/>
      <c r="AG15" s="326">
        <f>KDEG.w2R*M.w2R*Molweight</f>
        <v>1.1176763625665307E-4</v>
      </c>
      <c r="AH15" s="325">
        <f>k.aR.w2R*M.aR*Molweight</f>
        <v>6.4446335903781235E-4</v>
      </c>
      <c r="AI15" s="325">
        <f>k.w2R.aR*M.w2R*Molweight</f>
        <v>1.4708758273905592E-8</v>
      </c>
      <c r="AJ15" s="325"/>
      <c r="AK15" s="325"/>
      <c r="AL15" s="631"/>
      <c r="AM15" s="325">
        <f>k.w2R.sd2R*M.w2R*Molweight</f>
        <v>1.5051758399143302E-3</v>
      </c>
      <c r="AN15" s="326">
        <f>k.sd2R.w2R*M.sd2R*Molweight</f>
        <v>1.5000468946498374E-3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12724018.253231864</v>
      </c>
      <c r="D16" s="122">
        <f>C16/$C$51</f>
        <v>0.33658350842689716</v>
      </c>
      <c r="E16" s="318">
        <f>FRw.w0C*E15</f>
        <v>1586483.8802088932</v>
      </c>
      <c r="F16" s="122">
        <f>E16/$E$51</f>
        <v>4.4471090911646929E-2</v>
      </c>
      <c r="G16" s="318"/>
      <c r="H16" s="122"/>
      <c r="I16" s="318"/>
      <c r="J16" s="122"/>
      <c r="K16" s="318"/>
      <c r="L16" s="123"/>
      <c r="M16" s="320">
        <f>M15*FRw.w0R</f>
        <v>2.2267171112975219E-4</v>
      </c>
      <c r="N16" s="320">
        <f>N15*FRw.w0C</f>
        <v>1.8204896153683394E-6</v>
      </c>
      <c r="O16" s="320"/>
      <c r="P16" s="320"/>
      <c r="Q16" s="320"/>
      <c r="R16" s="120" t="s">
        <v>1489</v>
      </c>
      <c r="S16" s="325">
        <f>S15*FRw.w0R</f>
        <v>1.7303551112289583E-10</v>
      </c>
      <c r="T16" s="325">
        <f>T15*FRw.w0C</f>
        <v>1.4146806053222751E-12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8.0442930525294126E-4</v>
      </c>
      <c r="AG16" s="326">
        <f>KDEG.sd1R*M.sd1R*Molweight</f>
        <v>7.4297557830425552E-5</v>
      </c>
      <c r="AH16" s="325"/>
      <c r="AI16" s="325"/>
      <c r="AJ16" s="325"/>
      <c r="AK16" s="325"/>
      <c r="AL16" s="631"/>
      <c r="AM16" s="325">
        <f>k.w1R.sd1R*M.w1R*Molweight</f>
        <v>0.10171006999876345</v>
      </c>
      <c r="AN16" s="326">
        <f>k.sd1R.w1R*M.sd1R*Molweight</f>
        <v>0.10083134313568007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211.76666345650344</v>
      </c>
      <c r="D17" s="122">
        <f>C17/$C$51</f>
        <v>5.6017812247277876E-6</v>
      </c>
      <c r="E17" s="318">
        <f>(1-FRw.w0C)*E15</f>
        <v>26.403954415424575</v>
      </c>
      <c r="F17" s="122">
        <f>E17/$E$51</f>
        <v>7.4013525878417263E-7</v>
      </c>
      <c r="G17" s="318"/>
      <c r="H17" s="122"/>
      <c r="I17" s="318"/>
      <c r="J17" s="122"/>
      <c r="K17" s="318"/>
      <c r="L17" s="123"/>
      <c r="M17" s="320">
        <f>M16*Kp.susp1R</f>
        <v>1.7114837403561579E-3</v>
      </c>
      <c r="N17" s="320">
        <f>N16*Kp.susp1C</f>
        <v>1.3992520021434552E-5</v>
      </c>
      <c r="O17" s="320"/>
      <c r="P17" s="320"/>
      <c r="Q17" s="320"/>
      <c r="R17" s="120" t="s">
        <v>1494</v>
      </c>
      <c r="S17" s="325">
        <f>S15*(1-FRw.w0R)</f>
        <v>2.8798412671782422E-15</v>
      </c>
      <c r="T17" s="325">
        <f>T15*(1-FRw.w0C)</f>
        <v>2.3544621336080822E-17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3.968279431097575E-6</v>
      </c>
      <c r="AG17" s="326">
        <f>KDEG.sd2R*M.sd2R*Molweight</f>
        <v>1.1606658333959015E-6</v>
      </c>
      <c r="AH17" s="325"/>
      <c r="AI17" s="325"/>
      <c r="AJ17" s="325"/>
      <c r="AK17" s="325"/>
      <c r="AL17" s="631"/>
      <c r="AM17" s="325">
        <f>k.w2R.sd2R*M.w2R*Molweight</f>
        <v>1.5051758399143302E-3</v>
      </c>
      <c r="AN17" s="326">
        <f>k.sd2R.w2R*M.sd2R*Molweight</f>
        <v>1.5000468946498374E-3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2.112184066303926E-4</v>
      </c>
      <c r="AG18" s="326">
        <f>KDEG.s1R*M.s1R*Molweight</f>
        <v>1.4894545655627315E-3</v>
      </c>
      <c r="AH18" s="325"/>
      <c r="AI18" s="325"/>
      <c r="AJ18" s="325">
        <f>k.aR.s1R*M.aR*Molweight</f>
        <v>3.3062162837912086E-2</v>
      </c>
      <c r="AK18" s="325">
        <f>k.s1R.aR*M.s1R*Molweight</f>
        <v>4.328170403592103E-7</v>
      </c>
      <c r="AL18" s="631">
        <f>(k.s1R.w1R+k.s1R.w0R)*M.s1R*Molweight</f>
        <v>3.1361057048678607E-2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9777521.2732099537</v>
      </c>
      <c r="D19" s="122">
        <f>C19/$C$51</f>
        <v>0.25864096925668401</v>
      </c>
      <c r="E19" s="318">
        <f>M.w1C*Molweight</f>
        <v>677128.40938533994</v>
      </c>
      <c r="F19" s="122">
        <f>E19/$E$51</f>
        <v>1.8980740635492231E-2</v>
      </c>
      <c r="G19" s="318"/>
      <c r="H19" s="122"/>
      <c r="I19" s="318"/>
      <c r="J19" s="122"/>
      <c r="K19" s="318"/>
      <c r="L19" s="123"/>
      <c r="M19" s="320">
        <f>C.w1R*Molweight</f>
        <v>5.1850815667953739E-4</v>
      </c>
      <c r="N19" s="320">
        <f>C.w1C*Molweight</f>
        <v>2.3545593267214408E-6</v>
      </c>
      <c r="O19" s="320"/>
      <c r="P19" s="320"/>
      <c r="Q19" s="320"/>
      <c r="R19" s="120" t="s">
        <v>1489</v>
      </c>
      <c r="S19" s="325">
        <f>F.w1R</f>
        <v>4.0292645822510297E-10</v>
      </c>
      <c r="T19" s="325">
        <f>F.w1C</f>
        <v>1.8296997606984677E-12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2.3674399534130914E-3</v>
      </c>
      <c r="AG19" s="326">
        <f>KDEG.s2R*M.s2R*Molweight</f>
        <v>3.6686924924291993E-2</v>
      </c>
      <c r="AH19" s="325"/>
      <c r="AI19" s="325"/>
      <c r="AJ19" s="325">
        <f>k.aR.s2R*M.aR*Molweight</f>
        <v>7.3471472973137955E-2</v>
      </c>
      <c r="AK19" s="325">
        <f>k.s2R.aR*M.s2R*Molweight</f>
        <v>4.8512266057259395E-6</v>
      </c>
      <c r="AL19" s="631">
        <f>(k.s2R.w1R+k.s2R.w0R)*M.s2R*Molweight</f>
        <v>0.351510176706473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9776269.0118344836</v>
      </c>
      <c r="D20" s="122">
        <f>C20/$C$51</f>
        <v>0.25860784367333173</v>
      </c>
      <c r="E20" s="318">
        <f>FRw.w1C*E19</f>
        <v>677041.68579460424</v>
      </c>
      <c r="F20" s="122">
        <f>E20/$E$51</f>
        <v>1.8978309666772095E-2</v>
      </c>
      <c r="G20" s="318"/>
      <c r="H20" s="122"/>
      <c r="I20" s="318"/>
      <c r="J20" s="122"/>
      <c r="K20" s="318"/>
      <c r="L20" s="123"/>
      <c r="M20" s="320">
        <f>M19*FRw.w1R</f>
        <v>5.184417484642717E-4</v>
      </c>
      <c r="N20" s="320">
        <f>N19*FRw.w1C</f>
        <v>2.3542577652501111E-6</v>
      </c>
      <c r="O20" s="320"/>
      <c r="P20" s="320"/>
      <c r="Q20" s="320"/>
      <c r="R20" s="120" t="s">
        <v>1489</v>
      </c>
      <c r="S20" s="325">
        <f>S19*FRw.w1R</f>
        <v>4.0287485319897298E-10</v>
      </c>
      <c r="T20" s="325">
        <f>T19*FRw.w1C</f>
        <v>1.8294654209026231E-12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7.8229039492738018E-5</v>
      </c>
      <c r="AG20" s="326">
        <f>KDEG.s3R*M.s3R*Molweight</f>
        <v>5.51649839097308E-4</v>
      </c>
      <c r="AH20" s="325"/>
      <c r="AI20" s="325"/>
      <c r="AJ20" s="325">
        <f>k.aR.s3R*M.aR*Molweight</f>
        <v>1.2245245495522993E-2</v>
      </c>
      <c r="AK20" s="325">
        <f>k.s3R.aR*M.s3R*Molweight</f>
        <v>1.6030260754044827E-7</v>
      </c>
      <c r="AL20" s="631">
        <f>(k.s3R.w1R+k.s3R.w0R)*M.s3R*Molweight</f>
        <v>1.1615206314325412E-2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4.328170403592103E-7</v>
      </c>
      <c r="BE20" s="2"/>
      <c r="BF20" s="296">
        <f>IF(output!AK20&lt;0,"",output!AK20)</f>
        <v>1.6030260754044827E-7</v>
      </c>
      <c r="BG20" s="75"/>
      <c r="BH20" s="296">
        <f>IF(output!AK19&lt;0,"",output!AK19)</f>
        <v>4.8512266057259395E-6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1252.2613754705919</v>
      </c>
      <c r="D21" s="122">
        <f>C21/$C$51</f>
        <v>3.3125583352281532E-5</v>
      </c>
      <c r="E21" s="318">
        <f>(1-FRw.w1C)*E19</f>
        <v>86.723590735663137</v>
      </c>
      <c r="F21" s="122">
        <f>E21/$E$51</f>
        <v>2.4309687201374677E-6</v>
      </c>
      <c r="G21" s="318"/>
      <c r="H21" s="122"/>
      <c r="I21" s="318"/>
      <c r="J21" s="122"/>
      <c r="K21" s="318"/>
      <c r="L21" s="123"/>
      <c r="M21" s="320">
        <f>M20*Kp.susp1R</f>
        <v>3.9848107256937552E-3</v>
      </c>
      <c r="N21" s="320">
        <f>N20*Kp.susp1C</f>
        <v>1.8095131462320808E-5</v>
      </c>
      <c r="O21" s="320"/>
      <c r="P21" s="320"/>
      <c r="Q21" s="320"/>
      <c r="R21" s="120" t="s">
        <v>1494</v>
      </c>
      <c r="S21" s="325">
        <f>S19*(1-FRw.w1R)</f>
        <v>5.1605026129982713E-14</v>
      </c>
      <c r="T21" s="325">
        <f>T19*(1-FRw.w1C)</f>
        <v>2.3433979584462274E-16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1.4708758273905592E-8</v>
      </c>
      <c r="AV21" s="75"/>
      <c r="AW21" s="75"/>
      <c r="AX21" s="288">
        <f>IF(output!AI14&lt;0,"",output!AI14)</f>
        <v>9.2309990971578603E-7</v>
      </c>
      <c r="AY21" s="75"/>
      <c r="AZ21" s="75"/>
      <c r="BA21" s="296">
        <f>IF(output!AI13&lt;0,"",output!AI13)</f>
        <v>3.6043014221157369E-8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0.1701232689996808</v>
      </c>
      <c r="AE22" s="325">
        <f>(k.aC.aM+k.aC.aR)*M.aC*Molweight</f>
        <v>2.5160781846337143E-2</v>
      </c>
      <c r="AF22" s="325">
        <f>kesc.aC*M.aC*Molweight</f>
        <v>5.4792398635123078E-6</v>
      </c>
      <c r="AG22" s="326">
        <f>KDEG.aC*M.aC*Molweight</f>
        <v>2.3115156586501311E-2</v>
      </c>
      <c r="AH22" s="325">
        <f>SUM(AH23:AH25)</f>
        <v>6.9773667755944749E-2</v>
      </c>
      <c r="AI22" s="325">
        <f>SUM(AI23:AI25)</f>
        <v>1.1359719484993631E-7</v>
      </c>
      <c r="AJ22" s="325">
        <f>SUM(AJ28:AJ30)</f>
        <v>5.2068957221060495E-2</v>
      </c>
      <c r="AK22" s="325">
        <f>SUM(AK28:AK30)</f>
        <v>6.600528315247199E-7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3.3062162837912086E-2</v>
      </c>
      <c r="BE22" s="2"/>
      <c r="BF22" s="296">
        <f>IF(output!AJ20&lt;0,"",output!AJ20)</f>
        <v>1.2245245495522993E-2</v>
      </c>
      <c r="BG22" s="75"/>
      <c r="BH22" s="296">
        <f>IF(output!AJ19&lt;0,"",output!AJ19)</f>
        <v>7.3471472973137955E-2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277833.15765764448</v>
      </c>
      <c r="D23" s="122">
        <f>C23/$C$51</f>
        <v>7.3494125126691741E-3</v>
      </c>
      <c r="E23" s="318">
        <f>M.sd1C*Molweight</f>
        <v>19240.942449769242</v>
      </c>
      <c r="F23" s="122">
        <f>E23/$E$51</f>
        <v>5.393472392526223E-4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1.1333591252215207E-3</v>
      </c>
      <c r="N23" s="320">
        <f>C.sd1C*(Molweight*1000)/(FRACw.sdC*1000+FRACs.sdC*RHOsolid)</f>
        <v>5.1466139238856405E-6</v>
      </c>
      <c r="O23" s="320"/>
      <c r="P23" s="320"/>
      <c r="Q23" s="320"/>
      <c r="R23" s="120" t="s">
        <v>1495</v>
      </c>
      <c r="S23" s="325">
        <f>F.sd1R</f>
        <v>4.2069520581530969E-10</v>
      </c>
      <c r="T23" s="325">
        <f>F.sd1C</f>
        <v>1.9103881159802881E-12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3.8032780784736852E-3</v>
      </c>
      <c r="AF23" s="330"/>
      <c r="AG23" s="326">
        <f>KDEG.w0C*M.w0C*Molweight</f>
        <v>3.4148571337225627E-4</v>
      </c>
      <c r="AH23" s="325">
        <f>k.aC.w0C*M.aC*Molweight</f>
        <v>1.5925928812556849E-4</v>
      </c>
      <c r="AI23" s="325">
        <f>k.w0C.aC*M.w0C*Molweight</f>
        <v>4.4939939504945375E-9</v>
      </c>
      <c r="AJ23" s="325"/>
      <c r="AK23" s="325"/>
      <c r="AL23" s="631">
        <f>SUM(AL28:AL30)*AREAFRAC.w0C/(AREAFRAC.w1C+AREAFRAC.w0C)</f>
        <v>3.9855089977143231E-3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6.4446335903781235E-4</v>
      </c>
      <c r="AV23" s="75"/>
      <c r="AW23" s="75"/>
      <c r="AX23" s="288">
        <f>IF(output!AH14&lt;0,"",output!AH14)</f>
        <v>4.050887224319997E-3</v>
      </c>
      <c r="AY23" s="291">
        <f>output!AL14</f>
        <v>0.36161257006368724</v>
      </c>
      <c r="AZ23" s="87"/>
      <c r="BA23" s="296">
        <f>IF(output!AH13&lt;0,"",output!AH13)</f>
        <v>3.6826247493818151E-4</v>
      </c>
      <c r="BB23" s="291">
        <f>output!AL13</f>
        <v>3.2873870005789743E-2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222266.52612611558</v>
      </c>
      <c r="D24" s="122">
        <f>C24/$C$51</f>
        <v>5.8795300101353396E-3</v>
      </c>
      <c r="E24" s="318">
        <f>E23*FRACw.sdC</f>
        <v>15392.753959815394</v>
      </c>
      <c r="F24" s="122">
        <f>E24/$E$51</f>
        <v>4.3147779140209787E-4</v>
      </c>
      <c r="G24" s="318"/>
      <c r="H24" s="122"/>
      <c r="I24" s="318"/>
      <c r="J24" s="122"/>
      <c r="K24" s="318"/>
      <c r="L24" s="123"/>
      <c r="M24" s="320">
        <f>M25/Kp.sd1R</f>
        <v>5.4137396847081694E-4</v>
      </c>
      <c r="N24" s="320">
        <f>N25/Kp.sd1C</f>
        <v>2.4583935860723293E-6</v>
      </c>
      <c r="O24" s="320"/>
      <c r="P24" s="320"/>
      <c r="Q24" s="320"/>
      <c r="R24" s="120" t="s">
        <v>1489</v>
      </c>
      <c r="S24" s="325">
        <f>S23*FRACw.sdR</f>
        <v>3.3655616465224779E-10</v>
      </c>
      <c r="T24" s="325">
        <f>T23*FRACw.sdC</f>
        <v>1.5283104927842305E-12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3.8032780784736852E-3</v>
      </c>
      <c r="AE24" s="325">
        <f>(k.w1C.w0C+k.w1C.w1R+k.w1C.w2C)*M.w1C*Molweight</f>
        <v>4.9189485945385844E-2</v>
      </c>
      <c r="AF24" s="330"/>
      <c r="AG24" s="326">
        <f>KDEG.w1C*M.w1C*Molweight</f>
        <v>1.4573111390572919E-4</v>
      </c>
      <c r="AH24" s="325">
        <f>k.aC.w1C*M.aC*Molweight</f>
        <v>1.7518521693812529E-3</v>
      </c>
      <c r="AI24" s="325">
        <f>k.w1C.aC*M.w1C*Molweight</f>
        <v>6.3927978891974862E-8</v>
      </c>
      <c r="AJ24" s="518"/>
      <c r="AK24" s="518"/>
      <c r="AL24" s="631">
        <f>SUM(AL28:AL30)*AREAFRAC.w1C/(AREAFRAC.w1C+AREAFRAC.w0C)</f>
        <v>4.384059897485755E-2</v>
      </c>
      <c r="AM24" s="325">
        <f>k.w1C.sd1C*M.w1C*Molweight</f>
        <v>7.0437870695753578E-3</v>
      </c>
      <c r="AN24" s="326">
        <f>k.sd1C.w1C*M.sd1C*Molweight</f>
        <v>6.9833388341333305E-3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3.0503291143584674E-2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55566.631531528881</v>
      </c>
      <c r="D25" s="122">
        <f>C25/$C$51</f>
        <v>1.4698825025338345E-3</v>
      </c>
      <c r="E25" s="318">
        <f>E23*FRACs.sdC</f>
        <v>3848.1884899538477</v>
      </c>
      <c r="F25" s="122">
        <f>E25/$E$51</f>
        <v>1.0786944785052444E-4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2.0805353760226472E-3</v>
      </c>
      <c r="N25" s="320">
        <f>C.sd1C*FRACs.sdC/(FRACw.sdC/(Kp.sd1C*RHOsolid/1000)+FRACs.sdC)*(Molweight*1000)/(FRACs.sdC*RHOsolid)</f>
        <v>9.4477664643869415E-6</v>
      </c>
      <c r="O25" s="320"/>
      <c r="P25" s="320"/>
      <c r="Q25" s="320"/>
      <c r="R25" s="120" t="s">
        <v>1494</v>
      </c>
      <c r="S25" s="325">
        <f>S23*(1-FRACw.sdR)</f>
        <v>8.4139041163061922E-11</v>
      </c>
      <c r="T25" s="325">
        <f>T23*(1-FRACw.sdC)</f>
        <v>3.8207762319605754E-13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0.95042079904754173</v>
      </c>
      <c r="AE25" s="325">
        <f>(k.w2C.w2M+k.w2C.w2R)*M.w2C*Molweight</f>
        <v>1.0114020992100967</v>
      </c>
      <c r="AF25" s="330"/>
      <c r="AG25" s="326">
        <f>KDEG.w2C*M.w2C*Molweight</f>
        <v>6.8654711527915023E-3</v>
      </c>
      <c r="AH25" s="325">
        <f>k.aC.w2C*M.aC*Molweight</f>
        <v>6.7862556298437932E-2</v>
      </c>
      <c r="AI25" s="325">
        <f>k.w2C.aC*M.w2C*Molweight</f>
        <v>4.5175222007466897E-8</v>
      </c>
      <c r="AJ25" s="325"/>
      <c r="AK25" s="325"/>
      <c r="AL25" s="631"/>
      <c r="AM25" s="325">
        <f>k.w2C.sd2C*M.w2C*Molweight</f>
        <v>4.6228683252641607E-3</v>
      </c>
      <c r="AN25" s="326">
        <f>k.sd2C.w2C*M.sd2C*Molweight</f>
        <v>4.6071285173948859E-3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0.7102807068541892</v>
      </c>
      <c r="AT25" s="75"/>
      <c r="AU25" s="75"/>
      <c r="AV25" s="87"/>
      <c r="AW25" s="75"/>
      <c r="AX25" s="289">
        <f>output!AD14</f>
        <v>3.0503291143584674E-2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5.5302863138642238E-5</v>
      </c>
      <c r="AG26" s="326">
        <f>KDEG.sd1C*M.sd1C*Molweight</f>
        <v>5.1453723033849222E-6</v>
      </c>
      <c r="AH26" s="325"/>
      <c r="AI26" s="325"/>
      <c r="AJ26" s="325"/>
      <c r="AK26" s="325"/>
      <c r="AL26" s="631"/>
      <c r="AM26" s="325">
        <f>k.w1C.sd1C*M.w1C*Molweight</f>
        <v>7.0437870695753578E-3</v>
      </c>
      <c r="AN26" s="326">
        <f>k.sd1C.w1C*M.sd1C*Molweight</f>
        <v>6.9833388341333305E-3</v>
      </c>
      <c r="AO26" s="329">
        <f>SUM(AC26,AD26,AM26)-SUM(AE26,AF26,AG26,AN26)</f>
        <v>0</v>
      </c>
      <c r="AP26" s="29"/>
      <c r="AQ26" s="438"/>
      <c r="AR26" s="2"/>
      <c r="AS26" s="313">
        <f>output!AE15</f>
        <v>0.71133776354662559</v>
      </c>
      <c r="AT26" s="75"/>
      <c r="AU26" s="285">
        <f>output!AD15</f>
        <v>0.71081021147786738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519279.81288786791</v>
      </c>
      <c r="D27" s="122">
        <f>C27/$C$51</f>
        <v>1.3736307021774932E-2</v>
      </c>
      <c r="E27" s="318">
        <f>M.w2C*Molweight</f>
        <v>31897431.984890979</v>
      </c>
      <c r="F27" s="122">
        <f>E27/$E$51</f>
        <v>0.89412417947882628</v>
      </c>
      <c r="G27" s="318">
        <f>M.w2M*Molweight</f>
        <v>31292266.041383993</v>
      </c>
      <c r="H27" s="122">
        <f>G27/$G$51</f>
        <v>3.3054877849754818E-2</v>
      </c>
      <c r="I27" s="318">
        <f>M.w2A*Molweight</f>
        <v>24577497.408108849</v>
      </c>
      <c r="J27" s="122">
        <f>I27/$I$51</f>
        <v>3.9189012357537079E-2</v>
      </c>
      <c r="K27" s="318">
        <f>M.w2T*Molweight</f>
        <v>34279257.810970925</v>
      </c>
      <c r="L27" s="123">
        <f>K27/$K$51</f>
        <v>3.0042685172382368E-2</v>
      </c>
      <c r="M27" s="320">
        <f>C.w2R*Molweight</f>
        <v>5.1927981288786725E-5</v>
      </c>
      <c r="N27" s="320">
        <f>C.w2C*Molweight</f>
        <v>4.2948976796113246E-8</v>
      </c>
      <c r="O27" s="320">
        <f>C.w2M*Molweight</f>
        <v>8.0680134146171276E-9</v>
      </c>
      <c r="P27" s="320">
        <f>C.w2A*Molweight</f>
        <v>9.6382342776897447E-9</v>
      </c>
      <c r="Q27" s="320">
        <f>C.w2T*Molweight</f>
        <v>3.8408132001087878E-9</v>
      </c>
      <c r="R27" s="120" t="s">
        <v>1489</v>
      </c>
      <c r="S27" s="325">
        <f>F.w2R</f>
        <v>4.0352610299246955E-11</v>
      </c>
      <c r="T27" s="325">
        <f>F.w2C</f>
        <v>3.3375133798609703E-14</v>
      </c>
      <c r="U27" s="325">
        <f>F.w2M</f>
        <v>6.2695562802369903E-15</v>
      </c>
      <c r="V27" s="325">
        <f>F.w2A</f>
        <v>2.1093727112800106E-16</v>
      </c>
      <c r="W27" s="326">
        <f>F.w2T</f>
        <v>1.9204066000543935E-14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1.2175038109398622E-5</v>
      </c>
      <c r="AG27" s="326">
        <f>KDEG.sd2C*M.sd2C*Molweight</f>
        <v>3.5647697598757857E-6</v>
      </c>
      <c r="AH27" s="325"/>
      <c r="AI27" s="325"/>
      <c r="AJ27" s="325"/>
      <c r="AK27" s="325"/>
      <c r="AL27" s="631"/>
      <c r="AM27" s="325">
        <f>k.w2C.sd2C*M.w2C*Molweight</f>
        <v>4.6228683252641607E-3</v>
      </c>
      <c r="AN27" s="326">
        <f>k.sd2C.w2C*M.sd2C*Molweight</f>
        <v>4.6071285173948859E-3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2.7388052941290371E-3</v>
      </c>
      <c r="BB27" s="264">
        <f>IF(ISERROR(output!D15),0,output!D15)</f>
        <v>0.33658911020812188</v>
      </c>
      <c r="BC27" s="86"/>
      <c r="BD27" s="295">
        <f>output!AG18</f>
        <v>1.4894545655627315E-3</v>
      </c>
      <c r="BE27" s="75"/>
      <c r="BF27" s="295">
        <f>output!AG19</f>
        <v>3.6686924924291993E-2</v>
      </c>
      <c r="BG27" s="75"/>
      <c r="BH27" s="256">
        <f>output!AG20</f>
        <v>5.51649839097308E-4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519253.2112080949</v>
      </c>
      <c r="D28" s="122">
        <f>C28/$C$51</f>
        <v>1.3735603337881225E-2</v>
      </c>
      <c r="E28" s="318">
        <f>FRw.w2C*E27</f>
        <v>31895797.942414872</v>
      </c>
      <c r="F28" s="122">
        <f>E28/$E$51</f>
        <v>0.89407837526208322</v>
      </c>
      <c r="G28" s="318">
        <f>FRw.w2M*G27</f>
        <v>31290663.000364594</v>
      </c>
      <c r="H28" s="122">
        <f>G28/$G$51</f>
        <v>3.3053184513611812E-2</v>
      </c>
      <c r="I28" s="318">
        <f>FRw.w2A*I27</f>
        <v>24576238.351431802</v>
      </c>
      <c r="J28" s="122">
        <f>I28/$I$51</f>
        <v>3.9187004781791823E-2</v>
      </c>
      <c r="K28" s="318">
        <f>FRw.w2T*K27</f>
        <v>34277501.752259396</v>
      </c>
      <c r="L28" s="123">
        <f>K28/$K$51</f>
        <v>3.0041146144924261E-2</v>
      </c>
      <c r="M28" s="320">
        <f>M27*FRw.w2R</f>
        <v>5.1925321120809422E-5</v>
      </c>
      <c r="N28" s="320">
        <f>N27*FRw.w2C</f>
        <v>4.2946776604811848E-8</v>
      </c>
      <c r="O28" s="320">
        <f>O27*FRw.w2M</f>
        <v>8.0676001062158898E-9</v>
      </c>
      <c r="P28" s="320">
        <f>P27*FRw.w2A</f>
        <v>9.6377405299732551E-9</v>
      </c>
      <c r="Q28" s="320">
        <f>Q27*FRw.w2T</f>
        <v>3.840616442830185E-9</v>
      </c>
      <c r="R28" s="120" t="s">
        <v>1489</v>
      </c>
      <c r="S28" s="325">
        <f>S27*FRw.w2R</f>
        <v>4.0350543114676047E-11</v>
      </c>
      <c r="T28" s="325">
        <f>T27*FRw.w2C</f>
        <v>3.3373424056386613E-14</v>
      </c>
      <c r="U28" s="325">
        <f>U27*FRw.w2M</f>
        <v>6.2692351032446513E-15</v>
      </c>
      <c r="V28" s="325">
        <f>V27*FRw.w2A</f>
        <v>2.109264652279844E-16</v>
      </c>
      <c r="W28" s="326">
        <f>W27*FRw.w2T</f>
        <v>1.9203082214150921E-14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9.2591562221843091E-5</v>
      </c>
      <c r="AG28" s="326">
        <f>KDEG.s1C*M.s1C*Molweight</f>
        <v>6.5293043008906812E-4</v>
      </c>
      <c r="AH28" s="325"/>
      <c r="AI28" s="325"/>
      <c r="AJ28" s="325">
        <f>k.aC.s1C*M.aC*Molweight</f>
        <v>1.449342108215086E-2</v>
      </c>
      <c r="AK28" s="325">
        <f>k.s1C.aC*M.s1C*Molweight</f>
        <v>1.8973349227664941E-7</v>
      </c>
      <c r="AL28" s="631">
        <f>(k.s1C.w1C+k.s1C.w0C)*M.s1C*Molweight</f>
        <v>1.3747709356347672E-2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26.601679773014361</v>
      </c>
      <c r="D29" s="122">
        <f>C29/$C$51</f>
        <v>7.0368389370832511E-7</v>
      </c>
      <c r="E29" s="318">
        <f>(1-FRw.w2C)*E27</f>
        <v>1634.0424761068159</v>
      </c>
      <c r="F29" s="122">
        <f>E29/$E$51</f>
        <v>4.5804216743047315E-5</v>
      </c>
      <c r="G29" s="318">
        <f>(1-FRw.w2M)*G27</f>
        <v>1603.0410193985745</v>
      </c>
      <c r="H29" s="122">
        <f>G29/$G$51</f>
        <v>1.6933361430038115E-6</v>
      </c>
      <c r="I29" s="318">
        <f>(1-FRw.w2A)*I27</f>
        <v>1259.0566770477997</v>
      </c>
      <c r="J29" s="122">
        <f>I29/$I$51</f>
        <v>2.0075757452582079E-6</v>
      </c>
      <c r="K29" s="318">
        <f>(1-FRw.w2T)*K27</f>
        <v>1756.0587115312344</v>
      </c>
      <c r="L29" s="123">
        <f>K29/$K$51</f>
        <v>1.5390274581110607E-6</v>
      </c>
      <c r="M29" s="320">
        <f>M28*Kp.susp2R</f>
        <v>3.9910477339105189E-4</v>
      </c>
      <c r="N29" s="320">
        <f>N28*Kp.susp2C</f>
        <v>3.300945121718368E-7</v>
      </c>
      <c r="O29" s="320">
        <f>O28*Kp.susp2M</f>
        <v>6.2008623975761129E-8</v>
      </c>
      <c r="P29" s="320">
        <f>P28*Kp.susp2A</f>
        <v>7.4076927541142042E-8</v>
      </c>
      <c r="Q29" s="320">
        <f>Q28*Kp.susp2T</f>
        <v>2.951947762694539E-8</v>
      </c>
      <c r="R29" s="120" t="s">
        <v>1494</v>
      </c>
      <c r="S29" s="325">
        <f>S27*(1-FRw.w2R)</f>
        <v>2.0671845709080288E-15</v>
      </c>
      <c r="T29" s="325">
        <f>T27*(1-FRw.w2C)</f>
        <v>1.7097422230889624E-18</v>
      </c>
      <c r="U29" s="325">
        <f>U27*(1-FRw.w2M)</f>
        <v>3.2117699233913749E-19</v>
      </c>
      <c r="V29" s="325">
        <f>V27*(1-FRw.w2A)</f>
        <v>1.0805900016668433E-20</v>
      </c>
      <c r="W29" s="326">
        <f>W27*(1-FRw.w2T)</f>
        <v>9.8378639301469709E-19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1.9522667710334139E-4</v>
      </c>
      <c r="AG29" s="326">
        <f>KDEG.s2C*M.s2C*Molweight</f>
        <v>3.0253212698313986E-3</v>
      </c>
      <c r="AH29" s="325"/>
      <c r="AI29" s="325"/>
      <c r="AJ29" s="325">
        <f>k.aC.s2C*M.aC*Molweight</f>
        <v>3.2207602404779684E-2</v>
      </c>
      <c r="AK29" s="325">
        <f>k.s2C.aC*M.s2C*Molweight</f>
        <v>4.0004767544190405E-7</v>
      </c>
      <c r="AL29" s="631">
        <f>(k.s2C.w1C+k.s2C.w0C)*M.s2C*Molweight</f>
        <v>2.8986654410169503E-2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3.4293171193275225E-5</v>
      </c>
      <c r="AG30" s="326">
        <f>KDEG.s3C*M.s3C*Molweight</f>
        <v>2.4182608521817339E-4</v>
      </c>
      <c r="AH30" s="325"/>
      <c r="AI30" s="325"/>
      <c r="AJ30" s="325">
        <f>k.aC.s3C*M.aC*Molweight</f>
        <v>5.367933734129947E-3</v>
      </c>
      <c r="AK30" s="325">
        <f>k.s3C.aC*M.s3C*Molweight</f>
        <v>7.0271663806166444E-8</v>
      </c>
      <c r="AL30" s="631">
        <f>(k.s3C.w1C+k.s3C.w0C)*M.s3C*Molweight</f>
        <v>5.0917442060546946E-3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0.25864096925668401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915236184.61939573</v>
      </c>
      <c r="H31" s="122">
        <f>G31/$G$51</f>
        <v>0.96678905408320959</v>
      </c>
      <c r="I31" s="318">
        <f>M.w3A*Molweight</f>
        <v>602546204.6232301</v>
      </c>
      <c r="J31" s="122">
        <f>I31/$I$51</f>
        <v>0.96076464852666954</v>
      </c>
      <c r="K31" s="318">
        <f>M.w3T*Molweight</f>
        <v>1106705964.3261359</v>
      </c>
      <c r="L31" s="123">
        <f>K31/$K$51</f>
        <v>0.96992820112945743</v>
      </c>
      <c r="M31" s="320"/>
      <c r="N31" s="320"/>
      <c r="O31" s="320">
        <f>C.w3M*Molweight</f>
        <v>7.8657751037554217E-9</v>
      </c>
      <c r="P31" s="320">
        <f>C.w3A*Molweight</f>
        <v>7.8764209754670596E-9</v>
      </c>
      <c r="Q31" s="320">
        <f>C.w3T*Molweight</f>
        <v>4.1333556090611984E-9</v>
      </c>
      <c r="R31" s="120" t="s">
        <v>1489</v>
      </c>
      <c r="S31" s="325"/>
      <c r="T31" s="325"/>
      <c r="U31" s="325">
        <f>F.w3M</f>
        <v>6.1123993189371549E-15</v>
      </c>
      <c r="V31" s="325">
        <f>F.w3A</f>
        <v>1.7237916188302176E-16</v>
      </c>
      <c r="W31" s="326">
        <f>F.w3T</f>
        <v>2.0666778045305987E-14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2.1043114520557277E-3</v>
      </c>
      <c r="AY31" s="75"/>
      <c r="AZ31" s="75"/>
      <c r="BA31" s="87"/>
      <c r="BB31" s="2"/>
      <c r="BC31" s="86"/>
      <c r="BD31" s="277">
        <f>IF(ISERROR(output!D39),0,output!D39)</f>
        <v>1.4733480266179388E-2</v>
      </c>
      <c r="BE31" s="75"/>
      <c r="BF31" s="277">
        <f>IF(ISERROR(output!D43),0,output!D43)</f>
        <v>0.36290202930402549</v>
      </c>
      <c r="BG31" s="75"/>
      <c r="BH31" s="273">
        <f>IF(ISERROR(output!D47),0,output!D47)</f>
        <v>5.4568445430294033E-3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915189298.87630379</v>
      </c>
      <c r="H32" s="122">
        <f>G32/$G$51</f>
        <v>0.96673952738837876</v>
      </c>
      <c r="I32" s="318">
        <f>FRw.w3A*I31</f>
        <v>602515337.37057364</v>
      </c>
      <c r="J32" s="122">
        <f>I32/$I$51</f>
        <v>0.96071543045024332</v>
      </c>
      <c r="K32" s="318">
        <f>FRw.w3T*K31</f>
        <v>1106649269.9641845</v>
      </c>
      <c r="L32" s="123">
        <f>K32/$K$51</f>
        <v>0.96987851362231992</v>
      </c>
      <c r="M32" s="320"/>
      <c r="N32" s="320"/>
      <c r="O32" s="320">
        <f>O31*FRw.w3M</f>
        <v>7.865372155623637E-9</v>
      </c>
      <c r="P32" s="320">
        <f>P31*FRw.w3A</f>
        <v>7.876017481968281E-9</v>
      </c>
      <c r="Q32" s="320">
        <f>Q31*FRw.w3T</f>
        <v>4.1331438654124536E-9</v>
      </c>
      <c r="R32" s="120" t="s">
        <v>1489</v>
      </c>
      <c r="S32" s="325"/>
      <c r="T32" s="325"/>
      <c r="U32" s="325">
        <f>U31*FRw.w3M</f>
        <v>6.1120861927857205E-15</v>
      </c>
      <c r="V32" s="325">
        <f>V31*FRw.w3A</f>
        <v>1.7237033123882928E-16</v>
      </c>
      <c r="W32" s="326">
        <f>W31*FRw.w3T</f>
        <v>2.0665719327062264E-14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2.076903787883044E-2</v>
      </c>
      <c r="AE32" s="325">
        <f>(k.aM.aA+k.aM.aC+k.aM.aT)*M.aM*Molweight</f>
        <v>2.2187255744416119E-3</v>
      </c>
      <c r="AF32" s="325">
        <f>kesc.aM*M.aM*Molweight</f>
        <v>6.979194460505443E-7</v>
      </c>
      <c r="AG32" s="326">
        <f>KDEG.aM*M.aM*Molweight</f>
        <v>2.9442984213290677E-3</v>
      </c>
      <c r="AH32" s="325">
        <f>AH33</f>
        <v>8.4620174151693473E-3</v>
      </c>
      <c r="AI32" s="325">
        <f>AI33</f>
        <v>8.8636293116376455E-8</v>
      </c>
      <c r="AJ32" s="325">
        <f>AJ36</f>
        <v>7.143480700100938E-3</v>
      </c>
      <c r="AK32" s="325">
        <f>AK36</f>
        <v>9.3515363457573465E-8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0.10083134313568007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46885.743091996555</v>
      </c>
      <c r="H33" s="122">
        <f>G33/$G$51</f>
        <v>4.9526694830963009E-5</v>
      </c>
      <c r="I33" s="318">
        <f>(1-FRw.w3A)*I31</f>
        <v>30867.252656504796</v>
      </c>
      <c r="J33" s="122">
        <f>I33/$I$51</f>
        <v>4.9218076426279417E-5</v>
      </c>
      <c r="K33" s="318">
        <f>(1-FRw.w3T)*K31</f>
        <v>56694.361951340055</v>
      </c>
      <c r="L33" s="123">
        <f>K33/$K$51</f>
        <v>4.9687507137569508E-5</v>
      </c>
      <c r="M33" s="320"/>
      <c r="N33" s="320"/>
      <c r="O33" s="320">
        <f>O32*Kp.susp3M</f>
        <v>6.0454273638539762E-8</v>
      </c>
      <c r="P33" s="320">
        <f>P32*Kp.susp3A</f>
        <v>6.0536095001734956E-8</v>
      </c>
      <c r="Q33" s="320">
        <f>Q32*Kp.susp3T</f>
        <v>3.1767881453447232E-8</v>
      </c>
      <c r="R33" s="120" t="s">
        <v>1494</v>
      </c>
      <c r="S33" s="325"/>
      <c r="T33" s="325"/>
      <c r="U33" s="325">
        <f>U31*(1-FRw.w3M)</f>
        <v>3.131261514344074E-19</v>
      </c>
      <c r="V33" s="325">
        <f>V31*(1-FRw.w3A)</f>
        <v>8.8306441924846153E-21</v>
      </c>
      <c r="W33" s="326">
        <f>W31*(1-FRw.w3T)</f>
        <v>1.0587182437225031E-18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9.18686774686776</v>
      </c>
      <c r="AE33" s="325">
        <f>(k.w2M.w2C+k.w2M.w2A+k.w2M.w2T+k.w2M.w3M)*M.w2M*Molweight</f>
        <v>9.1953703940972318</v>
      </c>
      <c r="AF33" s="330"/>
      <c r="AG33" s="326">
        <f>KDEG.w2M*M.w2M*Molweight</f>
        <v>6.7352177414897064E-3</v>
      </c>
      <c r="AH33" s="325">
        <f>k.aM.w2M*M.aM*Molweight</f>
        <v>8.4620174151693473E-3</v>
      </c>
      <c r="AI33" s="325">
        <f>k.w2M.aM*M.w2M*Molweight</f>
        <v>8.8636293116376455E-8</v>
      </c>
      <c r="AJ33" s="325"/>
      <c r="AK33" s="325"/>
      <c r="AL33" s="325">
        <f>AL36</f>
        <v>6.7759361920845121E-3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1.1176763625665307E-4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8.9767379786691919</v>
      </c>
      <c r="AE34" s="325">
        <f>(k.w3M.w2M+k.w3M.w3A+k.w3M.w3T)*M.w3M*Molweight</f>
        <v>8.7797394378283364</v>
      </c>
      <c r="AF34" s="330"/>
      <c r="AG34" s="326">
        <f>KDEG.w3M*M.w3M*Molweight</f>
        <v>0.19699164579994308</v>
      </c>
      <c r="AH34" s="325"/>
      <c r="AI34" s="325"/>
      <c r="AJ34" s="325"/>
      <c r="AK34" s="325"/>
      <c r="AL34" s="325"/>
      <c r="AM34" s="325">
        <f>k.w3M.sdM*M.w3M*Molweight</f>
        <v>8.8429613393679121E-3</v>
      </c>
      <c r="AN34" s="326">
        <f>k.sdM.w3M*M.sdM*Molweight</f>
        <v>8.8360662984566848E-3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0.10171006999876345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4340.2698943850028</v>
      </c>
      <c r="D35" s="122">
        <f>C35/$C$51</f>
        <v>1.1481147224861042E-4</v>
      </c>
      <c r="E35" s="318">
        <f>M.sd2C*Molweight</f>
        <v>13330.333696421847</v>
      </c>
      <c r="F35" s="122">
        <f>E35/$E$51</f>
        <v>3.7366561935574797E-4</v>
      </c>
      <c r="G35" s="318">
        <f>M.sdM*Molweight</f>
        <v>25499.239265396085</v>
      </c>
      <c r="H35" s="122">
        <f>G35/$G$51</f>
        <v>2.6935544970269618E-5</v>
      </c>
      <c r="I35" s="318">
        <f>M.sdA*Molweight</f>
        <v>16797.570903568623</v>
      </c>
      <c r="J35" s="122">
        <f>I35/$I$51</f>
        <v>2.6783858534733066E-5</v>
      </c>
      <c r="K35" s="318">
        <f>M.sdT*Molweight</f>
        <v>30799.01733017791</v>
      </c>
      <c r="L35" s="123">
        <f>K35/$K$51</f>
        <v>2.6992567527910424E-5</v>
      </c>
      <c r="M35" s="320">
        <f>C.sd2R*(Molweight*1000)/(FRACw.sdR*1000+FRACs.sdR*RHOsolid)</f>
        <v>1.1128897165089738E-4</v>
      </c>
      <c r="N35" s="320">
        <f>C.sd2C*(Molweight*1000)/(FRACw.sdC*1000+FRACs.sdC*RHOsolid)</f>
        <v>9.2045701420899026E-8</v>
      </c>
      <c r="O35" s="320">
        <f>C.sdM*(Molweight*1000)/(FRACw.sdM*1000+FRACs.sdM*RHOsolid)</f>
        <v>1.6857462986399558E-8</v>
      </c>
      <c r="P35" s="320">
        <f>C.sdA*(Molweight*1000)/(FRACw.sdA*1000+FRACs.sdA*RHOsolid)</f>
        <v>1.6890468480209776E-8</v>
      </c>
      <c r="Q35" s="320">
        <f>C.sdT*(Molweight*1000)/(FRACw.sdT*1000+FRACs.sdT*RHOsolid)</f>
        <v>8.8483853566552922E-9</v>
      </c>
      <c r="R35" s="120" t="s">
        <v>1495</v>
      </c>
      <c r="S35" s="325">
        <f>F.sd2R</f>
        <v>4.1309710039611222E-11</v>
      </c>
      <c r="T35" s="325">
        <f>F.sd2C</f>
        <v>3.4166738893209181E-14</v>
      </c>
      <c r="U35" s="325">
        <f>F.sdM</f>
        <v>6.2573757097523607E-15</v>
      </c>
      <c r="V35" s="325">
        <f>F.sdA</f>
        <v>1.7657424736966608E-16</v>
      </c>
      <c r="W35" s="326">
        <f>F.sdT</f>
        <v>2.113313154008115E-14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7.6088055041643052E-8</v>
      </c>
      <c r="AG35" s="326">
        <f>KDEG.sdM*M.sdM*Molweight</f>
        <v>6.8189528561854743E-6</v>
      </c>
      <c r="AH35" s="325"/>
      <c r="AI35" s="325"/>
      <c r="AJ35" s="325"/>
      <c r="AK35" s="325"/>
      <c r="AL35" s="325"/>
      <c r="AM35" s="325">
        <f>k.w3M.sdM*M.w3M*Molweight</f>
        <v>8.8429613393679121E-3</v>
      </c>
      <c r="AN35" s="326">
        <f>k.sdM.w3M*M.sdM*Molweight</f>
        <v>8.8360662984566848E-3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7.4297557830425552E-5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3472.2159155080026</v>
      </c>
      <c r="D36" s="122">
        <f>C36/$C$51</f>
        <v>9.1849177798888345E-5</v>
      </c>
      <c r="E36" s="318">
        <f>E35*FRACw.sdC</f>
        <v>10664.266957137479</v>
      </c>
      <c r="F36" s="122">
        <f>E36/$E$51</f>
        <v>2.9893249548459841E-4</v>
      </c>
      <c r="G36" s="318">
        <f>G35*FRACw.sdM</f>
        <v>20399.391412316869</v>
      </c>
      <c r="H36" s="122">
        <f>G36/$G$51</f>
        <v>2.1548435976215695E-5</v>
      </c>
      <c r="I36" s="318">
        <f>I35*FRACw.sdA</f>
        <v>13438.056722854899</v>
      </c>
      <c r="J36" s="122">
        <f>I36/$I$51</f>
        <v>2.1427086827786453E-5</v>
      </c>
      <c r="K36" s="318">
        <f>K35*FRACw.sdT</f>
        <v>24639.21386414233</v>
      </c>
      <c r="L36" s="123">
        <f>K36/$K$51</f>
        <v>2.1594054022328339E-5</v>
      </c>
      <c r="M36" s="320">
        <f>M37/Kp.sd2R</f>
        <v>5.3159630419798853E-5</v>
      </c>
      <c r="N36" s="320">
        <f>N37/Kp.sd2C</f>
        <v>4.3967658220577071E-8</v>
      </c>
      <c r="O36" s="320">
        <f>O37/Kp.sdM</f>
        <v>8.0523387796549307E-9</v>
      </c>
      <c r="P36" s="320">
        <f>P37/Kp.sdA</f>
        <v>8.0681045813039746E-9</v>
      </c>
      <c r="Q36" s="320">
        <f>Q37/Kp.sdT</f>
        <v>4.2266263080162309E-9</v>
      </c>
      <c r="R36" s="120" t="s">
        <v>1489</v>
      </c>
      <c r="S36" s="325">
        <f>S35*FRACw.sdR</f>
        <v>3.3047768031688981E-11</v>
      </c>
      <c r="T36" s="325">
        <f>T35*FRACw.sdC</f>
        <v>2.7333391114567346E-14</v>
      </c>
      <c r="U36" s="325">
        <f>U35*FRACw.sdM</f>
        <v>5.005900567801889E-15</v>
      </c>
      <c r="V36" s="325">
        <f>V35*FRACw.sdA</f>
        <v>1.4125939789573287E-16</v>
      </c>
      <c r="W36" s="326">
        <f>W35*FRACw.sdT</f>
        <v>1.6906505232064919E-14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4.5636294838525036E-5</v>
      </c>
      <c r="AG36" s="326">
        <f>KDEG.sM*M.sM*Molweight</f>
        <v>3.218146978144434E-4</v>
      </c>
      <c r="AH36" s="325"/>
      <c r="AI36" s="325"/>
      <c r="AJ36" s="325">
        <f>k.aM.sM*M.aM*Molweight</f>
        <v>7.143480700100938E-3</v>
      </c>
      <c r="AK36" s="325">
        <f>k.sM.aM*M.sM*Molweight</f>
        <v>9.3515363457573465E-8</v>
      </c>
      <c r="AL36" s="325">
        <f>k.sM.w2M*M.sM*Molweight</f>
        <v>6.7759361920845121E-3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868.05397887700042</v>
      </c>
      <c r="D37" s="122">
        <f>C37/$C$51</f>
        <v>2.296229444972208E-5</v>
      </c>
      <c r="E37" s="318">
        <f>E35*FRACs.sdC</f>
        <v>2666.0667392843689</v>
      </c>
      <c r="F37" s="122">
        <f>E37/$E$51</f>
        <v>7.4733123871149575E-5</v>
      </c>
      <c r="G37" s="318">
        <f>G35*FRACs.sdM</f>
        <v>5099.8478530792163</v>
      </c>
      <c r="H37" s="122">
        <f>G37/$G$51</f>
        <v>5.3871089940539228E-6</v>
      </c>
      <c r="I37" s="318">
        <f>I35*FRACs.sdA</f>
        <v>3359.5141807137238</v>
      </c>
      <c r="J37" s="122">
        <f>I37/$I$51</f>
        <v>5.3567717069466124E-6</v>
      </c>
      <c r="K37" s="318">
        <f>K35*FRACs.sdT</f>
        <v>6159.8034660355806</v>
      </c>
      <c r="L37" s="123">
        <f>K37/$K$51</f>
        <v>5.3985135055820838E-6</v>
      </c>
      <c r="M37" s="320">
        <f>C.sd2R*FRACs.sdR/(FRACw.sdR/(Kp.sd2R*RHOsolid/1000)+FRACs.sdR)*(Molweight*1000)/(FRACs.sdR*RHOsolid)</f>
        <v>2.0429591762065511E-4</v>
      </c>
      <c r="N37" s="320">
        <f>C.sd2C*FRACs.sdC/(FRACw.sdC/(Kp.sd2C*RHOsolid/1000)+FRACs.sdC)*(Molweight*1000)/(FRACs.sdC*RHOsolid)</f>
        <v>1.6897057054141424E-7</v>
      </c>
      <c r="O37" s="320">
        <f>C.sdM*FRACs.sdM/(FRACw.sdM/(Kp.sdM*RHOsolid/1000)+FRACs.sdM)*(Molweight*1000)/(FRACs.sdM*RHOsolid)</f>
        <v>3.0945661717190975E-8</v>
      </c>
      <c r="P37" s="320">
        <f>C.sdA*FRACs.sdA/(FRACw.sdA/(Kp.sdA*RHOsolid/1000)+FRACs.sdA)*(Molweight*1000)/(FRACs.sdA*RHOsolid)</f>
        <v>3.100625071845907E-8</v>
      </c>
      <c r="Q37" s="320">
        <f>C.sdT*FRACs.sdT/(FRACw.sdT/(Kp.sdT*RHOsolid/1000)+FRACs.sdT)*(Molweight*1000)/(FRACs.sdT*RHOsolid)</f>
        <v>1.6243199834477797E-8</v>
      </c>
      <c r="R37" s="120" t="s">
        <v>1494</v>
      </c>
      <c r="S37" s="325">
        <f>S35*(1-FRACw.sdR)</f>
        <v>8.2619420079222421E-12</v>
      </c>
      <c r="T37" s="325">
        <f>T35*(1-FRACw.sdC)</f>
        <v>6.8333477786418348E-15</v>
      </c>
      <c r="U37" s="325">
        <f>U35*(1-FRACw.sdM)</f>
        <v>1.2514751419504719E-15</v>
      </c>
      <c r="V37" s="325">
        <f>V35*(1-FRACw.sdA)</f>
        <v>3.5314849473933206E-17</v>
      </c>
      <c r="W37" s="326">
        <f>W35*(1-FRACw.sdT)</f>
        <v>4.2266263080162291E-15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1.3736307021774932E-2</v>
      </c>
      <c r="AW37" s="75"/>
      <c r="AX37" s="75"/>
      <c r="AY37" s="300">
        <f>IF(ISERROR(output!D23),0,output!D23)</f>
        <v>7.3494125126691741E-3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7.2268129351966211E-4</v>
      </c>
      <c r="AE38" s="325">
        <f>k.aA.aM*M.aA*Molweight</f>
        <v>5.5447039031339012E-5</v>
      </c>
      <c r="AF38" s="325">
        <f>kesc.aA*M.aA*Molweight</f>
        <v>2.9337653649037573E-8</v>
      </c>
      <c r="AG38" s="326">
        <f>KDEG.aA*M.aA*Molweight</f>
        <v>1.9694601091379102E-5</v>
      </c>
      <c r="AH38" s="325">
        <f>AH39</f>
        <v>3.9356971087124932E-4</v>
      </c>
      <c r="AI38" s="325">
        <f>AI39</f>
        <v>2.1246481438108551E-9</v>
      </c>
      <c r="AJ38" s="325">
        <f>AJ42</f>
        <v>2.5394301850604925E-4</v>
      </c>
      <c r="AK38" s="325">
        <f>AK42</f>
        <v>2.8898585969616536E-10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556976.40302306891</v>
      </c>
      <c r="D39" s="122">
        <f>C39/$C$51</f>
        <v>1.4733480266179388E-2</v>
      </c>
      <c r="E39" s="318">
        <f>M.s1C*Molweight</f>
        <v>244161.08472427115</v>
      </c>
      <c r="F39" s="122">
        <f>E39/$E$51</f>
        <v>6.8441349649450561E-3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1.0617808248996222E-4</v>
      </c>
      <c r="N39" s="320">
        <f>C.s1C*(Molweight*1000)/(FRACw.s1C*1000+(1-FRACa.s1C-FRACw.s1C)*RHOsolid)</f>
        <v>3.0520124908490162E-6</v>
      </c>
      <c r="O39" s="320"/>
      <c r="P39" s="320"/>
      <c r="Q39" s="320"/>
      <c r="R39" s="120" t="s">
        <v>1495</v>
      </c>
      <c r="S39" s="325">
        <f>F.s1R</f>
        <v>5.597586633847582E-11</v>
      </c>
      <c r="T39" s="325">
        <f>F.s1C</f>
        <v>1.6089859530781583E-12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6.6182799496407849</v>
      </c>
      <c r="AE39" s="325">
        <f>(k.w2A.w2M+k.w2A.w3A)*M.w2A*Molweight</f>
        <v>6.6177674245046498</v>
      </c>
      <c r="AF39" s="330"/>
      <c r="AG39" s="326">
        <f>KDEG.w2A*M.w2A*Molweight</f>
        <v>1.1512941426259744E-3</v>
      </c>
      <c r="AH39" s="325">
        <f>k.aA.w2A*M.aA*Molweight</f>
        <v>3.9356971087124932E-4</v>
      </c>
      <c r="AI39" s="325">
        <f>k.w2A.aA*M.w2A*Molweight</f>
        <v>2.1246481438108551E-9</v>
      </c>
      <c r="AJ39" s="325"/>
      <c r="AK39" s="325"/>
      <c r="AL39" s="325">
        <f>AL42</f>
        <v>2.4520142026837036E-4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44454.284305110508</v>
      </c>
      <c r="D40" s="122">
        <f>C40/$C$51</f>
        <v>1.1759319012467145E-3</v>
      </c>
      <c r="E40" s="318">
        <f>E39*FRw.s1C</f>
        <v>19487.371848547362</v>
      </c>
      <c r="F40" s="122">
        <f>E40/$E$51</f>
        <v>5.4625495784533899E-4</v>
      </c>
      <c r="G40" s="318"/>
      <c r="H40" s="122"/>
      <c r="I40" s="318"/>
      <c r="J40" s="122"/>
      <c r="K40" s="318"/>
      <c r="L40" s="123"/>
      <c r="M40" s="320">
        <f>M41/Kp.s1R</f>
        <v>7.2032855329367436E-5</v>
      </c>
      <c r="N40" s="320">
        <f>N41/Kp.s1C</f>
        <v>2.0705325342217697E-6</v>
      </c>
      <c r="O40" s="320"/>
      <c r="P40" s="320"/>
      <c r="Q40" s="320"/>
      <c r="R40" s="120" t="s">
        <v>1489</v>
      </c>
      <c r="S40" s="325">
        <f>S39*FRACw.s1R</f>
        <v>1.1195173267695165E-11</v>
      </c>
      <c r="T40" s="325">
        <f>T39*FRACw.s1C</f>
        <v>3.2179719061563166E-13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6.6177674245046498</v>
      </c>
      <c r="AE40" s="325">
        <f>(k.w3A.w2A+k.w3A.w3M)*M.w3A*Molweight</f>
        <v>6.5895410837682746</v>
      </c>
      <c r="AF40" s="330"/>
      <c r="AG40" s="326">
        <f>KDEG.w3A*M.w3A*Molweight</f>
        <v>2.8225327604565691E-2</v>
      </c>
      <c r="AH40" s="325"/>
      <c r="AI40" s="325"/>
      <c r="AJ40" s="325"/>
      <c r="AK40" s="325"/>
      <c r="AL40" s="325"/>
      <c r="AM40" s="325">
        <f>k.w3A.sdA*M.w3A*Molweight</f>
        <v>5.8217680662198479E-3</v>
      </c>
      <c r="AN40" s="326">
        <f>k.sdA.w3A*M.sdA*Molweight</f>
        <v>5.8207549344100893E-3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1.5000468946498374E-3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512522.11871470732</v>
      </c>
      <c r="D41" s="122">
        <f>C41/$C$51</f>
        <v>1.3557548364846673E-2</v>
      </c>
      <c r="E41" s="318">
        <f>E39*FRs.s1C</f>
        <v>224673.71287429862</v>
      </c>
      <c r="F41" s="122">
        <f>E41/$E$51</f>
        <v>6.2978800070597682E-3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1.1073077944400578E-4</v>
      </c>
      <c r="N41" s="320">
        <f>C.s1C*FRs.s1C*(Molweight*1000)/(FRACs.s1C*RHOsolid)</f>
        <v>3.1828764850457925E-6</v>
      </c>
      <c r="O41" s="320"/>
      <c r="P41" s="320"/>
      <c r="Q41" s="320"/>
      <c r="R41" s="120" t="s">
        <v>1494</v>
      </c>
      <c r="S41" s="325">
        <f>S39*(1-FRACw.s1R)</f>
        <v>4.4780693070780661E-11</v>
      </c>
      <c r="T41" s="325">
        <f>T39*(1-FRACw.s1C)</f>
        <v>1.2871887624625266E-12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3.5509831945646125E-8</v>
      </c>
      <c r="AG41" s="326">
        <f>KDEG.sdA*M.sdA*Molweight</f>
        <v>9.77621977812579E-7</v>
      </c>
      <c r="AH41" s="325"/>
      <c r="AI41" s="325"/>
      <c r="AJ41" s="325"/>
      <c r="AK41" s="325"/>
      <c r="AL41" s="325"/>
      <c r="AM41" s="325">
        <f>k.w3A.sdA*M.w3A*Molweight</f>
        <v>5.8217680662198479E-3</v>
      </c>
      <c r="AN41" s="326">
        <f>k.sdA.w3A*M.sdA*Molweight</f>
        <v>5.8207549344100893E-3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1.6501693456686094E-6</v>
      </c>
      <c r="AG42" s="326">
        <f>KDEG.sA*M.sA*Molweight</f>
        <v>7.0911399061506087E-6</v>
      </c>
      <c r="AH42" s="325"/>
      <c r="AI42" s="325"/>
      <c r="AJ42" s="325">
        <f>k.aA.sA*M.aA*Molweight</f>
        <v>2.5394301850604925E-4</v>
      </c>
      <c r="AK42" s="325">
        <f>k.sA.aA*M.sA*Molweight</f>
        <v>2.8898585969616536E-10</v>
      </c>
      <c r="AL42" s="325">
        <f>k.sA.w2A*M.sA*Molweight</f>
        <v>2.4520142026837036E-4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1.5051758399143302E-3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13718949.174249871</v>
      </c>
      <c r="D43" s="122">
        <f>C43/$C$51</f>
        <v>0.36290202930402549</v>
      </c>
      <c r="E43" s="318">
        <f>M.s2C*Molweight</f>
        <v>1131308.4654067666</v>
      </c>
      <c r="F43" s="122">
        <f>E43/$E$51</f>
        <v>3.1711965209249827E-2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2.9421949885884418E-4</v>
      </c>
      <c r="N43" s="320">
        <f>C.s2C*(Molweight*1000)/(FRACw.s2C*1000+(1-FRACa.s2C-FRACw.s2C)*RHOsolid)</f>
        <v>1.5909019726625746E-6</v>
      </c>
      <c r="O43" s="320"/>
      <c r="P43" s="320"/>
      <c r="Q43" s="320"/>
      <c r="R43" s="120" t="s">
        <v>1495</v>
      </c>
      <c r="S43" s="325">
        <f>F.s2R</f>
        <v>1.5510914264111854E-10</v>
      </c>
      <c r="T43" s="325">
        <f>F.s2C</f>
        <v>8.3870525904248193E-13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1.1481147224861042E-4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1094958.5362132571</v>
      </c>
      <c r="D44" s="122">
        <f>C44/$C$51</f>
        <v>2.8964512496437864E-2</v>
      </c>
      <c r="E44" s="318">
        <f>E43*FRw.s2C</f>
        <v>90293.786029365583</v>
      </c>
      <c r="F44" s="122">
        <f>E44/$E$51</f>
        <v>2.5310456774007648E-3</v>
      </c>
      <c r="G44" s="318"/>
      <c r="H44" s="122"/>
      <c r="I44" s="318"/>
      <c r="J44" s="122"/>
      <c r="K44" s="318"/>
      <c r="L44" s="123"/>
      <c r="M44" s="320">
        <f>M45/Kp.s2R</f>
        <v>1.9960306401635842E-4</v>
      </c>
      <c r="N44" s="320">
        <f>N45/Kp.s2C</f>
        <v>1.0792925333798736E-6</v>
      </c>
      <c r="O44" s="320"/>
      <c r="P44" s="320"/>
      <c r="Q44" s="320"/>
      <c r="R44" s="120" t="s">
        <v>1489</v>
      </c>
      <c r="S44" s="325">
        <f>S43*FRACw.s2R</f>
        <v>3.1021828528223712E-11</v>
      </c>
      <c r="T44" s="325">
        <f>T43*FRACw.s2C</f>
        <v>1.6774105180849639E-13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1.2517207180556514E-3</v>
      </c>
      <c r="AE44" s="325">
        <f>k.aT.aM*M.aT*Molweight</f>
        <v>4.5826097100574866E-5</v>
      </c>
      <c r="AF44" s="325">
        <f>kesc.aT*M.aT*Molweight</f>
        <v>4.199721740572879E-8</v>
      </c>
      <c r="AG44" s="326">
        <f>KDEG.aT*M.aT*Molweight</f>
        <v>2.2179886905654127E-4</v>
      </c>
      <c r="AH44" s="325">
        <f>AH45</f>
        <v>7.2680106622749594E-4</v>
      </c>
      <c r="AI44" s="325">
        <f>AI45</f>
        <v>5.9749496862798023E-7</v>
      </c>
      <c r="AJ44" s="325">
        <f>AJ48</f>
        <v>2.5786120658921185E-4</v>
      </c>
      <c r="AK44" s="325">
        <f>AK48</f>
        <v>1.1023166949886311E-8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1.1606658333959015E-6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12623990.637956535</v>
      </c>
      <c r="D45" s="122">
        <f>C45/$C$51</f>
        <v>0.33393751680546935</v>
      </c>
      <c r="E45" s="318">
        <f>E43*FRs.s2C</f>
        <v>1041014.6793707976</v>
      </c>
      <c r="F45" s="122">
        <f>E45/$E$51</f>
        <v>2.9180919531663959E-2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3.0683502350256262E-4</v>
      </c>
      <c r="N45" s="320">
        <f>C.s2C*FRs.s2C*(Molweight*1000)/(FRACs.s2C*RHOsolid)</f>
        <v>1.6591165645564105E-6</v>
      </c>
      <c r="O45" s="320"/>
      <c r="P45" s="320"/>
      <c r="Q45" s="320"/>
      <c r="R45" s="120" t="s">
        <v>1494</v>
      </c>
      <c r="S45" s="325">
        <f>S43*(1-FRACw.s2R)</f>
        <v>1.2408731411289485E-10</v>
      </c>
      <c r="T45" s="325">
        <f>T43*(1-FRACw.s2C)</f>
        <v>6.7096420723398557E-13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8.3830923167108615</v>
      </c>
      <c r="AE45" s="325">
        <f>(k.w2T.w2M+k.w2T.w3T)*M.w2T*Molweight</f>
        <v>8.3658924892773605</v>
      </c>
      <c r="AF45" s="330"/>
      <c r="AG45" s="326">
        <f>KDEG.w2T*M.w2T*Molweight</f>
        <v>1.8167075928697478E-2</v>
      </c>
      <c r="AH45" s="325">
        <f>k.aT.w2T*M.aT*Molweight</f>
        <v>7.2680106622749594E-4</v>
      </c>
      <c r="AI45" s="325">
        <f>k.w2T.aT*M.w2T*Molweight</f>
        <v>5.9749496862798023E-7</v>
      </c>
      <c r="AJ45" s="325"/>
      <c r="AK45" s="325"/>
      <c r="AL45" s="325">
        <f>AL48</f>
        <v>2.4104492393639453E-4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8.9696367748243553</v>
      </c>
      <c r="AE46" s="325">
        <f>(k.w3T.w2T+k.w3T.w3M)*M.w3T*Molweight</f>
        <v>8.3830923167108615</v>
      </c>
      <c r="AF46" s="330"/>
      <c r="AG46" s="326">
        <f>KDEG.w3T*M.w3T*Molweight</f>
        <v>0.58652411308101782</v>
      </c>
      <c r="AH46" s="325"/>
      <c r="AI46" s="325"/>
      <c r="AJ46" s="325"/>
      <c r="AK46" s="325"/>
      <c r="AL46" s="325"/>
      <c r="AM46" s="325">
        <f>k.w3T.sdT*M.w3T*Molweight</f>
        <v>1.0692931749255171E-2</v>
      </c>
      <c r="AN46" s="326">
        <f>k.sdT.w3T*M.sdT*Molweight</f>
        <v>1.0672586716781084E-2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206287.55667521074</v>
      </c>
      <c r="D47" s="122">
        <f>C47/$C$51</f>
        <v>5.4568445430294033E-3</v>
      </c>
      <c r="E47" s="318">
        <f>M.s3C*Molweight</f>
        <v>90430.031379359687</v>
      </c>
      <c r="F47" s="122">
        <f>E47/$E$51</f>
        <v>2.5348648018315022E-3</v>
      </c>
      <c r="G47" s="318">
        <f>M.sM*Molweight</f>
        <v>120341.4974668426</v>
      </c>
      <c r="H47" s="122">
        <f>G47/$G$51</f>
        <v>1.2712002044729922E-4</v>
      </c>
      <c r="I47" s="318">
        <f>M.sA*Molweight</f>
        <v>12184.047419556404</v>
      </c>
      <c r="J47" s="122">
        <f>I47/$I$51</f>
        <v>1.9427559159553751E-5</v>
      </c>
      <c r="K47" s="318">
        <f>M.sT*Molweight</f>
        <v>2305.6047503775053</v>
      </c>
      <c r="L47" s="123">
        <f>K47/$K$51</f>
        <v>2.0206551153908641E-6</v>
      </c>
      <c r="M47" s="320">
        <f>C.s3R*(Molweight*1000)/(FRACw.s3R*1000+(1-FRACa.s3R-FRACw.s3R)*RHOsolid)</f>
        <v>1.0617808248996226E-4</v>
      </c>
      <c r="N47" s="320">
        <f>C.s3C*(Molweight*1000)/(FRACw.s3C*1000+(1-FRACa.s3C-FRACw.s3C)*RHOsolid)</f>
        <v>3.0520124908490175E-6</v>
      </c>
      <c r="O47" s="320">
        <f>C.sM*(Molweight*1000)/(FRACw.sM*1000+(1-FRACa.sM-FRACw.sM)*RHOsolid)</f>
        <v>3.65027919683399E-8</v>
      </c>
      <c r="P47" s="320">
        <f>C.sA*(Molweight*1000)/(FRACw.sA*1000+(1-FRACa.sA-FRACw.sA)*RHOsolid)</f>
        <v>8.4318667263366097E-9</v>
      </c>
      <c r="Q47" s="320">
        <f>C.sT*(Molweight*1000)/(FRACw.sT*1000+(1-FRACa.sT-FRACw.sT)*RHOsolid)</f>
        <v>7.0914409853979384E-10</v>
      </c>
      <c r="R47" s="120" t="s">
        <v>1495</v>
      </c>
      <c r="S47" s="325">
        <f>F.s3R</f>
        <v>5.5975866338475827E-11</v>
      </c>
      <c r="T47" s="325">
        <f>F.s3C</f>
        <v>1.6089859530781589E-12</v>
      </c>
      <c r="U47" s="325">
        <f>F.sM</f>
        <v>1.9243852933529368E-14</v>
      </c>
      <c r="V47" s="325">
        <f>F.sA</f>
        <v>1.2519164051681716E-16</v>
      </c>
      <c r="W47" s="326">
        <f>F.sT</f>
        <v>2.4054716876754739E-15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6.5108695522953797E-8</v>
      </c>
      <c r="AG47" s="326">
        <f>KDEG.sdT*M.sdT*Molweight</f>
        <v>2.0279923778563447E-5</v>
      </c>
      <c r="AH47" s="325"/>
      <c r="AI47" s="325"/>
      <c r="AJ47" s="325"/>
      <c r="AK47" s="325"/>
      <c r="AL47" s="325"/>
      <c r="AM47" s="325">
        <f>k.w3T.sdT*M.w3T*Molweight</f>
        <v>1.0692931749255171E-2</v>
      </c>
      <c r="AN47" s="326">
        <f>k.sdT.w3T*M.sdT*Molweight</f>
        <v>1.0672586716781084E-2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3.968279431097575E-6</v>
      </c>
      <c r="AW47" s="75"/>
      <c r="AX47" s="290">
        <f>output!AF16</f>
        <v>8.0442930525294126E-4</v>
      </c>
      <c r="AY47" s="75"/>
      <c r="AZ47" s="75"/>
      <c r="BA47" s="75"/>
      <c r="BB47" s="75"/>
      <c r="BC47" s="2"/>
      <c r="BD47" s="295">
        <f>output!AF18</f>
        <v>2.112184066303926E-4</v>
      </c>
      <c r="BE47" s="75"/>
      <c r="BF47" s="295">
        <f>output!AF20</f>
        <v>7.8229039492738018E-5</v>
      </c>
      <c r="BG47" s="75"/>
      <c r="BH47" s="299">
        <f>output!AF19</f>
        <v>2.3674399534130914E-3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16464.549742633524</v>
      </c>
      <c r="D48" s="122">
        <f>C48/$C$51</f>
        <v>4.3553033379507952E-4</v>
      </c>
      <c r="E48" s="318">
        <f>E47*FRw.s3C</f>
        <v>7217.5451290916162</v>
      </c>
      <c r="F48" s="122">
        <f>E48/$E$51</f>
        <v>2.0231665105382928E-4</v>
      </c>
      <c r="G48" s="318">
        <f>G47*FRw.sM</f>
        <v>9604.8865141458828</v>
      </c>
      <c r="H48" s="122">
        <f>G48/$G$51</f>
        <v>1.0145904744193706E-5</v>
      </c>
      <c r="I48" s="318">
        <f>I47*FRw.sA</f>
        <v>972.45252229570667</v>
      </c>
      <c r="J48" s="122">
        <f>I48/$I$51</f>
        <v>1.5505831729145501E-6</v>
      </c>
      <c r="K48" s="318">
        <f>K47*FRw.sT</f>
        <v>184.01858410717381</v>
      </c>
      <c r="L48" s="123">
        <f>K48/$K$51</f>
        <v>1.6127573177590923E-7</v>
      </c>
      <c r="M48" s="320">
        <f>M49/Kp.s3R</f>
        <v>7.2032855329367464E-5</v>
      </c>
      <c r="N48" s="320">
        <f>N49/Kp.s3C</f>
        <v>2.0705325342217701E-6</v>
      </c>
      <c r="O48" s="320">
        <f>O49/Kp.sM</f>
        <v>2.4764059317251282E-8</v>
      </c>
      <c r="P48" s="320">
        <f>P49/Kp.sA</f>
        <v>5.7203089546806265E-9</v>
      </c>
      <c r="Q48" s="320">
        <f>Q49/Kp.sT</f>
        <v>4.8109433753509467E-10</v>
      </c>
      <c r="R48" s="120" t="s">
        <v>1489</v>
      </c>
      <c r="S48" s="325">
        <f>S47*FRACw.s3R</f>
        <v>1.1195173267695165E-11</v>
      </c>
      <c r="T48" s="325">
        <f>T47*FRACw.s3C</f>
        <v>3.2179719061563181E-13</v>
      </c>
      <c r="U48" s="325">
        <f>U47*FRACw.sM</f>
        <v>3.8487705867058734E-15</v>
      </c>
      <c r="V48" s="325">
        <f>V47*FRACw.sA</f>
        <v>2.5038328103363433E-17</v>
      </c>
      <c r="W48" s="326">
        <f>W47*FRACw.sT</f>
        <v>4.8109433753509485E-16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1.6237723299978591E-6</v>
      </c>
      <c r="AG48" s="326">
        <f>KDEG.sT*M.sT*Molweight</f>
        <v>1.5181487155869434E-5</v>
      </c>
      <c r="AH48" s="325"/>
      <c r="AI48" s="325"/>
      <c r="AJ48" s="325">
        <f>k.aT.sT*M.aT*Molweight</f>
        <v>2.5786120658921185E-4</v>
      </c>
      <c r="AK48" s="325">
        <f>k.sT.aT*M.sT*Molweight</f>
        <v>1.1023166949886311E-8</v>
      </c>
      <c r="AL48" s="333">
        <f>k.sT.w2T*M.sT*Molweight</f>
        <v>2.4104492393639453E-4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189823.00693137312</v>
      </c>
      <c r="D49" s="122">
        <f>C49/$C$51</f>
        <v>5.0213142092024729E-3</v>
      </c>
      <c r="E49" s="318">
        <f>E47*FRs.s3C</f>
        <v>83212.486249740236</v>
      </c>
      <c r="F49" s="122">
        <f>E49/$E$51</f>
        <v>2.3325481507628773E-3</v>
      </c>
      <c r="G49" s="318">
        <f>G47*FRs.sM</f>
        <v>110736.61095199428</v>
      </c>
      <c r="H49" s="122">
        <f>G49/$G$51</f>
        <v>1.1697411570236354E-4</v>
      </c>
      <c r="I49" s="318">
        <f>I47*FRs.sA</f>
        <v>11211.594897258527</v>
      </c>
      <c r="J49" s="122">
        <f>I49/$I$51</f>
        <v>1.7876975986635741E-5</v>
      </c>
      <c r="K49" s="318">
        <f>K47*FRs.sT</f>
        <v>2121.586166187516</v>
      </c>
      <c r="L49" s="123">
        <f>K49/$K$51</f>
        <v>1.8593793835423745E-6</v>
      </c>
      <c r="M49" s="320">
        <f>C.s3R*FRs.s3R*(Molweight*1000)/(FRACs.s3R*RHOsolid)</f>
        <v>1.1073077944400582E-4</v>
      </c>
      <c r="N49" s="320">
        <f>C.s3C*FRs.s3C*(Molweight*1000)/(FRACs.s3C*RHOsolid)</f>
        <v>3.1828764850457933E-6</v>
      </c>
      <c r="O49" s="320">
        <f>C.sM*FRs.sM*(Molweight*1000)/(FRACs.sM*RHOsolid)</f>
        <v>3.8067956321576905E-8</v>
      </c>
      <c r="P49" s="320">
        <f>C.sA*FRs.sA*(Molweight*1000)/(FRACs.sA*RHOsolid)</f>
        <v>8.7934077625557049E-9</v>
      </c>
      <c r="Q49" s="320">
        <f>C.sT*FRs.sT*(Molweight*1000)/(FRACs.sT*RHOsolid)</f>
        <v>7.3955073331155217E-10</v>
      </c>
      <c r="R49" s="120" t="s">
        <v>1494</v>
      </c>
      <c r="S49" s="325">
        <f>S47*(1-FRACw.s3R)</f>
        <v>4.4780693070780661E-11</v>
      </c>
      <c r="T49" s="325">
        <f>T47*(1-FRACw.s3C)</f>
        <v>1.2871887624625272E-12</v>
      </c>
      <c r="U49" s="325">
        <f>U47*(1-FRACw.sM)</f>
        <v>1.5395082346823493E-14</v>
      </c>
      <c r="V49" s="325">
        <f>V47*(1-FRACw.sA)</f>
        <v>1.0015331241345373E-16</v>
      </c>
      <c r="W49" s="326">
        <f>W47*(1-FRACw.sT)</f>
        <v>1.9243773501403794E-15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3.9168159022161964E-3</v>
      </c>
      <c r="AG49" s="336">
        <f>SUM(AG11:AG48)</f>
        <v>0.94737694361072045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37803451.252560116</v>
      </c>
      <c r="D51" s="130">
        <f>C51/SUM($C$51,$E$51,$G$51,$I$51,$K$51)</f>
        <v>1.35577619118984E-2</v>
      </c>
      <c r="E51" s="317">
        <f>SUM(E11,E15,E19,E23,E27,E31,E35,E39,E43,E47)</f>
        <v>35674498.819038302</v>
      </c>
      <c r="F51" s="130">
        <f>E51/SUM($C$51,$E$51,$G$51,$I$51,$K$51)</f>
        <v>1.2794238231940985E-2</v>
      </c>
      <c r="G51" s="317">
        <f>SUM(G11,G15,G19,G23,G27,G31,G35,G39,G43,G47)</f>
        <v>946676196.58488929</v>
      </c>
      <c r="H51" s="130">
        <f>G51/SUM($C$51,$E$51,$G$51,$I$51,$K$51)</f>
        <v>0.33951425215681225</v>
      </c>
      <c r="I51" s="317">
        <f>SUM(I11,I15,I19,I23,I27,I31,I35,I39,I43,I47)</f>
        <v>627152763.73587787</v>
      </c>
      <c r="J51" s="130">
        <f>I51/SUM($C$51,$E$51,$G$51,$I$51,$K$51)</f>
        <v>0.22492094164403251</v>
      </c>
      <c r="K51" s="317">
        <f>SUM(K11,K15,K19,K23,K27,K31,K35,K39,K43,K47)</f>
        <v>1141018441.403605</v>
      </c>
      <c r="L51" s="130">
        <f>K51/SUM($C$51,$E$51,$G$51,$I$51,$K$51)</f>
        <v>0.4092128060553159</v>
      </c>
      <c r="M51" s="199"/>
      <c r="N51" s="199"/>
      <c r="O51" s="199"/>
      <c r="P51" s="199"/>
      <c r="Q51" s="199"/>
      <c r="R51" s="199"/>
      <c r="S51" s="328">
        <f>SUM(S11,S15,S19,S23,S27,S35,S39,S43,S47)</f>
        <v>8.3601951822283329E-7</v>
      </c>
      <c r="T51" s="328">
        <f>SUM(T11,T15,T19,T23,T27,T35,T39,T43,T47)</f>
        <v>2.2085029215139104E-8</v>
      </c>
      <c r="U51" s="328">
        <f>SUM(U11,U15,U19,U23,U27,U35,U39,U43,U47)</f>
        <v>2.6099980530405866E-10</v>
      </c>
      <c r="V51" s="328">
        <f>SUM(V11,V15,V19,V23,V27,V35,V39,V43,V47)</f>
        <v>1.8477439958088696E-11</v>
      </c>
      <c r="W51" s="328">
        <f>SUM(W11,W15,W19,W23,W27,W35,W39,W43,W47)</f>
        <v>1.0032711867037054E-11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7.8553752958988776E-8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2.2267541706952481E-4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5.1850815667953739E-4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5.1927981288786725E-5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1.1333591252215207E-3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1.1128897165089738E-4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1.0617808248996222E-4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2.9421949885884418E-4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1.0617808248996226E-4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1-aminoanthraquinone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2.3115156586501311E-2</v>
      </c>
      <c r="AY72" s="75"/>
      <c r="AZ72" s="256">
        <f>output!AF22</f>
        <v>5.4792398635123078E-6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0.1701232689996808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2.5160781846337143E-2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4.1927100414099162E-4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1.8973349227664941E-7</v>
      </c>
      <c r="BE84" s="2"/>
      <c r="BF84" s="304">
        <f>IF(output!AK30&lt;0,"",output!AK30)</f>
        <v>7.0271663806166444E-8</v>
      </c>
      <c r="BG84" s="75"/>
      <c r="BH84" s="311">
        <f>IF(output!AK29&lt;0,"",output!AK29)</f>
        <v>4.0004767544190405E-7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4.5175222007466897E-8</v>
      </c>
      <c r="AV85" s="87"/>
      <c r="AW85" s="75"/>
      <c r="AX85" s="304">
        <f>output!AL24</f>
        <v>4.384059897485755E-2</v>
      </c>
      <c r="AY85" s="87"/>
      <c r="AZ85" s="201"/>
      <c r="BA85" s="311">
        <f>IF(output!AI23&lt;0,"",output!AI23)</f>
        <v>4.4939939504945375E-9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1.449342108215086E-2</v>
      </c>
      <c r="BE86" s="87"/>
      <c r="BF86" s="304">
        <f>IF(output!AJ30&lt;0,"",output!AJ30)</f>
        <v>5.367933734129947E-3</v>
      </c>
      <c r="BG86" s="75"/>
      <c r="BH86" s="311">
        <f>IF(output!AJ29&lt;0,"",output!AJ29)</f>
        <v>3.2207602404779684E-2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6.7862556298437932E-2</v>
      </c>
      <c r="AV87" s="200"/>
      <c r="AW87" s="84"/>
      <c r="AX87" s="304">
        <f>IF(output!AH24&lt;0,"",output!AH24)</f>
        <v>1.7518521693812529E-3</v>
      </c>
      <c r="AY87" s="291">
        <f>output!AL24</f>
        <v>4.384059897485755E-2</v>
      </c>
      <c r="AZ87" s="75"/>
      <c r="BA87" s="311">
        <f>IF(output!AH23&lt;0,"",output!AH23)</f>
        <v>1.5925928812556849E-4</v>
      </c>
      <c r="BB87" s="291">
        <f>output!AL23</f>
        <v>3.9855089977143231E-3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3.8032780784736852E-3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4.9189485945385844E-2</v>
      </c>
      <c r="AT89" s="83"/>
      <c r="AU89" s="302"/>
      <c r="AV89" s="75"/>
      <c r="AW89" s="81"/>
      <c r="AX89" s="265">
        <f>output!AD24</f>
        <v>3.8032780784736852E-3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1.0114020992100967</v>
      </c>
      <c r="AT90" s="81"/>
      <c r="AU90" s="278">
        <f>output!AD25</f>
        <v>0.95042079904754173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3.4148571337225627E-4</v>
      </c>
      <c r="BB91" s="309">
        <f>IF(ISERROR(output!F15),0,output!F15)</f>
        <v>4.4471831046905705E-2</v>
      </c>
      <c r="BC91" s="2"/>
      <c r="BD91" s="295">
        <f>output!AG28</f>
        <v>6.5293043008906812E-4</v>
      </c>
      <c r="BE91" s="2"/>
      <c r="BF91" s="312">
        <f>output!AG30</f>
        <v>2.4182608521817339E-4</v>
      </c>
      <c r="BG91" s="75"/>
      <c r="BH91" s="295">
        <f>output!AG29</f>
        <v>3.0253212698313986E-3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1.8980740635492231E-2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1.4573111390572919E-4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6.9833388341333305E-3</v>
      </c>
      <c r="AZ96" s="75"/>
      <c r="BA96" s="75"/>
      <c r="BB96" s="43"/>
      <c r="BC96" s="2"/>
      <c r="BD96" s="277">
        <f>IF(ISERROR(output!F39),0,output!F39)</f>
        <v>6.8441349649450561E-3</v>
      </c>
      <c r="BE96" s="43"/>
      <c r="BF96" s="277">
        <f>IF(ISERROR(output!F47),0,output!F47)</f>
        <v>2.5348648018315022E-3</v>
      </c>
      <c r="BG96" s="43"/>
      <c r="BH96" s="277">
        <f>IF(ISERROR(output!F43),0,output!F43)</f>
        <v>3.1711965209249827E-2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6.8654711527915023E-3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7.0437870695753578E-3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5.1453723033849222E-6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0.89412417947882628</v>
      </c>
      <c r="AW101" s="56"/>
      <c r="AX101" s="307"/>
      <c r="AY101" s="276">
        <f>IF(ISERROR(output!F23),0,output!F23)</f>
        <v>5.393472392526223E-4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4.6071285173948859E-3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4.6228683252641607E-3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3.7366561935574797E-4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3.5647697598757857E-6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1.2175038109398622E-5</v>
      </c>
      <c r="AW111" s="75"/>
      <c r="AX111" s="290">
        <f>output!AF26</f>
        <v>5.5302863138642238E-5</v>
      </c>
      <c r="AY111" s="75"/>
      <c r="AZ111" s="75"/>
      <c r="BA111" s="75"/>
      <c r="BB111" s="76"/>
      <c r="BC111" s="2"/>
      <c r="BD111" s="295">
        <f>output!AF28</f>
        <v>9.2591562221843091E-5</v>
      </c>
      <c r="BE111" s="76"/>
      <c r="BF111" s="295">
        <f>output!AF30</f>
        <v>3.4293171193275225E-5</v>
      </c>
      <c r="BG111" s="43"/>
      <c r="BH111" s="294">
        <f>output!AF29</f>
        <v>1.9522667710334139E-4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2.0776168270423734E-9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1.8205199138954266E-6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2.3545593267214408E-6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4.2948976796113246E-8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5.1466139238856405E-6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9.2045701420899026E-8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3.0520124908490162E-6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1.5909019726625746E-6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3.0520124908490175E-6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1-aminoanthraquinone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2.2187255744416119E-3</v>
      </c>
      <c r="AT136" s="81">
        <f>output!AD32</f>
        <v>2.076903787883044E-2</v>
      </c>
      <c r="AU136" s="268">
        <f>output!AF32</f>
        <v>6.979194460505443E-7</v>
      </c>
      <c r="AV136" s="221"/>
      <c r="AW136" s="221"/>
      <c r="AX136" s="221"/>
      <c r="AY136" s="279">
        <f>output!AE38</f>
        <v>5.5447039031339012E-5</v>
      </c>
      <c r="AZ136" s="266">
        <f>output!AD38</f>
        <v>7.2268129351966211E-4</v>
      </c>
      <c r="BA136" s="268">
        <f>output!AF38</f>
        <v>2.9337653649037573E-8</v>
      </c>
      <c r="BB136" s="75"/>
      <c r="BC136" s="75"/>
      <c r="BD136" s="75"/>
      <c r="BE136" s="279">
        <f>output!AE44</f>
        <v>4.5826097100574866E-5</v>
      </c>
      <c r="BF136" s="266">
        <f>output!AD44</f>
        <v>1.2517207180556514E-3</v>
      </c>
      <c r="BG136" s="268">
        <f>output!AF44</f>
        <v>4.199721740572879E-8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2.9442984213290677E-3</v>
      </c>
      <c r="AV141" s="223" t="s">
        <v>446</v>
      </c>
      <c r="AW141" s="221"/>
      <c r="AX141" s="221"/>
      <c r="AY141" s="2"/>
      <c r="AZ141" s="202"/>
      <c r="BA141" s="269">
        <f>output!AG38</f>
        <v>1.9694601091379102E-5</v>
      </c>
      <c r="BB141" s="47" t="s">
        <v>446</v>
      </c>
      <c r="BC141" s="75"/>
      <c r="BD141" s="75"/>
      <c r="BE141" s="2"/>
      <c r="BF141" s="202"/>
      <c r="BG141" s="269">
        <f>output!AG44</f>
        <v>2.2179886905654127E-4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2.0125016179863153E-6</v>
      </c>
      <c r="AW142" s="221"/>
      <c r="AX142" s="221"/>
      <c r="AY142" s="203"/>
      <c r="AZ142" s="202"/>
      <c r="BA142" s="75"/>
      <c r="BB142" s="277">
        <f>IF(ISERROR(output!J11),0,output!J11)</f>
        <v>1.2769809924454246E-7</v>
      </c>
      <c r="BC142" s="75"/>
      <c r="BD142" s="75"/>
      <c r="BE142" s="203"/>
      <c r="BF142" s="75"/>
      <c r="BG142" s="75"/>
      <c r="BH142" s="277">
        <f>IF(ISERROR(output!L11),0,output!L11)</f>
        <v>1.0047551689489025E-7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9.3515363457573465E-8</v>
      </c>
      <c r="AY144" s="2"/>
      <c r="AZ144" s="75"/>
      <c r="BA144" s="75"/>
      <c r="BB144" s="75"/>
      <c r="BC144" s="75"/>
      <c r="BD144" s="270">
        <f>k.sA.aA*M.sA*Molweight</f>
        <v>2.8898585969616536E-10</v>
      </c>
      <c r="BE144" s="2"/>
      <c r="BF144" s="75"/>
      <c r="BG144" s="75"/>
      <c r="BH144" s="75"/>
      <c r="BI144" s="75"/>
      <c r="BJ144" s="270">
        <f>k.sT.aT*M.sT*Molweight</f>
        <v>1.1023166949886311E-8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8.8636293116376455E-8</v>
      </c>
      <c r="AV145" s="221"/>
      <c r="AW145" s="221"/>
      <c r="AX145" s="221"/>
      <c r="AY145" s="2"/>
      <c r="AZ145" s="75"/>
      <c r="BA145" s="270">
        <f>k.w2A.aA*M.w2A*Molweight</f>
        <v>2.1246481438108551E-9</v>
      </c>
      <c r="BB145" s="75"/>
      <c r="BC145" s="75"/>
      <c r="BD145" s="221"/>
      <c r="BE145" s="2"/>
      <c r="BF145" s="75"/>
      <c r="BG145" s="270">
        <f>k.w2T.aT*M.w2T*Molweight</f>
        <v>5.9749496862798023E-7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7.143480700100938E-3</v>
      </c>
      <c r="AY146" s="2"/>
      <c r="AZ146" s="75"/>
      <c r="BA146" s="221"/>
      <c r="BB146" s="75"/>
      <c r="BC146" s="75"/>
      <c r="BD146" s="270">
        <f>IF(output!AJ42&lt;0,"",output!AJ42)</f>
        <v>2.5394301850604925E-4</v>
      </c>
      <c r="BE146" s="2"/>
      <c r="BF146" s="75"/>
      <c r="BG146" s="221"/>
      <c r="BH146" s="75"/>
      <c r="BI146" s="75"/>
      <c r="BJ146" s="270">
        <f>IF(output!AJ48&lt;0,"",output!AJ48)</f>
        <v>2.5786120658921185E-4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9.1953703940972318</v>
      </c>
      <c r="AT147" s="81">
        <f>output!AD33</f>
        <v>9.18686774686776</v>
      </c>
      <c r="AU147" s="270">
        <f>IF(output!AH33&lt;0,"",output!AH33)</f>
        <v>8.4620174151693473E-3</v>
      </c>
      <c r="AV147" s="272">
        <f>output!AL33</f>
        <v>6.7759361920845121E-3</v>
      </c>
      <c r="AW147" s="221"/>
      <c r="AX147" s="221"/>
      <c r="AY147" s="279">
        <f>output!AE39</f>
        <v>6.6177674245046498</v>
      </c>
      <c r="AZ147" s="266">
        <f>output!AD39</f>
        <v>6.6182799496407849</v>
      </c>
      <c r="BA147" s="270">
        <f>IF(output!AH39&lt;0,"",output!AH39)</f>
        <v>3.9356971087124932E-4</v>
      </c>
      <c r="BB147" s="272">
        <f>output!AL39</f>
        <v>2.4520142026837036E-4</v>
      </c>
      <c r="BC147" s="75"/>
      <c r="BD147" s="75"/>
      <c r="BE147" s="279">
        <f>output!AE45</f>
        <v>8.3658924892773605</v>
      </c>
      <c r="BF147" s="266">
        <f>output!AD45</f>
        <v>8.3830923167108615</v>
      </c>
      <c r="BG147" s="270">
        <f>IF(output!AH45&lt;0,"",output!AH45)</f>
        <v>7.2680106622749594E-4</v>
      </c>
      <c r="BH147" s="272">
        <f>output!AL45</f>
        <v>2.4104492393639453E-4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3.3054877849754818E-2</v>
      </c>
      <c r="AW150" s="221"/>
      <c r="AX150" s="221"/>
      <c r="AY150" s="2"/>
      <c r="AZ150" s="75"/>
      <c r="BA150" s="59"/>
      <c r="BB150" s="273">
        <f>IF(ISERROR(output!J27),0,output!J27)</f>
        <v>3.9189012357537079E-2</v>
      </c>
      <c r="BC150" s="78"/>
      <c r="BD150" s="75"/>
      <c r="BE150" s="2"/>
      <c r="BF150" s="75"/>
      <c r="BG150" s="59"/>
      <c r="BH150" s="273">
        <f>IF(ISERROR(output!L27),0,output!L27)</f>
        <v>3.0042685172382368E-2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3.218146978144434E-4</v>
      </c>
      <c r="AY151" s="2"/>
      <c r="AZ151" s="75"/>
      <c r="BA151" s="59"/>
      <c r="BB151" s="49"/>
      <c r="BC151" s="75"/>
      <c r="BD151" s="274">
        <f>output!AJ42</f>
        <v>2.5394301850604925E-4</v>
      </c>
      <c r="BE151" s="2"/>
      <c r="BF151" s="75"/>
      <c r="BG151" s="59"/>
      <c r="BH151" s="59"/>
      <c r="BI151" s="75"/>
      <c r="BJ151" s="274">
        <f>output!AG48</f>
        <v>1.5181487155869434E-5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6.7352177414897064E-3</v>
      </c>
      <c r="AW152" s="221"/>
      <c r="AX152" s="221"/>
      <c r="AY152" s="2"/>
      <c r="AZ152" s="75"/>
      <c r="BA152" s="59"/>
      <c r="BB152" s="257">
        <f>output!AG39</f>
        <v>1.1512941426259744E-3</v>
      </c>
      <c r="BC152" s="2"/>
      <c r="BD152" s="75"/>
      <c r="BE152" s="2"/>
      <c r="BF152" s="75"/>
      <c r="BG152" s="59"/>
      <c r="BH152" s="257">
        <f>output!AG45</f>
        <v>1.8167075928697478E-2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7.5998731722650232</v>
      </c>
      <c r="AU153" s="224"/>
      <c r="AV153" s="225"/>
      <c r="AW153" s="221"/>
      <c r="AX153" s="221"/>
      <c r="AY153" s="2"/>
      <c r="AZ153" s="275">
        <f>k.w3A.w2A*M.w3A*Molweight</f>
        <v>5.4080779374482155</v>
      </c>
      <c r="BA153" s="59"/>
      <c r="BB153" s="49"/>
      <c r="BC153" s="2"/>
      <c r="BD153" s="75"/>
      <c r="BE153" s="2"/>
      <c r="BF153" s="275">
        <f>k.w3T.w2T*M.w3T*Molweight</f>
        <v>8.3830923167108615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7.7952748323491328</v>
      </c>
      <c r="AU155" s="221"/>
      <c r="AV155" s="223" t="s">
        <v>2166</v>
      </c>
      <c r="AW155" s="221"/>
      <c r="AX155" s="271">
        <f>IF(ISERROR(output!H47),0,output!H47)</f>
        <v>1.2712002044729922E-4</v>
      </c>
      <c r="AY155" s="2"/>
      <c r="AZ155" s="275">
        <f>k.w2A.w3A*M.w2A*Molweight</f>
        <v>6.6177674245046498</v>
      </c>
      <c r="BA155" s="75"/>
      <c r="BB155" s="223" t="s">
        <v>2166</v>
      </c>
      <c r="BC155" s="47"/>
      <c r="BD155" s="271">
        <f>IF(ISERROR(output!J47),0,output!J47)</f>
        <v>1.9427559159553751E-5</v>
      </c>
      <c r="BE155" s="2"/>
      <c r="BF155" s="275">
        <f>k.w2T.w3T*M.w2T*Molweight</f>
        <v>7.7897705092610421</v>
      </c>
      <c r="BG155" s="75"/>
      <c r="BH155" s="223" t="s">
        <v>2166</v>
      </c>
      <c r="BI155" s="47"/>
      <c r="BJ155" s="271">
        <f>IF(ISERROR(output!L47),0,output!L47)</f>
        <v>2.0206551153908641E-6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0.96678905408320959</v>
      </c>
      <c r="AW156" s="221"/>
      <c r="AX156" s="221"/>
      <c r="AY156" s="203"/>
      <c r="AZ156" s="2"/>
      <c r="BA156" s="75"/>
      <c r="BB156" s="273">
        <f>IF(ISERROR(output!J31),0,output!J31)</f>
        <v>0.96076464852666954</v>
      </c>
      <c r="BC156" s="75"/>
      <c r="BD156" s="75"/>
      <c r="BE156" s="203"/>
      <c r="BF156" s="2"/>
      <c r="BG156" s="75"/>
      <c r="BH156" s="273">
        <f>IF(ISERROR(output!L31),0,output!L31)</f>
        <v>0.96992820112945743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8.7797394378283364</v>
      </c>
      <c r="AT157" s="266">
        <f>output!AD34</f>
        <v>8.9767379786691919</v>
      </c>
      <c r="AU157" s="221"/>
      <c r="AV157" s="225"/>
      <c r="AW157" s="226"/>
      <c r="AX157" s="221"/>
      <c r="AY157" s="279">
        <f>output!AE40</f>
        <v>6.5895410837682746</v>
      </c>
      <c r="AZ157" s="266">
        <f>output!AD40</f>
        <v>6.6177674245046498</v>
      </c>
      <c r="BA157" s="75"/>
      <c r="BB157" s="2"/>
      <c r="BC157" s="76"/>
      <c r="BD157" s="75"/>
      <c r="BE157" s="279">
        <f>output!AE46</f>
        <v>8.3830923167108615</v>
      </c>
      <c r="BF157" s="266">
        <f>output!AD46</f>
        <v>8.9696367748243553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0.19699164579994308</v>
      </c>
      <c r="AW158" s="226"/>
      <c r="AX158" s="221"/>
      <c r="AY158" s="2"/>
      <c r="AZ158" s="75"/>
      <c r="BA158" s="75"/>
      <c r="BB158" s="274">
        <f>output!AG40</f>
        <v>2.8225327604565691E-2</v>
      </c>
      <c r="BC158" s="2"/>
      <c r="BD158" s="75"/>
      <c r="BE158" s="2"/>
      <c r="BF158" s="75"/>
      <c r="BG158" s="75"/>
      <c r="BH158" s="274">
        <f>output!AG46</f>
        <v>0.58652411308101782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8.8360662984566848E-3</v>
      </c>
      <c r="AU159" s="221"/>
      <c r="AV159" s="221"/>
      <c r="AW159" s="226"/>
      <c r="AX159" s="221"/>
      <c r="AY159" s="2"/>
      <c r="AZ159" s="272">
        <f>k.sdA.w3A*M.sdA*Molweight</f>
        <v>5.8207549344100893E-3</v>
      </c>
      <c r="BA159" s="2"/>
      <c r="BB159" s="75"/>
      <c r="BC159" s="2"/>
      <c r="BD159" s="75"/>
      <c r="BE159" s="2"/>
      <c r="BF159" s="275">
        <f>k.sdT.w3T*M.sdT*Molweight</f>
        <v>1.0672586716781084E-2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8.8429613393679121E-3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5.8217680662198479E-3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1.0692931749255171E-2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2.6935544970269618E-5</v>
      </c>
      <c r="AW162" s="221"/>
      <c r="AX162" s="221"/>
      <c r="AY162" s="2"/>
      <c r="AZ162" s="75"/>
      <c r="BA162" s="47"/>
      <c r="BB162" s="276">
        <f>IF(ISERROR(output!J35),0,output!J35)</f>
        <v>2.6783858534733066E-5</v>
      </c>
      <c r="BC162" s="75"/>
      <c r="BD162" s="75"/>
      <c r="BE162" s="2"/>
      <c r="BF162" s="75"/>
      <c r="BG162" s="47"/>
      <c r="BH162" s="276">
        <f>IF(ISERROR(output!L35),0,output!L35)</f>
        <v>2.6992567527910424E-5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6.8189528561854743E-6</v>
      </c>
      <c r="AV164" s="269">
        <f>output!AF35</f>
        <v>7.6088055041643052E-8</v>
      </c>
      <c r="AW164" s="221"/>
      <c r="AX164" s="274">
        <f>output!AF36</f>
        <v>4.5636294838525036E-5</v>
      </c>
      <c r="AY164" s="2"/>
      <c r="AZ164" s="2"/>
      <c r="BA164" s="269">
        <f>output!AG41</f>
        <v>9.77621977812579E-7</v>
      </c>
      <c r="BB164" s="269">
        <f>output!AF41</f>
        <v>3.5509831945646125E-8</v>
      </c>
      <c r="BC164" s="75"/>
      <c r="BD164" s="274">
        <f>output!AF42</f>
        <v>1.6501693456686094E-6</v>
      </c>
      <c r="BE164" s="2"/>
      <c r="BF164" s="2"/>
      <c r="BG164" s="269">
        <f>output!AG47</f>
        <v>2.0279923778563447E-5</v>
      </c>
      <c r="BH164" s="269">
        <f>output!AF47</f>
        <v>6.5108695522953797E-8</v>
      </c>
      <c r="BI164" s="75"/>
      <c r="BJ164" s="274">
        <f>output!AF48</f>
        <v>1.6237723299978591E-6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1905.1873773362206</v>
      </c>
      <c r="BA172" s="128">
        <f>output!I11</f>
        <v>80.086215865033225</v>
      </c>
      <c r="BB172" s="128">
        <f>output!K11</f>
        <v>114.64441768662925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31292266.041383993</v>
      </c>
      <c r="BA173" s="128">
        <f>output!I27</f>
        <v>24577497.408108849</v>
      </c>
      <c r="BB173" s="128">
        <f>output!K27</f>
        <v>34279257.810970925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915236184.61939573</v>
      </c>
      <c r="BA174" s="128">
        <f>output!I31</f>
        <v>602546204.6232301</v>
      </c>
      <c r="BB174" s="128">
        <f>output!K31</f>
        <v>1106705964.3261359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25499.239265396085</v>
      </c>
      <c r="BA175" s="128">
        <f>output!I35</f>
        <v>16797.570903568623</v>
      </c>
      <c r="BB175" s="128">
        <f>output!K35</f>
        <v>30799.01733017791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120341.4974668426</v>
      </c>
      <c r="BA176" s="128">
        <f>output!I47</f>
        <v>12184.047419556404</v>
      </c>
      <c r="BB176" s="128">
        <f>output!K47</f>
        <v>2305.6047503775053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1-aminoanthraquinone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92.94417839319901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278.83253517959702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278.83253517959702</v>
      </c>
      <c r="G11" s="508">
        <f>2*Scale*(M.tot/Emis.tot)/(3600*24*365)</f>
        <v>557.66507035919403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1.4219637660880982</v>
      </c>
      <c r="H15" s="482">
        <v>0</v>
      </c>
      <c r="I15" s="482">
        <v>1.4219637660880982</v>
      </c>
      <c r="J15" s="482">
        <v>0</v>
      </c>
      <c r="K15" s="482">
        <v>0</v>
      </c>
      <c r="L15" s="482">
        <v>0</v>
      </c>
      <c r="M15" s="482">
        <v>0</v>
      </c>
      <c r="N15" s="482">
        <v>1.4219637660880982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5" activePane="bottomLeft" state="frozen"/>
      <selection pane="bottomLeft" activeCell="B74" sqref="B74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67</v>
      </c>
      <c r="B6" s="439" t="str">
        <f t="shared" ref="B6:Z6" si="0">IF(ISBLANK(VLOOKUP($A6,$A$8:$Z$1041,COLUMN(),0)),"",VLOOKUP($A6,$A$8:$Z$1041,COLUMN(),0))</f>
        <v>1-aminoanthraquinone</v>
      </c>
      <c r="C6" s="439" t="str">
        <f t="shared" si="0"/>
        <v>82-45-1</v>
      </c>
      <c r="D6" s="439" t="str">
        <f t="shared" si="0"/>
        <v/>
      </c>
      <c r="E6" s="544" t="str">
        <f t="shared" si="0"/>
        <v/>
      </c>
      <c r="F6" s="544">
        <f t="shared" si="0"/>
        <v>223</v>
      </c>
      <c r="G6" s="544">
        <f t="shared" si="0"/>
        <v>260</v>
      </c>
      <c r="H6" s="545">
        <f t="shared" si="0"/>
        <v>9.9999999999999995E-8</v>
      </c>
      <c r="I6" s="545">
        <f t="shared" si="0"/>
        <v>20</v>
      </c>
      <c r="J6" s="545" t="str">
        <f t="shared" si="0"/>
        <v/>
      </c>
      <c r="K6" s="545">
        <f t="shared" si="0"/>
        <v>160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 t="str">
        <f t="shared" si="0"/>
        <v/>
      </c>
      <c r="R6" s="545">
        <f t="shared" si="0"/>
        <v>5.3000000000000003E-10</v>
      </c>
      <c r="S6" s="545" t="str">
        <f t="shared" si="0"/>
        <v/>
      </c>
      <c r="T6" s="545" t="str">
        <f t="shared" si="0"/>
        <v/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9.5852946805328521E-2</v>
      </c>
      <c r="M220" s="452">
        <f t="shared" si="0"/>
        <v>9.5852946805328521E-2</v>
      </c>
      <c r="N220" s="452">
        <f t="shared" si="0"/>
        <v>9.5852946805328521E-2</v>
      </c>
      <c r="O220" s="452">
        <f t="shared" si="0"/>
        <v>9.5852946805328521E-2</v>
      </c>
      <c r="P220" s="452">
        <f t="shared" si="0"/>
        <v>9.5852946805328521E-2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0.90414705319467148</v>
      </c>
      <c r="M222" s="452">
        <f>(0.00015*0.172)/((IF(Tm&gt;298,EXP(-6.79*(1-Tm/298))*Pvap25*EXP((H0vap/8.314)*(1/298-1/TEMP.R)),Pvap25*EXP((H0vap/8.314)*(1/298-1/TEMP.R))))+(0.00015*0.172))</f>
        <v>0.90414705319467148</v>
      </c>
      <c r="N222" s="452">
        <f>(0.00015*0.172)/((IF(Tm&gt;298,EXP(-6.79*(1-Tm/298))*Pvap25*EXP((H0vap/8.314)*(1/298-1/TEMP.R)),Pvap25*EXP((H0vap/8.314)*(1/298-1/TEMP.R))))+(0.00015*0.172))</f>
        <v>0.90414705319467148</v>
      </c>
      <c r="O222" s="452">
        <f>(0.00015*0.172)/((IF(Tm&gt;298,EXP(-6.79*(1-Tm/298))*Pvap25*EXP((H0vap/8.314)*(1/298-1/TEMP.R)),Pvap25*EXP((H0vap/8.314)*(1/298-1/TEMP.R))))+(0.00015*0.172))</f>
        <v>0.90414705319467148</v>
      </c>
      <c r="P222" s="452">
        <f>(0.00015*0.172)/((IF(Tm&gt;298,EXP(-6.79*(1-Tm/298))*Pvap25*EXP((H0vap/8.314)*(1/298-1/TEMP.R)),Pvap25*EXP((H0vap/8.314)*(1/298-1/TEMP.R))))+(0.00015*0.172))</f>
        <v>0.90414705319467148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0.99998815707520883</v>
      </c>
      <c r="M226" s="452">
        <f t="shared" si="1"/>
        <v>0.99998815707520883</v>
      </c>
      <c r="N226" s="452">
        <f t="shared" si="1"/>
        <v>0.99998815707520883</v>
      </c>
      <c r="O226" s="452">
        <f t="shared" si="1"/>
        <v>0.99998815707520883</v>
      </c>
      <c r="P226" s="452">
        <f t="shared" si="1"/>
        <v>0.99998815707520883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0.99987672324759713</v>
      </c>
      <c r="M232" s="452">
        <f t="shared" si="2"/>
        <v>0.99987672324759713</v>
      </c>
      <c r="N232" s="452">
        <f t="shared" si="2"/>
        <v>0.99987672324759713</v>
      </c>
      <c r="O232" s="452">
        <f t="shared" si="2"/>
        <v>0.99987672324759713</v>
      </c>
      <c r="P232" s="452">
        <f t="shared" si="2"/>
        <v>0.99987672324759713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0.99995357150522701</v>
      </c>
      <c r="M238" s="452">
        <f t="shared" si="3"/>
        <v>0.99995357150522701</v>
      </c>
      <c r="N238" s="452">
        <f t="shared" si="3"/>
        <v>0.99995357150522701</v>
      </c>
      <c r="O238" s="452">
        <f t="shared" si="3"/>
        <v>0.99995357150522701</v>
      </c>
      <c r="P238" s="452">
        <f t="shared" si="3"/>
        <v>0.99995357150522701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6.1679374174024746E-3</v>
      </c>
      <c r="M268" s="451">
        <f>((DRYDEPaerosol.R+AerosolWashout.R+GasWashout.R+GASABS.aR.wR)/HEIGHT.aR)*AREAFRAC.w0R</f>
        <v>6.1679374174024746E-3</v>
      </c>
      <c r="N268" s="451">
        <f>((DRYDEPaerosol.R+AerosolWashout.R+GasWashout.R+GASABS.aR.wR)/HEIGHT.aR)*AREAFRAC.w0R</f>
        <v>6.1679374174024746E-3</v>
      </c>
      <c r="O268" s="451">
        <f>((DRYDEPaerosol.R+AerosolWashout.R+GasWashout.R+GASABS.aR.wR)/HEIGHT.aR)*AREAFRAC.w0R</f>
        <v>6.1679374174024746E-3</v>
      </c>
      <c r="P268" s="451">
        <f>((DRYDEPaerosol.R+AerosolWashout.R+GasWashout.R+GASABS.aR.wR)/HEIGHT.aR)*AREAFRAC.w0R</f>
        <v>6.1679374174024746E-3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6.784731159142722E-2</v>
      </c>
      <c r="M269" s="451">
        <f>((DRYDEPaerosol.R+AerosolWashout.R+GasWashout.R+GASABS.aR.wR)/HEIGHT.aR)*AREAFRAC.w1R</f>
        <v>6.784731159142722E-2</v>
      </c>
      <c r="N269" s="451">
        <f>((DRYDEPaerosol.R+AerosolWashout.R+GasWashout.R+GASABS.aR.wR)/HEIGHT.aR)*AREAFRAC.w1R</f>
        <v>6.784731159142722E-2</v>
      </c>
      <c r="O269" s="451">
        <f>((DRYDEPaerosol.R+AerosolWashout.R+GasWashout.R+GASABS.aR.wR)/HEIGHT.aR)*AREAFRAC.w1R</f>
        <v>6.784731159142722E-2</v>
      </c>
      <c r="P269" s="451">
        <f>((DRYDEPaerosol.R+AerosolWashout.R+GasWashout.R+GASABS.aR.wR)/HEIGHT.aR)*AREAFRAC.w1R</f>
        <v>6.784731159142722E-2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1.0793957942691484E-2</v>
      </c>
      <c r="M270" s="451">
        <f>((DRYDEPaerosol.R+AerosolWashout.R+GasWashout.R+GASABS.aR.wR)/HEIGHT.aR)*AREAFRAC.w2R</f>
        <v>1.0793957942691484E-2</v>
      </c>
      <c r="N270" s="451">
        <f>((DRYDEPaerosol.R+AerosolWashout.R+GasWashout.R+GASABS.aR.wR)/HEIGHT.aR)*AREAFRAC.w2R</f>
        <v>1.0793957942691484E-2</v>
      </c>
      <c r="O270" s="451">
        <f>((DRYDEPaerosol.R+AerosolWashout.R+GasWashout.R+GASABS.aR.wR)/HEIGHT.aR)*AREAFRAC.w2R</f>
        <v>1.0793957942691484E-2</v>
      </c>
      <c r="P270" s="451">
        <f>((DRYDEPaerosol.R+AerosolWashout.R+GasWashout.R+GASABS.aR.wR)/HEIGHT.aR)*AREAFRAC.w2R</f>
        <v>1.0793957942691484E-2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0.66613686898570845</v>
      </c>
      <c r="M271" s="451">
        <f>((DRYDEPaerosol.R+AerosolWashout.R+GasWashout.R+GASABS.aR.sR)/HEIGHT.aR)*AREAFRAC.s1R</f>
        <v>0.66613686898570845</v>
      </c>
      <c r="N271" s="451">
        <f>((DRYDEPaerosol.R+AerosolWashout.R+GasWashout.R+GASABS.aR.sR)/HEIGHT.aR)*AREAFRAC.s1R</f>
        <v>0.66613686898570845</v>
      </c>
      <c r="O271" s="451">
        <f>((DRYDEPaerosol.R+AerosolWashout.R+GasWashout.R+GASABS.aR.sR)/HEIGHT.aR)*AREAFRAC.s1R</f>
        <v>0.66613686898570845</v>
      </c>
      <c r="P271" s="451">
        <f>((DRYDEPaerosol.R+AerosolWashout.R+GasWashout.R+GASABS.aR.sR)/HEIGHT.aR)*AREAFRAC.s1R</f>
        <v>0.66613686898570845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1.4803041533015742</v>
      </c>
      <c r="M272" s="451">
        <f>((DRYDEPaerosol.R+AerosolWashout.R+GasWashout.R+GASABS.aR.sR)/HEIGHT.aR)*AREAFRAC.s2R</f>
        <v>1.4803041533015742</v>
      </c>
      <c r="N272" s="451">
        <f>((DRYDEPaerosol.R+AerosolWashout.R+GasWashout.R+GASABS.aR.sR)/HEIGHT.aR)*AREAFRAC.s2R</f>
        <v>1.4803041533015742</v>
      </c>
      <c r="O272" s="451">
        <f>((DRYDEPaerosol.R+AerosolWashout.R+GasWashout.R+GASABS.aR.sR)/HEIGHT.aR)*AREAFRAC.s2R</f>
        <v>1.4803041533015742</v>
      </c>
      <c r="P272" s="451">
        <f>((DRYDEPaerosol.R+AerosolWashout.R+GasWashout.R+GASABS.aR.sR)/HEIGHT.aR)*AREAFRAC.s2R</f>
        <v>1.4803041533015742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0.24671735888359572</v>
      </c>
      <c r="M273" s="451">
        <f>((DRYDEPaerosol.R+AerosolWashout.R+GasWashout.R+GASABS.aR.sR)/HEIGHT.aR)*AREAFRAC.s3R</f>
        <v>0.24671735888359572</v>
      </c>
      <c r="N273" s="451">
        <f>((DRYDEPaerosol.R+AerosolWashout.R+GasWashout.R+GASABS.aR.sR)/HEIGHT.aR)*AREAFRAC.s3R</f>
        <v>0.24671735888359572</v>
      </c>
      <c r="O273" s="451">
        <f>((DRYDEPaerosol.R+AerosolWashout.R+GasWashout.R+GASABS.aR.sR)/HEIGHT.aR)*AREAFRAC.s3R</f>
        <v>0.24671735888359572</v>
      </c>
      <c r="P273" s="451">
        <f>((DRYDEPaerosol.R+AerosolWashout.R+GasWashout.R+GASABS.aR.sR)/HEIGHT.aR)*AREAFRAC.s3R</f>
        <v>0.24671735888359572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3.7617999830720028E-4</v>
      </c>
      <c r="M286" s="451">
        <f>AEROSOLdeprate.R*FRaers.aR</f>
        <v>3.7617999830720028E-4</v>
      </c>
      <c r="N286" s="451">
        <f>AEROSOLdeprate.R*FRaers.aR</f>
        <v>3.7617999830720028E-4</v>
      </c>
      <c r="O286" s="451">
        <f>AEROSOLdeprate.R*FRaers.aR</f>
        <v>3.7617999830720028E-4</v>
      </c>
      <c r="P286" s="451">
        <f>AEROSOLdeprate.R*FRaers.aR</f>
        <v>3.7617999830720028E-4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2.2647078134374441E-3</v>
      </c>
      <c r="M287" s="452">
        <f t="shared" si="4"/>
        <v>2.2647078134374441E-3</v>
      </c>
      <c r="N287" s="452">
        <f t="shared" si="4"/>
        <v>2.2647078134374441E-3</v>
      </c>
      <c r="O287" s="452">
        <f t="shared" si="4"/>
        <v>2.2647078134374441E-3</v>
      </c>
      <c r="P287" s="452">
        <f t="shared" si="4"/>
        <v>2.2647078134374441E-3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148.67632104226283</v>
      </c>
      <c r="M288" s="452">
        <f t="shared" si="5"/>
        <v>148.67632104226283</v>
      </c>
      <c r="N288" s="452">
        <f t="shared" si="5"/>
        <v>148.67632104226283</v>
      </c>
      <c r="O288" s="452">
        <f t="shared" si="5"/>
        <v>148.67632104226283</v>
      </c>
      <c r="P288" s="452">
        <f t="shared" si="5"/>
        <v>148.67632104226283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9.5852946805328521E-2</v>
      </c>
      <c r="M445" s="452">
        <f t="shared" si="6"/>
        <v>9.5852946805328521E-2</v>
      </c>
      <c r="N445" s="452">
        <f t="shared" si="6"/>
        <v>9.5852946805328521E-2</v>
      </c>
      <c r="O445" s="452">
        <f t="shared" si="6"/>
        <v>9.5852946805328521E-2</v>
      </c>
      <c r="P445" s="452">
        <f t="shared" si="6"/>
        <v>9.5852946805328521E-2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0.90414705319467148</v>
      </c>
      <c r="M447" s="452">
        <f t="shared" si="7"/>
        <v>0.90414705319467148</v>
      </c>
      <c r="N447" s="452">
        <f t="shared" si="7"/>
        <v>0.90414705319467148</v>
      </c>
      <c r="O447" s="452">
        <f t="shared" si="7"/>
        <v>0.90414705319467148</v>
      </c>
      <c r="P447" s="452">
        <f t="shared" si="7"/>
        <v>0.90414705319467148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0.99998815707520883</v>
      </c>
      <c r="M451" s="452">
        <f t="shared" si="8"/>
        <v>0.99998815707520883</v>
      </c>
      <c r="N451" s="452">
        <f t="shared" si="8"/>
        <v>0.99998815707520883</v>
      </c>
      <c r="O451" s="452">
        <f t="shared" si="8"/>
        <v>0.99998815707520883</v>
      </c>
      <c r="P451" s="452">
        <f t="shared" si="8"/>
        <v>0.99998815707520883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0.99987672324759713</v>
      </c>
      <c r="M457" s="452">
        <f t="shared" si="9"/>
        <v>0.99987672324759713</v>
      </c>
      <c r="N457" s="452">
        <f t="shared" si="9"/>
        <v>0.99987672324759713</v>
      </c>
      <c r="O457" s="452">
        <f t="shared" si="9"/>
        <v>0.99987672324759713</v>
      </c>
      <c r="P457" s="452">
        <f t="shared" si="9"/>
        <v>0.99987672324759713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0.99995357150522701</v>
      </c>
      <c r="M463" s="452">
        <f t="shared" si="10"/>
        <v>0.99995357150522701</v>
      </c>
      <c r="N463" s="452">
        <f t="shared" si="10"/>
        <v>0.99995357150522701</v>
      </c>
      <c r="O463" s="452">
        <f t="shared" si="10"/>
        <v>0.99995357150522701</v>
      </c>
      <c r="P463" s="452">
        <f t="shared" si="10"/>
        <v>0.99995357150522701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2.9995496743363023E-3</v>
      </c>
      <c r="M493" s="451">
        <f>((DRYDEPaerosol.C+AerosolWashout.C+GasWashout.C+GASABS.aC.wC)/HEIGHT.aC)*AREAFRAC.w0C</f>
        <v>2.9995496743363023E-3</v>
      </c>
      <c r="N493" s="451">
        <f>((DRYDEPaerosol.C+AerosolWashout.C+GasWashout.C+GASABS.aC.wC)/HEIGHT.aC)*AREAFRAC.w0C</f>
        <v>2.9995496743363023E-3</v>
      </c>
      <c r="O493" s="451">
        <f>((DRYDEPaerosol.C+AerosolWashout.C+GasWashout.C+GASABS.aC.wC)/HEIGHT.aC)*AREAFRAC.w0C</f>
        <v>2.9995496743363023E-3</v>
      </c>
      <c r="P493" s="451">
        <f>((DRYDEPaerosol.C+AerosolWashout.C+GasWashout.C+GASABS.aC.wC)/HEIGHT.aC)*AREAFRAC.w0C</f>
        <v>2.9995496743363023E-3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3.299504641769932E-2</v>
      </c>
      <c r="M494" s="451">
        <f>((DRYDEPaerosol.C+AerosolWashout.C+GasWashout.C+GASABS.aC.wC)/HEIGHT.aC)*AREAFRAC.w1C</f>
        <v>3.299504641769932E-2</v>
      </c>
      <c r="N494" s="451">
        <f>((DRYDEPaerosol.C+AerosolWashout.C+GasWashout.C+GASABS.aC.wC)/HEIGHT.aC)*AREAFRAC.w1C</f>
        <v>3.299504641769932E-2</v>
      </c>
      <c r="O494" s="451">
        <f>((DRYDEPaerosol.C+AerosolWashout.C+GasWashout.C+GASABS.aC.wC)/HEIGHT.aC)*AREAFRAC.w1C</f>
        <v>3.299504641769932E-2</v>
      </c>
      <c r="P494" s="451">
        <f>((DRYDEPaerosol.C+AerosolWashout.C+GasWashout.C+GASABS.aC.wC)/HEIGHT.aC)*AREAFRAC.w1C</f>
        <v>3.299504641769932E-2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1.2781490551691606</v>
      </c>
      <c r="M495" s="451">
        <f>((DRYDEPaerosol.C+AerosolWashout.C+GasWashout.C+GASABS.aC.wC)/HEIGHT.aC)*AREAFRAC.w2C</f>
        <v>1.2781490551691606</v>
      </c>
      <c r="N495" s="451">
        <f>((DRYDEPaerosol.C+AerosolWashout.C+GasWashout.C+GASABS.aC.wC)/HEIGHT.aC)*AREAFRAC.w2C</f>
        <v>1.2781490551691606</v>
      </c>
      <c r="O495" s="451">
        <f>((DRYDEPaerosol.C+AerosolWashout.C+GasWashout.C+GASABS.aC.wC)/HEIGHT.aC)*AREAFRAC.w2C</f>
        <v>1.2781490551691606</v>
      </c>
      <c r="P495" s="451">
        <f>((DRYDEPaerosol.C+AerosolWashout.C+GasWashout.C+GASABS.aC.wC)/HEIGHT.aC)*AREAFRAC.w2C</f>
        <v>1.2781490551691606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0.32395118387419652</v>
      </c>
      <c r="M496" s="451">
        <f>((DRYDEPaerosol.C+AerosolWashout.C+GasWashout.C+GASABS.aC.sC)/HEIGHT.aC)*AREAFRAC.s1C</f>
        <v>0.32395118387419652</v>
      </c>
      <c r="N496" s="451">
        <f>((DRYDEPaerosol.C+AerosolWashout.C+GasWashout.C+GASABS.aC.sC)/HEIGHT.aC)*AREAFRAC.s1C</f>
        <v>0.32395118387419652</v>
      </c>
      <c r="O496" s="451">
        <f>((DRYDEPaerosol.C+AerosolWashout.C+GasWashout.C+GASABS.aC.sC)/HEIGHT.aC)*AREAFRAC.s1C</f>
        <v>0.32395118387419652</v>
      </c>
      <c r="P496" s="451">
        <f>((DRYDEPaerosol.C+AerosolWashout.C+GasWashout.C+GASABS.aC.sC)/HEIGHT.aC)*AREAFRAC.s1C</f>
        <v>0.32395118387419652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0.71989151972043663</v>
      </c>
      <c r="M497" s="451">
        <f>((DRYDEPaerosol.C+AerosolWashout.C+GasWashout.C+GASABS.aC.sC)/HEIGHT.aC)*AREAFRAC.s2C</f>
        <v>0.71989151972043663</v>
      </c>
      <c r="N497" s="451">
        <f>((DRYDEPaerosol.C+AerosolWashout.C+GasWashout.C+GASABS.aC.sC)/HEIGHT.aC)*AREAFRAC.s2C</f>
        <v>0.71989151972043663</v>
      </c>
      <c r="O497" s="451">
        <f>((DRYDEPaerosol.C+AerosolWashout.C+GasWashout.C+GASABS.aC.sC)/HEIGHT.aC)*AREAFRAC.s2C</f>
        <v>0.71989151972043663</v>
      </c>
      <c r="P497" s="451">
        <f>((DRYDEPaerosol.C+AerosolWashout.C+GasWashout.C+GASABS.aC.sC)/HEIGHT.aC)*AREAFRAC.s2C</f>
        <v>0.71989151972043663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0.11998191995340608</v>
      </c>
      <c r="M498" s="451">
        <f>((DRYDEPaerosol.C+AerosolWashout.C+GasWashout.C+GASABS.aC.sC)/HEIGHT.aC)*AREAFRAC.s3C</f>
        <v>0.11998191995340608</v>
      </c>
      <c r="N498" s="451">
        <f>((DRYDEPaerosol.C+AerosolWashout.C+GasWashout.C+GASABS.aC.sC)/HEIGHT.aC)*AREAFRAC.s3C</f>
        <v>0.11998191995340608</v>
      </c>
      <c r="O498" s="451">
        <f>((DRYDEPaerosol.C+AerosolWashout.C+GasWashout.C+GASABS.aC.sC)/HEIGHT.aC)*AREAFRAC.s3C</f>
        <v>0.11998191995340608</v>
      </c>
      <c r="P498" s="451">
        <f>((DRYDEPaerosol.C+AerosolWashout.C+GasWashout.C+GASABS.aC.sC)/HEIGHT.aC)*AREAFRAC.s3C</f>
        <v>0.11998191995340608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3.7617999830720028E-4</v>
      </c>
      <c r="M511" s="452">
        <f>AEROSOLdeprate.C*FRaers.aC</f>
        <v>3.7617999830720028E-4</v>
      </c>
      <c r="N511" s="452">
        <f>AEROSOLdeprate.C*FRaers.aC</f>
        <v>3.7617999830720028E-4</v>
      </c>
      <c r="O511" s="452">
        <f>AEROSOLdeprate.C*FRaers.aC</f>
        <v>3.7617999830720028E-4</v>
      </c>
      <c r="P511" s="452">
        <f>AEROSOLdeprate.C*FRaers.aC</f>
        <v>3.7617999830720028E-4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2.2647078134374441E-3</v>
      </c>
      <c r="M512" s="452">
        <f t="shared" si="11"/>
        <v>2.2647078134374441E-3</v>
      </c>
      <c r="N512" s="452">
        <f t="shared" si="11"/>
        <v>2.2647078134374441E-3</v>
      </c>
      <c r="O512" s="452">
        <f t="shared" si="11"/>
        <v>2.2647078134374441E-3</v>
      </c>
      <c r="P512" s="452">
        <f t="shared" si="11"/>
        <v>2.2647078134374441E-3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148.67632104226283</v>
      </c>
      <c r="M513" s="452">
        <f t="shared" si="12"/>
        <v>148.67632104226283</v>
      </c>
      <c r="N513" s="452">
        <f t="shared" si="12"/>
        <v>148.67632104226283</v>
      </c>
      <c r="O513" s="452">
        <f t="shared" si="12"/>
        <v>148.67632104226283</v>
      </c>
      <c r="P513" s="452">
        <f t="shared" si="12"/>
        <v>148.67632104226283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9.5852946805328521E-2</v>
      </c>
      <c r="M650" s="452">
        <f t="shared" si="13"/>
        <v>9.5852946805328521E-2</v>
      </c>
      <c r="N650" s="452">
        <f t="shared" si="13"/>
        <v>9.5852946805328521E-2</v>
      </c>
      <c r="O650" s="452">
        <f t="shared" si="13"/>
        <v>9.5852946805328521E-2</v>
      </c>
      <c r="P650" s="452">
        <f t="shared" si="13"/>
        <v>9.5852946805328521E-2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0.90414705319467148</v>
      </c>
      <c r="M652" s="452">
        <f t="shared" si="14"/>
        <v>0.90414705319467148</v>
      </c>
      <c r="N652" s="452">
        <f t="shared" si="14"/>
        <v>0.90414705319467148</v>
      </c>
      <c r="O652" s="452">
        <f t="shared" si="14"/>
        <v>0.90414705319467148</v>
      </c>
      <c r="P652" s="452">
        <f t="shared" si="14"/>
        <v>0.90414705319467148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0.99995357150522701</v>
      </c>
      <c r="M657" s="452">
        <f t="shared" si="15"/>
        <v>0.99995357150522701</v>
      </c>
      <c r="N657" s="452">
        <f t="shared" si="15"/>
        <v>0.99995357150522701</v>
      </c>
      <c r="O657" s="452">
        <f t="shared" si="15"/>
        <v>0.99995357150522701</v>
      </c>
      <c r="P657" s="452">
        <f t="shared" si="15"/>
        <v>0.99995357150522701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0.99995357150522701</v>
      </c>
      <c r="M658" s="452">
        <f t="shared" si="16"/>
        <v>0.99995357150522701</v>
      </c>
      <c r="N658" s="452">
        <f t="shared" si="16"/>
        <v>0.99995357150522701</v>
      </c>
      <c r="O658" s="452">
        <f t="shared" si="16"/>
        <v>0.99995357150522701</v>
      </c>
      <c r="P658" s="452">
        <f t="shared" si="16"/>
        <v>0.99995357150522701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1.2389844624518407</v>
      </c>
      <c r="M680" s="451">
        <f>((DRYDEPaerosol.M+AerosolWashout.M+GasWashout.M+GASABS.aM.wM)/HEIGHT.aC)*AREAFRAC.wM</f>
        <v>1.2389844624518407</v>
      </c>
      <c r="N680" s="451">
        <f>((DRYDEPaerosol.M+AerosolWashout.M+GasWashout.M+GASABS.aM.wM)/HEIGHT.aC)*AREAFRAC.wM</f>
        <v>1.2389844624518407</v>
      </c>
      <c r="O680" s="451">
        <f>((DRYDEPaerosol.M+AerosolWashout.M+GasWashout.M+GASABS.aM.wM)/HEIGHT.aC)*AREAFRAC.wM</f>
        <v>1.2389844624518407</v>
      </c>
      <c r="P680" s="451">
        <f>((DRYDEPaerosol.M+AerosolWashout.M+GasWashout.M+GASABS.aM.wM)/HEIGHT.aC)*AREAFRAC.wM</f>
        <v>1.2389844624518407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1.2389837703746569</v>
      </c>
      <c r="M681" s="452">
        <f>((DRYDEPaerosol.M+AerosolWashout.M+GasWashout.M+GASABS.aM.sM)/HEIGHT.aC)*AREAFRAC.sM</f>
        <v>1.2389837703746569</v>
      </c>
      <c r="N681" s="452">
        <f>((DRYDEPaerosol.M+AerosolWashout.M+GasWashout.M+GASABS.aM.sM)/HEIGHT.aC)*AREAFRAC.sM</f>
        <v>1.2389837703746569</v>
      </c>
      <c r="O681" s="452">
        <f>((DRYDEPaerosol.M+AerosolWashout.M+GasWashout.M+GASABS.aM.sM)/HEIGHT.aC)*AREAFRAC.sM</f>
        <v>1.2389837703746569</v>
      </c>
      <c r="P681" s="452">
        <f>((DRYDEPaerosol.M+AerosolWashout.M+GasWashout.M+GASABS.aM.sM)/HEIGHT.aC)*AREAFRAC.sM</f>
        <v>1.2389837703746569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3.7617999830720028E-4</v>
      </c>
      <c r="M690" s="452">
        <f>AEROSOLdeprate.M*FRaers.aM</f>
        <v>3.7617999830720028E-4</v>
      </c>
      <c r="N690" s="452">
        <f>AEROSOLdeprate.M*FRaers.aM</f>
        <v>3.7617999830720028E-4</v>
      </c>
      <c r="O690" s="452">
        <f>AEROSOLdeprate.M*FRaers.aM</f>
        <v>3.7617999830720028E-4</v>
      </c>
      <c r="P690" s="452">
        <f>AEROSOLdeprate.M*FRaers.aM</f>
        <v>3.7617999830720028E-4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2.2647078134374441E-3</v>
      </c>
      <c r="M691" s="452">
        <f t="shared" si="17"/>
        <v>2.2647078134374441E-3</v>
      </c>
      <c r="N691" s="452">
        <f t="shared" si="17"/>
        <v>2.2647078134374441E-3</v>
      </c>
      <c r="O691" s="452">
        <f t="shared" si="17"/>
        <v>2.2647078134374441E-3</v>
      </c>
      <c r="P691" s="452">
        <f t="shared" si="17"/>
        <v>2.2647078134374441E-3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148.67632104226283</v>
      </c>
      <c r="M692" s="452">
        <f t="shared" si="18"/>
        <v>148.67632104226283</v>
      </c>
      <c r="N692" s="452">
        <f t="shared" si="18"/>
        <v>148.67632104226283</v>
      </c>
      <c r="O692" s="452">
        <f t="shared" si="18"/>
        <v>148.67632104226283</v>
      </c>
      <c r="P692" s="452">
        <f t="shared" si="18"/>
        <v>148.67632104226283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2.0932585285350358E-3</v>
      </c>
      <c r="M786" s="452">
        <f t="shared" si="19"/>
        <v>2.0932585285350358E-3</v>
      </c>
      <c r="N786" s="452">
        <f t="shared" si="19"/>
        <v>2.0932585285350358E-3</v>
      </c>
      <c r="O786" s="452">
        <f t="shared" si="19"/>
        <v>2.0932585285350358E-3</v>
      </c>
      <c r="P786" s="452">
        <f t="shared" si="19"/>
        <v>2.0932585285350358E-3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0.99790674147146496</v>
      </c>
      <c r="M788" s="452">
        <f t="shared" si="20"/>
        <v>0.99790674147146496</v>
      </c>
      <c r="N788" s="452">
        <f t="shared" si="20"/>
        <v>0.99790674147146496</v>
      </c>
      <c r="O788" s="452">
        <f t="shared" si="20"/>
        <v>0.99790674147146496</v>
      </c>
      <c r="P788" s="452">
        <f t="shared" si="20"/>
        <v>0.99790674147146496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0.99995357150522701</v>
      </c>
      <c r="M793" s="452">
        <f t="shared" si="21"/>
        <v>0.99995357150522701</v>
      </c>
      <c r="N793" s="452">
        <f t="shared" si="21"/>
        <v>0.99995357150522701</v>
      </c>
      <c r="O793" s="452">
        <f t="shared" si="21"/>
        <v>0.99995357150522701</v>
      </c>
      <c r="P793" s="452">
        <f t="shared" si="21"/>
        <v>0.99995357150522701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0.99995357150522701</v>
      </c>
      <c r="M794" s="452">
        <f t="shared" si="22"/>
        <v>0.99995357150522701</v>
      </c>
      <c r="N794" s="452">
        <f t="shared" si="22"/>
        <v>0.99995357150522701</v>
      </c>
      <c r="O794" s="452">
        <f t="shared" si="22"/>
        <v>0.99995357150522701</v>
      </c>
      <c r="P794" s="452">
        <f t="shared" si="22"/>
        <v>0.99995357150522701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3.3105483780890705</v>
      </c>
      <c r="M816" s="451">
        <f>((DRYDEPaerosol.A+AerosolWashout.A+GasWashout.A+GASABS.aA.wA)/HEIGHT.aC)*AREAFRAC.wA</f>
        <v>3.3105483780890705</v>
      </c>
      <c r="N816" s="451">
        <f>((DRYDEPaerosol.A+AerosolWashout.A+GasWashout.A+GASABS.aA.wA)/HEIGHT.aC)*AREAFRAC.wA</f>
        <v>3.3105483780890705</v>
      </c>
      <c r="O816" s="451">
        <f>((DRYDEPaerosol.A+AerosolWashout.A+GasWashout.A+GASABS.aA.wA)/HEIGHT.aC)*AREAFRAC.wA</f>
        <v>3.3105483780890705</v>
      </c>
      <c r="P816" s="451">
        <f>((DRYDEPaerosol.A+AerosolWashout.A+GasWashout.A+GASABS.aA.wA)/HEIGHT.aC)*AREAFRAC.wA</f>
        <v>3.3105483780890705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2.2070321467130531</v>
      </c>
      <c r="M817" s="451">
        <f>((DRYDEPaerosol.A+AerosolWashout.A+GasWashout.A+GASABS.aA.sA)/HEIGHT.aC)*AREAFRAC.sA</f>
        <v>2.2070321467130531</v>
      </c>
      <c r="N817" s="451">
        <f>((DRYDEPaerosol.A+AerosolWashout.A+GasWashout.A+GASABS.aA.sA)/HEIGHT.aC)*AREAFRAC.sA</f>
        <v>2.2070321467130531</v>
      </c>
      <c r="O817" s="451">
        <f>((DRYDEPaerosol.A+AerosolWashout.A+GasWashout.A+GASABS.aA.sA)/HEIGHT.aC)*AREAFRAC.sA</f>
        <v>2.2070321467130531</v>
      </c>
      <c r="P817" s="451">
        <f>((DRYDEPaerosol.A+AerosolWashout.A+GasWashout.A+GASABS.aA.sA)/HEIGHT.aC)*AREAFRAC.sA</f>
        <v>2.2070321467130531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7.1579123842754208E-5</v>
      </c>
      <c r="M826" s="451">
        <f>AEROSOLdeprate.A*FRaers.aA</f>
        <v>7.1579123842754208E-5</v>
      </c>
      <c r="N826" s="451">
        <f>AEROSOLdeprate.A*FRaers.aA</f>
        <v>7.1579123842754208E-5</v>
      </c>
      <c r="O826" s="451">
        <f>AEROSOLdeprate.A*FRaers.aA</f>
        <v>7.1579123842754208E-5</v>
      </c>
      <c r="P826" s="451">
        <f>AEROSOLdeprate.A*FRaers.aA</f>
        <v>7.1579123842754208E-5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1.4377065493797064E-3</v>
      </c>
      <c r="M827" s="452">
        <f t="shared" si="23"/>
        <v>1.4377065493797064E-3</v>
      </c>
      <c r="N827" s="452">
        <f t="shared" si="23"/>
        <v>1.4377065493797064E-3</v>
      </c>
      <c r="O827" s="452">
        <f t="shared" si="23"/>
        <v>1.4377065493797064E-3</v>
      </c>
      <c r="P827" s="452">
        <f t="shared" si="23"/>
        <v>1.4377065493797064E-3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331.05464825200329</v>
      </c>
      <c r="M828" s="452">
        <f t="shared" si="24"/>
        <v>331.05464825200329</v>
      </c>
      <c r="N828" s="452">
        <f t="shared" si="24"/>
        <v>331.05464825200329</v>
      </c>
      <c r="O828" s="452">
        <f t="shared" si="24"/>
        <v>331.05464825200329</v>
      </c>
      <c r="P828" s="452">
        <f t="shared" si="24"/>
        <v>331.05464825200329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0.45055478663124349</v>
      </c>
      <c r="M922" s="452">
        <f t="shared" si="25"/>
        <v>0.45055478663124349</v>
      </c>
      <c r="N922" s="452">
        <f t="shared" si="25"/>
        <v>0.45055478663124349</v>
      </c>
      <c r="O922" s="452">
        <f t="shared" si="25"/>
        <v>0.45055478663124349</v>
      </c>
      <c r="P922" s="452">
        <f t="shared" si="25"/>
        <v>0.45055478663124349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0.54944521336875651</v>
      </c>
      <c r="M924" s="452">
        <f t="shared" si="26"/>
        <v>0.54944521336875651</v>
      </c>
      <c r="N924" s="452">
        <f t="shared" si="26"/>
        <v>0.54944521336875651</v>
      </c>
      <c r="O924" s="452">
        <f t="shared" si="26"/>
        <v>0.54944521336875651</v>
      </c>
      <c r="P924" s="452">
        <f t="shared" si="26"/>
        <v>0.54944521336875651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0.99995357150522701</v>
      </c>
      <c r="M929" s="452">
        <f t="shared" si="27"/>
        <v>0.99995357150522701</v>
      </c>
      <c r="N929" s="452">
        <f t="shared" si="27"/>
        <v>0.99995357150522701</v>
      </c>
      <c r="O929" s="452">
        <f t="shared" si="27"/>
        <v>0.99995357150522701</v>
      </c>
      <c r="P929" s="452">
        <f t="shared" si="27"/>
        <v>0.99995357150522701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0.99995357150522701</v>
      </c>
      <c r="M930" s="452">
        <f t="shared" si="28"/>
        <v>0.99995357150522701</v>
      </c>
      <c r="N930" s="452">
        <f t="shared" si="28"/>
        <v>0.99995357150522701</v>
      </c>
      <c r="O930" s="452">
        <f t="shared" si="28"/>
        <v>0.99995357150522701</v>
      </c>
      <c r="P930" s="452">
        <f t="shared" si="28"/>
        <v>0.99995357150522701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0.58968185833366038</v>
      </c>
      <c r="M952" s="451">
        <f>((DRYDEPaerosol.T+AerosolWashout.T+GasWashout.T+GASABS.aT.wT)/HEIGHT.aT)*AREAFRAC.wT</f>
        <v>0.58968185833366038</v>
      </c>
      <c r="N952" s="451">
        <f>((DRYDEPaerosol.T+AerosolWashout.T+GasWashout.T+GASABS.aT.wT)/HEIGHT.aT)*AREAFRAC.wT</f>
        <v>0.58968185833366038</v>
      </c>
      <c r="O952" s="451">
        <f>((DRYDEPaerosol.T+AerosolWashout.T+GasWashout.T+GASABS.aT.wT)/HEIGHT.aT)*AREAFRAC.wT</f>
        <v>0.58968185833366038</v>
      </c>
      <c r="P952" s="451">
        <f>((DRYDEPaerosol.T+AerosolWashout.T+GasWashout.T+GASABS.aT.wT)/HEIGHT.aT)*AREAFRAC.wT</f>
        <v>0.58968185833366038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0.25272032867837774</v>
      </c>
      <c r="M953" s="451">
        <f>((DRYDEPaerosol.T+AerosolWashout.T+GasWashout.T+GASABS.aT.sT)/HEIGHT.aT)*AREAFRAC.sT</f>
        <v>0.25272032867837774</v>
      </c>
      <c r="N953" s="451">
        <f>((DRYDEPaerosol.T+AerosolWashout.T+GasWashout.T+GASABS.aT.sT)/HEIGHT.aT)*AREAFRAC.sT</f>
        <v>0.25272032867837774</v>
      </c>
      <c r="O953" s="451">
        <f>((DRYDEPaerosol.T+AerosolWashout.T+GasWashout.T+GASABS.aT.sT)/HEIGHT.aT)*AREAFRAC.sT</f>
        <v>0.25272032867837774</v>
      </c>
      <c r="P953" s="451">
        <f>((DRYDEPaerosol.T+AerosolWashout.T+GasWashout.T+GASABS.aT.sT)/HEIGHT.aT)*AREAFRAC.sT</f>
        <v>0.25272032867837774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4.2371770895409567E-4</v>
      </c>
      <c r="M962" s="451">
        <f>AEROSOLdeprate.T*FRaers.aT</f>
        <v>4.2371770895409567E-4</v>
      </c>
      <c r="N962" s="451">
        <f>AEROSOLdeprate.T*FRaers.aT</f>
        <v>4.2371770895409567E-4</v>
      </c>
      <c r="O962" s="451">
        <f>AEROSOLdeprate.T*FRaers.aT</f>
        <v>4.2371770895409567E-4</v>
      </c>
      <c r="P962" s="451">
        <f>AEROSOLdeprate.T*FRaers.aT</f>
        <v>4.2371770895409567E-4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3.6955221500182653E-3</v>
      </c>
      <c r="M963" s="452">
        <f t="shared" si="29"/>
        <v>3.6955221500182653E-3</v>
      </c>
      <c r="N963" s="452">
        <f t="shared" si="29"/>
        <v>3.6955221500182653E-3</v>
      </c>
      <c r="O963" s="452">
        <f t="shared" si="29"/>
        <v>3.6955221500182653E-3</v>
      </c>
      <c r="P963" s="452">
        <f t="shared" si="29"/>
        <v>3.6955221500182653E-3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50.540510804407361</v>
      </c>
      <c r="M964" s="452">
        <f t="shared" si="30"/>
        <v>50.540510804407361</v>
      </c>
      <c r="N964" s="452">
        <f t="shared" si="30"/>
        <v>50.540510804407361</v>
      </c>
      <c r="O964" s="452">
        <f t="shared" si="30"/>
        <v>50.540510804407361</v>
      </c>
      <c r="P964" s="452">
        <f t="shared" si="30"/>
        <v>50.540510804407361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0.48985838853883401</v>
      </c>
      <c r="L60" s="664">
        <f t="shared" ref="L60:L65" si="2">IF(ISBLANK(I60),IF(ISNUMBER(J60)=FALSE,K60,J60),I60)</f>
        <v>0.48985838853883401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0.13396161315396571</v>
      </c>
      <c r="L61" s="664">
        <f t="shared" si="2"/>
        <v>0.13396161315396571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0.37617999830720028</v>
      </c>
      <c r="L62" s="664">
        <f t="shared" si="2"/>
        <v>0.37617999830720028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7.3134142984054159E-11</v>
      </c>
      <c r="L63" s="664">
        <f t="shared" si="2"/>
        <v>7.3134142984054159E-11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13673504046.092884</v>
      </c>
      <c r="L64" s="664">
        <f t="shared" si="2"/>
        <v>13673504046.092884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38396810905.829605</v>
      </c>
      <c r="L65" s="664">
        <f t="shared" si="2"/>
        <v>38396810905.829605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0.99998335721193932</v>
      </c>
      <c r="L66" s="664">
        <f>IF(ISBLANK(I66),IF(ISNUMBER(J66)=FALSE,K66,J66),I66)</f>
        <v>0.99998335721193932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7.6861300956135628</v>
      </c>
      <c r="L67" s="664">
        <f>IF(ISBLANK(I67),IF(ISNUMBER(J67)=FALSE,K67,J67),I67)</f>
        <v>7.6861300956135628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12.8</v>
      </c>
      <c r="L70" s="664">
        <f>IF(ISBLANK(I70),IF(ISNUMBER(J70)=FALSE,K70,J70),I70)</f>
        <v>12.8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0.99987192445401252</v>
      </c>
      <c r="L72" s="664">
        <f t="shared" ref="L72:L104" si="3">IF(ISBLANK(I72),IF(ISNUMBER(J72)=FALSE,K72,J72),I72)</f>
        <v>0.99987192445401252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3"/>
        <v>7.6861300956135628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 t="shared" si="3"/>
        <v>12.8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0.99994877197396703</v>
      </c>
      <c r="L78" s="664">
        <f t="shared" si="3"/>
        <v>0.99994877197396703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7.6861300956135628</v>
      </c>
      <c r="L79" s="664">
        <f t="shared" si="3"/>
        <v>7.6861300956135628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3"/>
        <v>12.8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2.7215325239033903</v>
      </c>
      <c r="L84" s="664">
        <f t="shared" si="3"/>
        <v>2.7215325239033903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3.8430650478067814</v>
      </c>
      <c r="L85" s="664">
        <f t="shared" si="3"/>
        <v>3.8430650478067814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2.7215325239033903</v>
      </c>
      <c r="L87" s="664">
        <f t="shared" si="3"/>
        <v>2.7215325239033903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3.8430650478067814</v>
      </c>
      <c r="L88" s="664">
        <f t="shared" si="3"/>
        <v>3.8430650478067814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2.5058390286986958</v>
      </c>
      <c r="L90" s="664">
        <f t="shared" si="3"/>
        <v>2.5058390286986958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7.9813586471219486E-2</v>
      </c>
      <c r="L91" s="664">
        <f t="shared" si="3"/>
        <v>7.9813586471219486E-2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0.9201864135229435</v>
      </c>
      <c r="L92" s="664">
        <f t="shared" si="3"/>
        <v>0.9201864135229435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1.5372260191227125</v>
      </c>
      <c r="L93" s="664">
        <f t="shared" si="3"/>
        <v>1.5372260191227125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2.5058390286986958</v>
      </c>
      <c r="L95" s="664">
        <f t="shared" si="3"/>
        <v>2.5058390286986958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7.9813586471219486E-2</v>
      </c>
      <c r="L96" s="664">
        <f t="shared" si="3"/>
        <v>7.9813586471219486E-2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0.9201864135229435</v>
      </c>
      <c r="L97" s="664">
        <f t="shared" si="3"/>
        <v>0.9201864135229435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1.5372260191227125</v>
      </c>
      <c r="L98" s="664">
        <f t="shared" si="3"/>
        <v>1.5372260191227125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2.5058390286986958</v>
      </c>
      <c r="L100" s="664">
        <f t="shared" si="3"/>
        <v>2.5058390286986958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7.9813586471219486E-2</v>
      </c>
      <c r="L101" s="664">
        <f t="shared" si="3"/>
        <v>7.9813586471219486E-2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0.9201864135229435</v>
      </c>
      <c r="L102" s="664">
        <f t="shared" si="3"/>
        <v>0.9201864135229435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1.5372260191227125</v>
      </c>
      <c r="L103" s="664">
        <f t="shared" si="3"/>
        <v>1.5372260191227125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2.042092426847822E-8</v>
      </c>
      <c r="L108" s="664">
        <f>IF(ISBLANK(I108),IF(ISNUMBER(J108)=FALSE,K108,J108),I108)</f>
        <v>2.042092426847822E-8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2.2463016695326045E-7</v>
      </c>
      <c r="L109" s="664">
        <f t="shared" ref="L109:L137" si="4">IF(ISBLANK(I109),IF(ISNUMBER(J109)=FALSE,K109,J109),I109)</f>
        <v>2.2463016695326045E-7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3.573684082509208E-8</v>
      </c>
      <c r="L110" s="664">
        <f t="shared" si="4"/>
        <v>3.573684082509208E-8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1.8333660620144195E-6</v>
      </c>
      <c r="L111" s="664">
        <f t="shared" si="4"/>
        <v>1.8333660620144195E-6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4.074146804476487E-6</v>
      </c>
      <c r="L112" s="664">
        <f t="shared" si="4"/>
        <v>4.074146804476487E-6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6.7902446741274783E-7</v>
      </c>
      <c r="L113" s="664">
        <f t="shared" si="4"/>
        <v>6.7902446741274783E-7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2.832628313446183E-15</v>
      </c>
      <c r="L114" s="664">
        <f>IF(ISBLANK(I114),IF(ISNUMBER(J114)=FALSE,K114,J114),I114)</f>
        <v>2.832628313446183E-15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9.4410422020256369E-14</v>
      </c>
      <c r="L115" s="664">
        <f t="shared" si="4"/>
        <v>9.4410422020256369E-14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2.8325303446914023E-14</v>
      </c>
      <c r="L116" s="664">
        <f t="shared" si="4"/>
        <v>2.8325303446914023E-14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7.7708326243272425E-13</v>
      </c>
      <c r="L117" s="664">
        <f t="shared" si="4"/>
        <v>7.7708326243272425E-13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3.5361502868102846E-13</v>
      </c>
      <c r="L118" s="664">
        <f t="shared" si="4"/>
        <v>3.5361502868102846E-13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7.7708326243272425E-13</v>
      </c>
      <c r="L119" s="664">
        <f t="shared" si="4"/>
        <v>7.7708326243272425E-13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6.3067576793670387E-6</v>
      </c>
      <c r="L120" s="664">
        <f t="shared" si="4"/>
        <v>6.3067576793670387E-6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1.7832879473444691E-5</v>
      </c>
      <c r="L121" s="664">
        <f t="shared" si="4"/>
        <v>1.7832879473444691E-5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1.2036263405538818E-5</v>
      </c>
      <c r="L122" s="664">
        <f t="shared" si="4"/>
        <v>1.2036263405538818E-5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2.4779780435349954</v>
      </c>
      <c r="L123" s="664">
        <f t="shared" si="4"/>
        <v>2.4779780435349954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5.1014161146116597E-4</v>
      </c>
      <c r="L126" s="664">
        <f t="shared" si="4"/>
        <v>5.1014161146116597E-4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2.7833375487806549E-2</v>
      </c>
      <c r="L127" s="664">
        <f t="shared" si="4"/>
        <v>2.7833375487806549E-2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2477.9386840377138</v>
      </c>
      <c r="L128" s="664">
        <f t="shared" si="4"/>
        <v>2477.9386840377138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1.8973488688493413E-3</v>
      </c>
      <c r="L131" s="664">
        <f t="shared" ref="L131:L134" si="5">IF(ISBLANK(I131),IF(ISNUMBER(J131)=FALSE,K131,J131),I131)</f>
        <v>1.8973488688493413E-3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5.1319450088166082E-4</v>
      </c>
      <c r="L132" s="664">
        <f t="shared" si="5"/>
        <v>5.1319450088166082E-4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2.8326283134461829E-13</v>
      </c>
      <c r="L133" s="664">
        <f t="shared" si="5"/>
        <v>2.8326283134461829E-13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2.8323126606076911E-13</v>
      </c>
      <c r="L134" s="664">
        <f t="shared" si="5"/>
        <v>2.8323126606076911E-13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2.8325303446914023E-13</v>
      </c>
      <c r="L135" s="664">
        <f t="shared" si="4"/>
        <v>2.8325303446914023E-13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3.8732601668996416E-3</v>
      </c>
      <c r="L136" s="664">
        <f t="shared" si="4"/>
        <v>3.8732601668996416E-3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4.6776192822663505E-6</v>
      </c>
      <c r="L137" s="664">
        <f t="shared" si="4"/>
        <v>4.6776192822663505E-6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3.8854163121636212E-14</v>
      </c>
      <c r="L138" s="664">
        <f t="shared" ref="L138:L145" si="6">IF(ISBLANK(I138),IF(ISNUMBER(J138)=FALSE,K138,J138),I138)</f>
        <v>3.8854163121636212E-14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7.0723005736205698E-14</v>
      </c>
      <c r="L139" s="664">
        <f t="shared" si="6"/>
        <v>7.0723005736205698E-14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3.8854163121636212E-14</v>
      </c>
      <c r="L140" s="664">
        <f t="shared" si="6"/>
        <v>3.8854163121636212E-14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2.6741789373454676E-10</v>
      </c>
      <c r="L142" s="664">
        <f t="shared" si="6"/>
        <v>2.6741789373454676E-10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1.0402439141446337E-8</v>
      </c>
      <c r="L147" s="664">
        <f t="shared" ref="L147:L167" si="7">IF(ISBLANK(I147),IF(ISNUMBER(J147)=FALSE,K147,J147),I147)</f>
        <v>1.0402439141446337E-8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2.8985833890664925E-9</v>
      </c>
      <c r="L148" s="664">
        <f t="shared" si="7"/>
        <v>2.8985833890664925E-9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3.6292048071500488E-7</v>
      </c>
      <c r="L149" s="664">
        <f t="shared" si="7"/>
        <v>3.6292048071500488E-7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3.4561143227301247E-7</v>
      </c>
      <c r="L150" s="664">
        <f t="shared" si="7"/>
        <v>3.4561143227301247E-7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3.705889640841514E-9</v>
      </c>
      <c r="L151" s="664">
        <f t="shared" si="7"/>
        <v>3.705889640841514E-9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1.482292419935412E-9</v>
      </c>
      <c r="L153" s="664">
        <f t="shared" si="7"/>
        <v>1.482292419935412E-9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2.7501427783497495E-8</v>
      </c>
      <c r="L162" s="664">
        <f t="shared" si="7"/>
        <v>2.7501427783497495E-8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1.0106419913586117E-8</v>
      </c>
      <c r="L163" s="664">
        <f t="shared" si="7"/>
        <v>1.0106419913586117E-8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2.7503541470729513E-8</v>
      </c>
      <c r="L164" s="664">
        <f t="shared" si="7"/>
        <v>2.7503541470729513E-8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1.0106419913586117E-8</v>
      </c>
      <c r="L165" s="664">
        <f t="shared" si="7"/>
        <v>1.0106419913586117E-8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5.1613740675410114E-8</v>
      </c>
      <c r="L169" s="664">
        <f t="shared" ref="L169:L183" si="8">IF(ISBLANK(I169),IF(ISNUMBER(J169)=FALSE,K169,J169),I169)</f>
        <v>5.1613740675410114E-8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2.3487051222970356E-8</v>
      </c>
      <c r="L170" s="664">
        <f t="shared" si="8"/>
        <v>2.3487051222970356E-8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5.1613740675410114E-8</v>
      </c>
      <c r="L171" s="664">
        <f t="shared" si="8"/>
        <v>5.1613740675410114E-8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4.6921582432191008E-9</v>
      </c>
      <c r="L172" s="664">
        <f t="shared" si="8"/>
        <v>4.6921582432191008E-9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2.1351864748154871E-9</v>
      </c>
      <c r="L173" s="664">
        <f t="shared" si="8"/>
        <v>2.1351864748154871E-9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4.6921582432191008E-9</v>
      </c>
      <c r="L174" s="664">
        <f t="shared" si="8"/>
        <v>4.6921582432191008E-9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1.5457777937268982E-6</v>
      </c>
      <c r="L187" s="664">
        <f t="shared" ref="L187:L211" si="9">IF(ISBLANK(I187),IF(ISNUMBER(J187)=FALSE,K187,J187),I187)</f>
        <v>1.5457777937268982E-6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2.1524330272611406E-10</v>
      </c>
      <c r="L188" s="664">
        <f>IF(ISBLANK(I188),IF(ISNUMBER(J188)=FALSE,K188,J188),I188)</f>
        <v>2.1524330272611406E-10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2.1521931717207951E-10</v>
      </c>
      <c r="L189" s="664">
        <f t="shared" si="9"/>
        <v>2.1521931717207951E-10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2.1523585836137233E-10</v>
      </c>
      <c r="L190" s="664">
        <f t="shared" si="9"/>
        <v>2.1523585836137233E-10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3.1627861501187856E-9</v>
      </c>
      <c r="L191" s="664">
        <f t="shared" si="9"/>
        <v>3.1627861501187856E-9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1.1817111353210501E-9</v>
      </c>
      <c r="L192" s="664">
        <f t="shared" si="9"/>
        <v>1.1817111353210501E-9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3.0534021961477695E-9</v>
      </c>
      <c r="L193" s="664">
        <f t="shared" si="9"/>
        <v>3.0534021961477695E-9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2.8467460868656887E-9</v>
      </c>
      <c r="L194" s="664">
        <f t="shared" si="9"/>
        <v>2.8467460868656887E-9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3.0534021961477695E-9</v>
      </c>
      <c r="L195" s="664">
        <f t="shared" si="9"/>
        <v>3.0534021961477695E-9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1.54541146784507E-6</v>
      </c>
      <c r="L197" s="664">
        <f t="shared" si="9"/>
        <v>1.54541146784507E-6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2.1524330272611406E-10</v>
      </c>
      <c r="L200" s="664">
        <f>IF(ISBLANK(I200),IF(ISNUMBER(J200)=FALSE,K200,J200),I200)</f>
        <v>2.1524330272611406E-10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2.1521931717207951E-10</v>
      </c>
      <c r="L201" s="664">
        <f t="shared" si="9"/>
        <v>2.1521931717207951E-10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2.1523585836137233E-10</v>
      </c>
      <c r="L202" s="664">
        <f t="shared" si="9"/>
        <v>2.1523585836137233E-10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2.6741789373454681E-10</v>
      </c>
      <c r="L207" s="664">
        <f t="shared" si="9"/>
        <v>2.6741789373454681E-10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2.6741789373454681E-10</v>
      </c>
      <c r="L208" s="664">
        <f t="shared" si="9"/>
        <v>2.6741789373454681E-10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2.6741789373454676E-9</v>
      </c>
      <c r="L209" s="664">
        <f t="shared" si="9"/>
        <v>2.6741789373454676E-9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2.6741789373454676E-9</v>
      </c>
      <c r="L210" s="664">
        <f t="shared" si="9"/>
        <v>2.6741789373454676E-9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2.6741789373454676E-9</v>
      </c>
      <c r="L211" s="664">
        <f t="shared" si="9"/>
        <v>2.6741789373454676E-9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abSelected="1"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0.48985838853883401</v>
      </c>
      <c r="L66" s="664">
        <f t="shared" ref="L66:L110" si="2">IF(ISBLANK(I66),IF(ISNUMBER(J66)=FALSE,K66,J66),I66)</f>
        <v>0.48985838853883401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0.13396161315396571</v>
      </c>
      <c r="L67" s="664">
        <f t="shared" si="2"/>
        <v>0.13396161315396571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0.37617999830720028</v>
      </c>
      <c r="L68" s="664">
        <f t="shared" si="2"/>
        <v>0.37617999830720028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7.3134142984054159E-11</v>
      </c>
      <c r="L69" s="664">
        <f t="shared" ref="L69:L71" si="3">IF(ISBLANK(I69),IF(ISNUMBER(J69)=FALSE,K69,J69),I69)</f>
        <v>7.3134142984054159E-11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13673504046.092884</v>
      </c>
      <c r="L70" s="664">
        <f t="shared" si="3"/>
        <v>13673504046.092884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38396810905.829605</v>
      </c>
      <c r="L71" s="664">
        <f t="shared" si="3"/>
        <v>38396810905.829605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0.99998335721193932</v>
      </c>
      <c r="L72" s="664">
        <f t="shared" si="2"/>
        <v>0.99998335721193932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2"/>
        <v>7.6861300956135628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>IF(ISBLANK(I76),IF(ISNUMBER(J76)=FALSE,K76,J76),I76)</f>
        <v>12.8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0.99987192445401252</v>
      </c>
      <c r="L78" s="677">
        <f t="shared" si="2"/>
        <v>0.99987192445401252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7.6861300956135628</v>
      </c>
      <c r="L79" s="664">
        <f t="shared" si="2"/>
        <v>7.6861300956135628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2"/>
        <v>12.8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0.99994877197396703</v>
      </c>
      <c r="L84" s="664">
        <f t="shared" si="2"/>
        <v>0.99994877197396703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7.6861300956135628</v>
      </c>
      <c r="L85" s="664">
        <f t="shared" si="2"/>
        <v>7.6861300956135628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12.8</v>
      </c>
      <c r="L88" s="664">
        <f t="shared" si="2"/>
        <v>12.8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2.7215325239033903</v>
      </c>
      <c r="L90" s="664">
        <f t="shared" si="2"/>
        <v>2.7215325239033903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3.8430650478067814</v>
      </c>
      <c r="L91" s="664">
        <f t="shared" si="2"/>
        <v>3.8430650478067814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2.7215325239033903</v>
      </c>
      <c r="L93" s="664">
        <f t="shared" si="2"/>
        <v>2.7215325239033903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3.8430650478067814</v>
      </c>
      <c r="L94" s="664">
        <f t="shared" si="2"/>
        <v>3.8430650478067814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2.5058390286986958</v>
      </c>
      <c r="L96" s="664">
        <f t="shared" si="2"/>
        <v>2.5058390286986958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7.9813586471219486E-2</v>
      </c>
      <c r="L97" s="664">
        <f t="shared" si="2"/>
        <v>7.9813586471219486E-2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0.9201864135229435</v>
      </c>
      <c r="L98" s="664">
        <f t="shared" si="2"/>
        <v>0.9201864135229435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1.5372260191227125</v>
      </c>
      <c r="L99" s="664">
        <f t="shared" si="2"/>
        <v>1.5372260191227125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2.5058390286986958</v>
      </c>
      <c r="L101" s="664">
        <f t="shared" si="2"/>
        <v>2.5058390286986958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7.9813586471219486E-2</v>
      </c>
      <c r="L102" s="664">
        <f t="shared" si="2"/>
        <v>7.9813586471219486E-2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0.9201864135229435</v>
      </c>
      <c r="L103" s="664">
        <f t="shared" si="2"/>
        <v>0.9201864135229435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1.5372260191227125</v>
      </c>
      <c r="L104" s="664">
        <f t="shared" si="2"/>
        <v>1.5372260191227125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2.5058390286986958</v>
      </c>
      <c r="L106" s="664">
        <f t="shared" si="2"/>
        <v>2.5058390286986958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7.9813586471219486E-2</v>
      </c>
      <c r="L107" s="664">
        <f t="shared" si="2"/>
        <v>7.9813586471219486E-2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0.9201864135229435</v>
      </c>
      <c r="L108" s="664">
        <f t="shared" si="2"/>
        <v>0.9201864135229435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1.5372260191227125</v>
      </c>
      <c r="L109" s="664">
        <f t="shared" si="2"/>
        <v>1.5372260191227125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1.0647608174708385E-8</v>
      </c>
      <c r="L114" s="664">
        <f>IF(ISBLANK(I114),IF(ISNUMBER(J114)=FALSE,K114,J114),I114)</f>
        <v>1.0647608174708385E-8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1.1712368992179221E-7</v>
      </c>
      <c r="L115" s="664">
        <f t="shared" ref="L115:L136" si="4">IF(ISBLANK(I115),IF(ISNUMBER(J115)=FALSE,K115,J115),I115)</f>
        <v>1.1712368992179221E-7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4.537091165635125E-6</v>
      </c>
      <c r="L116" s="664">
        <f t="shared" si="4"/>
        <v>4.537091165635125E-6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9.6898755865419947E-7</v>
      </c>
      <c r="L117" s="664">
        <f t="shared" si="4"/>
        <v>9.6898755865419947E-7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2.1533056858982208E-6</v>
      </c>
      <c r="L118" s="664">
        <f t="shared" si="4"/>
        <v>2.1533056858982208E-6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3.5888428098303675E-7</v>
      </c>
      <c r="L119" s="664">
        <f t="shared" si="4"/>
        <v>3.5888428098303675E-7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2.832628313446183E-15</v>
      </c>
      <c r="L120" s="664">
        <f>IF(ISBLANK(I120),IF(ISNUMBER(J120)=FALSE,K120,J120),I120)</f>
        <v>2.832628313446183E-15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9.4410422020256369E-14</v>
      </c>
      <c r="L121" s="664">
        <f t="shared" si="4"/>
        <v>9.4410422020256369E-14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1.4162651723457011E-15</v>
      </c>
      <c r="L122" s="664">
        <f t="shared" si="4"/>
        <v>1.4162651723457011E-15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7.7708326243272425E-13</v>
      </c>
      <c r="L123" s="664">
        <f t="shared" si="4"/>
        <v>7.7708326243272425E-13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3.5361502868102846E-13</v>
      </c>
      <c r="L124" s="664">
        <f t="shared" si="4"/>
        <v>3.5361502868102846E-13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7.7708326243272425E-13</v>
      </c>
      <c r="L125" s="664">
        <f t="shared" si="4"/>
        <v>7.7708326243272425E-13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6.8987855666691368E-6</v>
      </c>
      <c r="L126" s="664">
        <f t="shared" si="4"/>
        <v>6.8987855666691368E-6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1.1373627420738747E-5</v>
      </c>
      <c r="L127" s="664">
        <f t="shared" si="4"/>
        <v>1.1373627420738747E-5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4.9849834655307764E-6</v>
      </c>
      <c r="L128" s="664">
        <f t="shared" si="4"/>
        <v>4.9849834655307764E-6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2.4779709922550555</v>
      </c>
      <c r="L129" s="664">
        <f t="shared" si="4"/>
        <v>2.4779709922550555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5.1014161146116597E-4</v>
      </c>
      <c r="L132" s="664">
        <f t="shared" si="4"/>
        <v>5.1014161146116597E-4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2.7833375487806553E-2</v>
      </c>
      <c r="L133" s="664">
        <f t="shared" si="4"/>
        <v>2.7833375487806553E-2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2477.9386840377138</v>
      </c>
      <c r="L134" s="664">
        <f t="shared" si="4"/>
        <v>2477.9386840377138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1.8973488688493413E-3</v>
      </c>
      <c r="L137" s="664">
        <f t="shared" ref="L137:L151" si="5">IF(ISBLANK(I137),IF(ISNUMBER(J137)=FALSE,K137,J137),I137)</f>
        <v>1.8973488688493413E-3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5.1319450088166082E-4</v>
      </c>
      <c r="L138" s="664">
        <f t="shared" si="5"/>
        <v>5.1319450088166082E-4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2.8326283134461829E-13</v>
      </c>
      <c r="L139" s="664">
        <f t="shared" si="5"/>
        <v>2.8326283134461829E-13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2.8323126606076911E-13</v>
      </c>
      <c r="L140" s="664">
        <f t="shared" si="5"/>
        <v>2.8323126606076911E-13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2.8325303446914023E-13</v>
      </c>
      <c r="L141" s="664">
        <f t="shared" si="5"/>
        <v>2.8325303446914023E-13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3.8732601668996416E-3</v>
      </c>
      <c r="L142" s="664">
        <f t="shared" si="5"/>
        <v>3.8732601668996416E-3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4.6776192822663505E-6</v>
      </c>
      <c r="L143" s="664">
        <f t="shared" si="5"/>
        <v>4.6776192822663505E-6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3.8854163121636212E-14</v>
      </c>
      <c r="L144" s="664">
        <f t="shared" si="5"/>
        <v>3.8854163121636212E-14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7.0723005736205698E-14</v>
      </c>
      <c r="L145" s="664">
        <f t="shared" si="5"/>
        <v>7.0723005736205698E-14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3.8854163121636212E-14</v>
      </c>
      <c r="L146" s="664">
        <f t="shared" si="5"/>
        <v>3.8854163121636212E-14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2.6741789373454676E-10</v>
      </c>
      <c r="L148" s="664">
        <f t="shared" si="5"/>
        <v>2.6741789373454676E-10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1.0402439141446335E-8</v>
      </c>
      <c r="L153" s="664">
        <f t="shared" ref="L153:L173" si="6">IF(ISBLANK(I153),IF(ISNUMBER(J153)=FALSE,K153,J153),I153)</f>
        <v>1.0402439141446335E-8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1.4492916945332459E-10</v>
      </c>
      <c r="L154" s="664">
        <f t="shared" si="6"/>
        <v>1.4492916945332459E-10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3.6294162057623545E-7</v>
      </c>
      <c r="L155" s="664">
        <f t="shared" si="6"/>
        <v>3.6294162057623545E-7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3.4561239218126556E-7</v>
      </c>
      <c r="L156" s="664">
        <f t="shared" si="6"/>
        <v>3.4561239218126556E-7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3.705889640841514E-9</v>
      </c>
      <c r="L157" s="664">
        <f t="shared" si="6"/>
        <v>3.705889640841514E-9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1.482292419935412E-9</v>
      </c>
      <c r="L159" s="664">
        <f t="shared" si="6"/>
        <v>1.482292419935412E-9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2.7501427783497492E-8</v>
      </c>
      <c r="L168" s="664">
        <f t="shared" si="6"/>
        <v>2.7501427783497492E-8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1.0106419913586115E-8</v>
      </c>
      <c r="L169" s="664">
        <f t="shared" si="6"/>
        <v>1.0106419913586115E-8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2.750354147072951E-8</v>
      </c>
      <c r="L170" s="664">
        <f t="shared" si="6"/>
        <v>2.750354147072951E-8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1.0106419913586115E-8</v>
      </c>
      <c r="L171" s="664">
        <f t="shared" si="6"/>
        <v>1.0106419913586115E-8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5.1613740675410107E-8</v>
      </c>
      <c r="L175" s="664">
        <f t="shared" ref="L175:L177" si="7">IF(ISBLANK(I175),IF(ISNUMBER(J175)=FALSE,K175,J175),I175)</f>
        <v>5.1613740675410107E-8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2.3487051222970356E-8</v>
      </c>
      <c r="L176" s="664">
        <f t="shared" si="7"/>
        <v>2.3487051222970356E-8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5.1613740675410107E-8</v>
      </c>
      <c r="L177" s="664">
        <f t="shared" si="7"/>
        <v>5.1613740675410107E-8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4.6921582432191016E-9</v>
      </c>
      <c r="L178" s="664">
        <f t="shared" ref="L178:L180" si="8">IF(ISBLANK(I178),IF(ISNUMBER(J178)=FALSE,K178,J178),I178)</f>
        <v>4.6921582432191016E-9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2.1351864748154871E-9</v>
      </c>
      <c r="L179" s="664">
        <f t="shared" si="8"/>
        <v>2.1351864748154871E-9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4.6921582432191016E-9</v>
      </c>
      <c r="L180" s="664">
        <f t="shared" si="8"/>
        <v>4.6921582432191016E-9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1.5457777937268982E-6</v>
      </c>
      <c r="L193" s="664">
        <f t="shared" ref="L193:L217" si="11">IF(ISBLANK(I193),IF(ISNUMBER(J193)=FALSE,K193,J193),I193)</f>
        <v>1.5457777937268982E-6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2.1524330272611406E-10</v>
      </c>
      <c r="L194" s="664">
        <f>IF(ISBLANK(I194),IF(ISNUMBER(J194)=FALSE,K194,J194),I194)</f>
        <v>2.1524330272611406E-10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2.1521931717207951E-10</v>
      </c>
      <c r="L195" s="664">
        <f t="shared" si="11"/>
        <v>2.1521931717207951E-10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2.1523585836137233E-10</v>
      </c>
      <c r="L196" s="664">
        <f t="shared" si="11"/>
        <v>2.1523585836137233E-10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3.1416462888881063E-9</v>
      </c>
      <c r="L197" s="664">
        <f t="shared" si="11"/>
        <v>3.1416462888881063E-9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1.1807512270678802E-9</v>
      </c>
      <c r="L198" s="664">
        <f t="shared" si="11"/>
        <v>1.1807512270678802E-9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3.0534021961477695E-9</v>
      </c>
      <c r="L199" s="664">
        <f t="shared" si="11"/>
        <v>3.0534021961477695E-9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2.8467460868656887E-9</v>
      </c>
      <c r="L200" s="664">
        <f t="shared" si="11"/>
        <v>2.8467460868656887E-9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3.0534021961477695E-9</v>
      </c>
      <c r="L201" s="664">
        <f t="shared" si="11"/>
        <v>3.0534021961477695E-9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1.54541146784507E-6</v>
      </c>
      <c r="L203" s="664">
        <f t="shared" si="11"/>
        <v>1.54541146784507E-6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2.1524330272611406E-10</v>
      </c>
      <c r="L206" s="664">
        <f>IF(ISBLANK(I206),IF(ISNUMBER(J206)=FALSE,K206,J206),I206)</f>
        <v>2.1524330272611406E-10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2.1521931717207951E-10</v>
      </c>
      <c r="L207" s="664">
        <f t="shared" si="11"/>
        <v>2.1521931717207951E-10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2.1523585836137233E-10</v>
      </c>
      <c r="L208" s="664">
        <f t="shared" si="11"/>
        <v>2.1523585836137233E-10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2.6741789373454681E-10</v>
      </c>
      <c r="L213" s="664">
        <f t="shared" si="11"/>
        <v>2.6741789373454681E-10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2.6741789373454681E-10</v>
      </c>
      <c r="L214" s="664">
        <f t="shared" si="11"/>
        <v>2.6741789373454681E-10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2.6741789373454676E-9</v>
      </c>
      <c r="L215" s="664">
        <f t="shared" si="11"/>
        <v>2.6741789373454676E-9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2.6741789373454676E-9</v>
      </c>
      <c r="L216" s="664">
        <f t="shared" si="11"/>
        <v>2.6741789373454676E-9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2.6741789373454676E-9</v>
      </c>
      <c r="L217" s="664">
        <f t="shared" si="11"/>
        <v>2.6741789373454676E-9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0.48985838853883401</v>
      </c>
      <c r="L46" s="664">
        <f>IF(ISBLANK(I46),IF(ISNUMBER(J46)=FALSE,K46,J46),I46)</f>
        <v>0.48985838853883401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0.13396161315396571</v>
      </c>
      <c r="L47" s="664">
        <f>IF(ISBLANK(I47),IF(ISNUMBER(J47)=FALSE,K47,J47),I47)</f>
        <v>0.13396161315396571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0.37617999830720028</v>
      </c>
      <c r="L48" s="664">
        <f>IF(ISBLANK(I48),IF(ISNUMBER(J48)=FALSE,K48,J48),I48)</f>
        <v>0.37617999830720028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7.3134142984054159E-11</v>
      </c>
      <c r="L49" s="664">
        <f>IF(ISBLANK(I49),IF(ISNUMBER(J49)=FALSE,K49,J49),I49)</f>
        <v>7.3134142984054159E-11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13673504046.092884</v>
      </c>
      <c r="L51" s="664">
        <f t="shared" ref="L51:L58" si="2">IF(ISBLANK(I51),IF(ISNUMBER(J51)=FALSE,K51,J51),I51)</f>
        <v>13673504046.092884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38396810905.829605</v>
      </c>
      <c r="L52" s="664">
        <f t="shared" si="2"/>
        <v>38396810905.829605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0.99994877197396703</v>
      </c>
      <c r="L53" s="664">
        <f t="shared" si="2"/>
        <v>0.99994877197396703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0.99994877197396703</v>
      </c>
      <c r="L54" s="664">
        <f t="shared" si="2"/>
        <v>0.99994877197396703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7.6861300956135628</v>
      </c>
      <c r="L55" s="664">
        <f t="shared" si="2"/>
        <v>7.6861300956135628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7.6861300956135628</v>
      </c>
      <c r="L56" s="664">
        <f t="shared" si="2"/>
        <v>7.6861300956135628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12.8</v>
      </c>
      <c r="L61" s="664">
        <f>IF(ISBLANK(I61),IF(ISNUMBER(J61)=FALSE,K61,J61),I61)</f>
        <v>12.8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12.8</v>
      </c>
      <c r="L62" s="664">
        <f>IF(ISBLANK(I62),IF(ISNUMBER(J62)=FALSE,K62,J62),I62)</f>
        <v>12.8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2.7215325239033903</v>
      </c>
      <c r="L65" s="664">
        <f t="shared" ref="L65:L72" si="3">IF(ISBLANK(I65),IF(ISNUMBER(J65)=FALSE,K65,J65),I65)</f>
        <v>2.7215325239033903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3.8430650478067814</v>
      </c>
      <c r="L66" s="664">
        <f t="shared" si="3"/>
        <v>3.8430650478067814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2.5058390286986958</v>
      </c>
      <c r="L68" s="664">
        <f t="shared" si="3"/>
        <v>2.5058390286986958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7.9813586471219486E-2</v>
      </c>
      <c r="L69" s="664">
        <f t="shared" si="3"/>
        <v>7.9813586471219486E-2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0.9201864135229435</v>
      </c>
      <c r="L70" s="664">
        <f t="shared" si="3"/>
        <v>0.9201864135229435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1.5372260191227125</v>
      </c>
      <c r="L71" s="664">
        <f t="shared" si="3"/>
        <v>1.5372260191227125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4.4415670163638715E-6</v>
      </c>
      <c r="L76" s="664">
        <f t="shared" ref="L76:L89" si="4">IF(ISBLANK(I76),IF(ISNUMBER(J76)=FALSE,K76,J76),I76)</f>
        <v>4.4415670163638715E-6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3.7494898323800317E-6</v>
      </c>
      <c r="L77" s="664">
        <f t="shared" si="4"/>
        <v>3.7494898323800317E-6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2.8325303446914022E-15</v>
      </c>
      <c r="L78" s="664">
        <f t="shared" si="4"/>
        <v>2.8325303446914022E-15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7.7708326243272425E-13</v>
      </c>
      <c r="L79" s="664">
        <f t="shared" si="4"/>
        <v>7.7708326243272425E-13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6.9857851638784026E-6</v>
      </c>
      <c r="L80" s="664">
        <f t="shared" si="4"/>
        <v>6.9857851638784026E-6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1.0901039109380899E-5</v>
      </c>
      <c r="L81" s="664">
        <f t="shared" si="4"/>
        <v>1.0901039109380899E-5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4.425395556963663E-6</v>
      </c>
      <c r="L82" s="664">
        <f t="shared" si="4"/>
        <v>4.425395556963663E-6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2.477970432667147</v>
      </c>
      <c r="L83" s="664">
        <f t="shared" si="4"/>
        <v>2.477970432667147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5.1014161146116597E-4</v>
      </c>
      <c r="L86" s="664">
        <f t="shared" si="4"/>
        <v>5.1014161146116597E-4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2.7833375487806553E-2</v>
      </c>
      <c r="L87" s="664">
        <f t="shared" si="4"/>
        <v>2.7833375487806553E-2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2477.9386840377138</v>
      </c>
      <c r="L88" s="664">
        <f t="shared" si="4"/>
        <v>2477.9386840377138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1.8973488688493413E-3</v>
      </c>
      <c r="L92" s="664">
        <f t="shared" si="5"/>
        <v>1.8973488688493413E-3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5.1319450088166082E-4</v>
      </c>
      <c r="L93" s="664">
        <f>IF(ISBLANK(I93),IF(ISNUMBER(J93)=FALSE,K93,J93),I93)</f>
        <v>5.1319450088166082E-4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2.8325303446914023E-13</v>
      </c>
      <c r="L94" s="664">
        <f>IF(ISBLANK(I94),IF(ISNUMBER(J94)=FALSE,K94,J94),I94)</f>
        <v>2.8325303446914023E-13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3.8854163121636212E-14</v>
      </c>
      <c r="L95" s="664">
        <f>IF(ISBLANK(I95),IF(ISNUMBER(J95)=FALSE,K95,J95),I95)</f>
        <v>3.8854163121636212E-14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3.8732601668996416E-3</v>
      </c>
      <c r="L96" s="664">
        <f t="shared" si="5"/>
        <v>3.8732601668996416E-3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4.6776192822663505E-6</v>
      </c>
      <c r="L97" s="664">
        <f t="shared" si="5"/>
        <v>4.6776192822663505E-6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2.6741789373454676E-10</v>
      </c>
      <c r="L100" s="664">
        <f>IF(ISBLANK(I100),IF(ISNUMBER(J100)=FALSE,K100,J100),I100)</f>
        <v>2.6741789373454676E-10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9.66194463022164E-12</v>
      </c>
      <c r="L103" s="664">
        <f t="shared" ref="L103:L109" si="6">IF(ISBLANK(I103),IF(ISNUMBER(J103)=FALSE,K103,J103),I103)</f>
        <v>9.66194463022164E-12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3.4652274158028427E-7</v>
      </c>
      <c r="L104" s="664">
        <f t="shared" si="6"/>
        <v>3.4652274158028427E-7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1.482292419935412E-9</v>
      </c>
      <c r="L105" s="664">
        <f t="shared" si="6"/>
        <v>1.482292419935412E-9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2.750354147072951E-8</v>
      </c>
      <c r="L111" s="664">
        <f>IF(ISBLANK(I111),IF(ISNUMBER(J111)=FALSE,K111,J111),I111)</f>
        <v>2.750354147072951E-8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1.0106419913586115E-8</v>
      </c>
      <c r="L112" s="664">
        <f>IF(ISBLANK(I112),IF(ISNUMBER(J112)=FALSE,K112,J112),I112)</f>
        <v>1.0106419913586115E-8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5.630589891862921E-8</v>
      </c>
      <c r="L116" s="664">
        <f>IF(ISBLANK(I116),IF(ISNUMBER(J116)=FALSE,K116,J116),I116)</f>
        <v>5.630589891862921E-8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1.5457777937268982E-6</v>
      </c>
      <c r="L123" s="664">
        <f t="shared" ref="L123:L138" si="7">IF(ISBLANK(I123),IF(ISNUMBER(J123)=FALSE,K123,J123),I123)</f>
        <v>1.5457777937268982E-6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2.1523585836137233E-10</v>
      </c>
      <c r="L124" s="664">
        <f t="shared" si="7"/>
        <v>2.1523585836137233E-10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2.1523585836137233E-10</v>
      </c>
      <c r="L125" s="664">
        <f t="shared" si="7"/>
        <v>2.1523585836137233E-10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2.7040182804920299E-10</v>
      </c>
      <c r="L126" s="664">
        <f t="shared" si="7"/>
        <v>2.7040182804920299E-10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3.0534021961477695E-9</v>
      </c>
      <c r="L127" s="664">
        <f t="shared" si="7"/>
        <v>3.0534021961477695E-9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1.54541146784507E-6</v>
      </c>
      <c r="L129" s="664">
        <f t="shared" si="7"/>
        <v>1.54541146784507E-6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2.1523585836137233E-10</v>
      </c>
      <c r="L132" s="664">
        <f t="shared" si="7"/>
        <v>2.1523585836137233E-10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2.1523585836137233E-10</v>
      </c>
      <c r="L133" s="664">
        <f t="shared" si="7"/>
        <v>2.1523585836137233E-10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2.6741789373454681E-10</v>
      </c>
      <c r="L137" s="664">
        <f t="shared" si="7"/>
        <v>2.6741789373454681E-10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2.6741789373454676E-9</v>
      </c>
      <c r="L138" s="664">
        <f t="shared" si="7"/>
        <v>2.6741789373454676E-9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9.3209725175231531E-2</v>
      </c>
      <c r="L182" s="664">
        <f>IF(ISBLANK(I182),IF(ISNUMBER(J182)=FALSE,K182,J182),I182)</f>
        <v>9.3209725175231531E-2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0.83521115098201426</v>
      </c>
      <c r="L183" s="664">
        <f>IF(ISBLANK(I183),IF(ISNUMBER(J183)=FALSE,K183,J183),I183)</f>
        <v>0.83521115098201426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7.1579123842754208E-2</v>
      </c>
      <c r="L184" s="664">
        <f>IF(ISBLANK(I184),IF(ISNUMBER(J184)=FALSE,K184,J184),I184)</f>
        <v>7.1579123842754208E-2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2.2320038487426459E-12</v>
      </c>
      <c r="L185" s="664">
        <f>IF(ISBLANK(I185),IF(ISNUMBER(J185)=FALSE,K185,J185),I185)</f>
        <v>2.2320038487426459E-12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448027901279.52948</v>
      </c>
      <c r="L187" s="664">
        <f t="shared" ref="L187:L194" si="10">IF(ISBLANK(I187),IF(ISNUMBER(J187)=FALSE,K187,J187),I187)</f>
        <v>448027901279.52948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38396810905.829605</v>
      </c>
      <c r="L188" s="664">
        <f t="shared" si="10"/>
        <v>38396810905.829605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0.99994877197396703</v>
      </c>
      <c r="L189" s="664">
        <f t="shared" si="10"/>
        <v>0.99994877197396703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0.99994877197396703</v>
      </c>
      <c r="L190" s="664">
        <f t="shared" si="10"/>
        <v>0.99994877197396703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7.6861300956135628</v>
      </c>
      <c r="L191" s="664">
        <f t="shared" si="10"/>
        <v>7.6861300956135628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7.6861300956135628</v>
      </c>
      <c r="L192" s="664">
        <f t="shared" si="10"/>
        <v>7.6861300956135628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12.8</v>
      </c>
      <c r="L197" s="664">
        <f>IF(ISBLANK(I197),IF(ISNUMBER(J197)=FALSE,K197,J197),I197)</f>
        <v>12.8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12.8</v>
      </c>
      <c r="L198" s="664">
        <f>IF(ISBLANK(I198),IF(ISNUMBER(J198)=FALSE,K198,J198),I198)</f>
        <v>12.8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2.7215325239033903</v>
      </c>
      <c r="L201" s="664">
        <f t="shared" ref="L201:L208" si="11">IF(ISBLANK(I201),IF(ISNUMBER(J201)=FALSE,K201,J201),I201)</f>
        <v>2.7215325239033903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3.8430650478067814</v>
      </c>
      <c r="L202" s="664">
        <f t="shared" si="11"/>
        <v>3.8430650478067814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2.5058390286845156</v>
      </c>
      <c r="L204" s="664">
        <f t="shared" si="11"/>
        <v>2.5058390286845156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7.9813586471671139E-2</v>
      </c>
      <c r="L205" s="664">
        <f t="shared" si="11"/>
        <v>7.9813586471671139E-2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0.92018641352815067</v>
      </c>
      <c r="L206" s="664">
        <f t="shared" si="11"/>
        <v>0.92018641352815067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1.5372260191227125</v>
      </c>
      <c r="L207" s="664">
        <f t="shared" si="11"/>
        <v>1.5372260191227125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4.9143252258855628E-6</v>
      </c>
      <c r="L212" s="664">
        <f t="shared" ref="L212:L225" si="12">IF(ISBLANK(I212),IF(ISNUMBER(J212)=FALSE,K212,J212),I212)</f>
        <v>4.9143252258855628E-6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3.1708704895485567E-6</v>
      </c>
      <c r="L213" s="664">
        <f t="shared" si="12"/>
        <v>3.1708704895485567E-6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8.6446887106979018E-17</v>
      </c>
      <c r="L214" s="664">
        <f t="shared" si="12"/>
        <v>8.6446887106979018E-17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2.3718379430493608E-14</v>
      </c>
      <c r="L215" s="664">
        <f t="shared" si="12"/>
        <v>2.3718379430493608E-14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7.8295165281209622E-6</v>
      </c>
      <c r="L216" s="664">
        <f t="shared" si="12"/>
        <v>7.8295165281209622E-6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9.0234550564591957E-6</v>
      </c>
      <c r="L217" s="664">
        <f t="shared" si="12"/>
        <v>9.0234550564591957E-6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2.1007288031630026E-6</v>
      </c>
      <c r="L218" s="664">
        <f t="shared" si="12"/>
        <v>2.1007288031630026E-6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5.5175805562711906</v>
      </c>
      <c r="L219" s="664">
        <f t="shared" si="12"/>
        <v>5.5175805562711906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9.067902748247685E-4</v>
      </c>
      <c r="L222" s="664">
        <f t="shared" si="12"/>
        <v>9.067902748247685E-4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1.8914659395282167E-3</v>
      </c>
      <c r="L223" s="664">
        <f t="shared" si="12"/>
        <v>1.8914659395282167E-3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5517.5774708667223</v>
      </c>
      <c r="L224" s="664">
        <f t="shared" si="12"/>
        <v>5517.5774708667223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3.6102551502164307E-4</v>
      </c>
      <c r="L228" s="664">
        <f t="shared" si="13"/>
        <v>3.6102551502164307E-4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9.7659695750429052E-5</v>
      </c>
      <c r="L229" s="664">
        <f>IF(ISBLANK(I229),IF(ISNUMBER(J229)=FALSE,K229,J229),I229)</f>
        <v>9.7659695750429052E-5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8.644688710697902E-15</v>
      </c>
      <c r="L230" s="664">
        <f t="shared" si="13"/>
        <v>8.644688710697902E-15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1.1859189715246805E-15</v>
      </c>
      <c r="L231" s="664">
        <f>IF(ISBLANK(I231),IF(ISNUMBER(J231)=FALSE,K231,J231),I231)</f>
        <v>1.1859189715246805E-15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3.8732601668996416E-3</v>
      </c>
      <c r="L232" s="664">
        <f t="shared" si="13"/>
        <v>3.8732601668996416E-3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4.6776192822663505E-6</v>
      </c>
      <c r="L233" s="664">
        <f t="shared" si="13"/>
        <v>4.6776192822663505E-6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5.8200199506518189E-11</v>
      </c>
      <c r="L236" s="664">
        <f>IF(ISBLANK(I236),IF(ISNUMBER(J236)=FALSE,K236,J236),I236)</f>
        <v>5.8200199506518189E-11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9.66194463022164E-12</v>
      </c>
      <c r="L239" s="664">
        <f t="shared" ref="L239:L245" si="14">IF(ISBLANK(I239),IF(ISNUMBER(J239)=FALSE,K239,J239),I239)</f>
        <v>9.66194463022164E-12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3.4652361152846669E-7</v>
      </c>
      <c r="L240" s="664">
        <f t="shared" si="14"/>
        <v>3.4652361152846669E-7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1.482292419935412E-9</v>
      </c>
      <c r="L241" s="664">
        <f t="shared" si="14"/>
        <v>1.482292419935412E-9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2.750354147072951E-8</v>
      </c>
      <c r="L247" s="664">
        <f>IF(ISBLANK(I247),IF(ISNUMBER(J247)=FALSE,K247,J247),I247)</f>
        <v>2.750354147072951E-8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1.0106419913586115E-8</v>
      </c>
      <c r="L248" s="664">
        <f>IF(ISBLANK(I248),IF(ISNUMBER(J248)=FALSE,K248,J248),I248)</f>
        <v>1.0106419913586115E-8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2.0124792019013467E-8</v>
      </c>
      <c r="L252" s="664">
        <f>IF(ISBLANK(I252),IF(ISNUMBER(J252)=FALSE,K252,J252),I252)</f>
        <v>2.0124792019013467E-8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2.4628381466129294E-7</v>
      </c>
      <c r="L259" s="664">
        <f t="shared" ref="L259:L274" si="15">IF(ISBLANK(I259),IF(ISNUMBER(J259)=FALSE,K259,J259),I259)</f>
        <v>2.4628381466129294E-7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4.6843424434504381E-11</v>
      </c>
      <c r="L260" s="664">
        <f t="shared" si="15"/>
        <v>4.6843424434504381E-11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4.6843424434504381E-11</v>
      </c>
      <c r="L261" s="664">
        <f t="shared" si="15"/>
        <v>4.6843424434504381E-11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6.031418563876915E-11</v>
      </c>
      <c r="L262" s="664">
        <f t="shared" si="15"/>
        <v>6.031418563876915E-11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7.1743887320962765E-10</v>
      </c>
      <c r="L263" s="664">
        <f t="shared" si="15"/>
        <v>7.1743887320962765E-10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2.4591748877946477E-7</v>
      </c>
      <c r="L265" s="664">
        <f t="shared" si="15"/>
        <v>2.4591748877946477E-7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4.6843424434504381E-11</v>
      </c>
      <c r="L268" s="664">
        <f t="shared" si="15"/>
        <v>4.6843424434504381E-11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4.6843424434504381E-11</v>
      </c>
      <c r="L269" s="664">
        <f t="shared" si="15"/>
        <v>4.6843424434504381E-11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5.8200199506518201E-11</v>
      </c>
      <c r="L273" s="664">
        <f t="shared" si="15"/>
        <v>5.8200199506518201E-11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5.8200199506518189E-10</v>
      </c>
      <c r="L274" s="664">
        <f t="shared" si="15"/>
        <v>5.8200199506518189E-10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0.55176159029624605</v>
      </c>
      <c r="L318" s="664">
        <f>IF(ISBLANK(I318),IF(ISNUMBER(J318)=FALSE,K318,J318),I318)</f>
        <v>0.55176159029624605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2.4520700749658307E-2</v>
      </c>
      <c r="L319" s="664">
        <f>IF(ISBLANK(I319),IF(ISNUMBER(J319)=FALSE,K319,J319),I319)</f>
        <v>2.4520700749658307E-2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0.42371770895409566</v>
      </c>
      <c r="L320" s="664">
        <f>IF(ISBLANK(I320),IF(ISNUMBER(J320)=FALSE,K320,J320),I320)</f>
        <v>0.42371770895409566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4.5003737530130299E-10</v>
      </c>
      <c r="L321" s="664">
        <f>IF(ISBLANK(I321),IF(ISNUMBER(J321)=FALSE,K321,J321),I321)</f>
        <v>4.5003737530130299E-10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2222037668.1614351</v>
      </c>
      <c r="L323" s="664">
        <f t="shared" ref="L323:L330" si="18">IF(ISBLANK(I323),IF(ISNUMBER(J323)=FALSE,K323,J323),I323)</f>
        <v>2222037668.1614351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38396810905.829605</v>
      </c>
      <c r="L324" s="664">
        <f t="shared" si="18"/>
        <v>38396810905.829605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0.99994877197396703</v>
      </c>
      <c r="L325" s="664">
        <f t="shared" si="18"/>
        <v>0.99994877197396703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0.99994877197396703</v>
      </c>
      <c r="L326" s="664">
        <f t="shared" si="18"/>
        <v>0.99994877197396703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7.6861300956135628</v>
      </c>
      <c r="L327" s="664">
        <f t="shared" si="18"/>
        <v>7.6861300956135628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7.6861300956135628</v>
      </c>
      <c r="L328" s="664">
        <f t="shared" si="18"/>
        <v>7.6861300956135628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12.8</v>
      </c>
      <c r="L333" s="664">
        <f>IF(ISBLANK(I333),IF(ISNUMBER(J333)=FALSE,K333,J333),I333)</f>
        <v>12.8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12.8</v>
      </c>
      <c r="L334" s="664">
        <f>IF(ISBLANK(I334),IF(ISNUMBER(J334)=FALSE,K334,J334),I334)</f>
        <v>12.8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2.7215325239033903</v>
      </c>
      <c r="L337" s="664">
        <f t="shared" ref="L337:L344" si="19">IF(ISBLANK(I337),IF(ISNUMBER(J337)=FALSE,K337,J337),I337)</f>
        <v>2.7215325239033903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3.8430650478067814</v>
      </c>
      <c r="L338" s="664">
        <f t="shared" si="19"/>
        <v>3.8430650478067814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2.5058390287740764</v>
      </c>
      <c r="L340" s="664">
        <f t="shared" si="19"/>
        <v>2.5058390287740764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7.9813586468818545E-2</v>
      </c>
      <c r="L341" s="664">
        <f t="shared" si="19"/>
        <v>7.9813586468818545E-2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0.92018641349526231</v>
      </c>
      <c r="L342" s="664">
        <f t="shared" si="19"/>
        <v>0.92018641349526231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1.5372260191227125</v>
      </c>
      <c r="L343" s="664">
        <f t="shared" si="19"/>
        <v>1.5372260191227125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6.3396114777620021E-6</v>
      </c>
      <c r="L348" s="664">
        <f t="shared" ref="L348:L361" si="20">IF(ISBLANK(I348),IF(ISNUMBER(J348)=FALSE,K348,J348),I348)</f>
        <v>6.3396114777620021E-6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2.2492260137257923E-6</v>
      </c>
      <c r="L349" s="664">
        <f t="shared" si="20"/>
        <v>2.2492260137257923E-6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1.7430218936559197E-14</v>
      </c>
      <c r="L350" s="664">
        <f t="shared" si="20"/>
        <v>1.7430218936559197E-14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4.7810306376587074E-12</v>
      </c>
      <c r="L351" s="664">
        <f t="shared" si="20"/>
        <v>4.7810306376587074E-12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6.9194724324493268E-6</v>
      </c>
      <c r="L352" s="664">
        <f t="shared" si="20"/>
        <v>6.9194724324493268E-6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1.0923229096045866E-5</v>
      </c>
      <c r="L353" s="664">
        <f t="shared" si="20"/>
        <v>1.0923229096045866E-5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4.4519950733002928E-6</v>
      </c>
      <c r="L354" s="664">
        <f t="shared" si="20"/>
        <v>4.4519950733002928E-6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0.84240407316523302</v>
      </c>
      <c r="L355" s="664">
        <f t="shared" si="20"/>
        <v>0.84240407316523302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4.4823840970375394E-4</v>
      </c>
      <c r="L358" s="664">
        <f t="shared" si="20"/>
        <v>4.4823840970375394E-4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5.8222668446677277E-2</v>
      </c>
      <c r="L359" s="664">
        <f t="shared" si="20"/>
        <v>5.8222668446677277E-2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842.34184674012272</v>
      </c>
      <c r="L360" s="664">
        <f t="shared" si="20"/>
        <v>842.34184674012272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2.1371153929249623E-3</v>
      </c>
      <c r="L364" s="664">
        <f t="shared" si="21"/>
        <v>2.1371153929249623E-3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5.7794761330331329E-4</v>
      </c>
      <c r="L365" s="664">
        <f>IF(ISBLANK(I365),IF(ISNUMBER(J365)=FALSE,K365,J365),I365)</f>
        <v>5.7794761330331329E-4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1.7430218936559196E-12</v>
      </c>
      <c r="L366" s="664">
        <f t="shared" si="21"/>
        <v>1.7430218936559196E-12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2.3905153188293539E-13</v>
      </c>
      <c r="L367" s="664">
        <f>IF(ISBLANK(I367),IF(ISNUMBER(J367)=FALSE,K367,J367),I367)</f>
        <v>2.3905153188293539E-13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3.8732601668996416E-3</v>
      </c>
      <c r="L368" s="664">
        <f t="shared" si="21"/>
        <v>3.8732601668996416E-3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4.6776192822663505E-6</v>
      </c>
      <c r="L369" s="664">
        <f t="shared" si="21"/>
        <v>4.6776192822663505E-6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6.5846009179950351E-10</v>
      </c>
      <c r="L372" s="664">
        <f>IF(ISBLANK(I372),IF(ISNUMBER(J372)=FALSE,K372,J372),I372)</f>
        <v>6.5846009179950351E-10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9.66194463022164E-12</v>
      </c>
      <c r="L375" s="664">
        <f t="shared" ref="L375:L381" si="22">IF(ISBLANK(I375),IF(ISNUMBER(J375)=FALSE,K375,J375),I375)</f>
        <v>9.66194463022164E-12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3.4652361152846669E-7</v>
      </c>
      <c r="L376" s="664">
        <f t="shared" si="22"/>
        <v>3.4652361152846669E-7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1.482292419935412E-9</v>
      </c>
      <c r="L377" s="664">
        <f t="shared" si="22"/>
        <v>1.482292419935412E-9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2.750354147072951E-8</v>
      </c>
      <c r="L383" s="664">
        <f>IF(ISBLANK(I383),IF(ISNUMBER(J383)=FALSE,K383,J383),I383)</f>
        <v>2.750354147072951E-8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1.0106419913586115E-8</v>
      </c>
      <c r="L384" s="664">
        <f>IF(ISBLANK(I384),IF(ISNUMBER(J384)=FALSE,K384,J384),I384)</f>
        <v>1.0106419913586115E-8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1.0454737478179092E-7</v>
      </c>
      <c r="L388" s="664">
        <f>IF(ISBLANK(I388),IF(ISNUMBER(J388)=FALSE,K388,J388),I388)</f>
        <v>1.0454737478179092E-7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1.9350341756746508E-6</v>
      </c>
      <c r="L395" s="664">
        <f t="shared" ref="L395:L410" si="23">IF(ISBLANK(I395),IF(ISNUMBER(J395)=FALSE,K395,J395),I395)</f>
        <v>1.9350341756746508E-6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5.2997284914620253E-10</v>
      </c>
      <c r="L396" s="664">
        <f t="shared" si="23"/>
        <v>5.2997284914620253E-10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5.2997284914620253E-10</v>
      </c>
      <c r="L397" s="664">
        <f t="shared" si="23"/>
        <v>5.2997284914620253E-10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6.6057407793175462E-10</v>
      </c>
      <c r="L398" s="664">
        <f t="shared" si="23"/>
        <v>6.6057407793175462E-10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7.2888726843209816E-9</v>
      </c>
      <c r="L399" s="664">
        <f t="shared" si="23"/>
        <v>7.2888726843209816E-9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1.9346678497928229E-6</v>
      </c>
      <c r="L401" s="664">
        <f t="shared" si="23"/>
        <v>1.9346678497928229E-6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5.2997284914620253E-10</v>
      </c>
      <c r="L404" s="664">
        <f t="shared" si="23"/>
        <v>5.2997284914620253E-10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5.2997284914620253E-10</v>
      </c>
      <c r="L405" s="664">
        <f t="shared" si="23"/>
        <v>5.2997284914620253E-10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6.5846009179950362E-10</v>
      </c>
      <c r="L409" s="664">
        <f t="shared" si="23"/>
        <v>6.5846009179950362E-10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6.5846009179950347E-9</v>
      </c>
      <c r="L410" s="664">
        <f t="shared" si="23"/>
        <v>6.5846009179950347E-9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1.4219637660880982</v>
      </c>
      <c r="E5" s="372">
        <v>0</v>
      </c>
      <c r="F5" s="372">
        <f>E.w1R</f>
        <v>1.4219637660880982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1.4219637660880982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-1.7833245799326521E-5</v>
      </c>
      <c r="E9" s="179">
        <f>k.w0R.aR</f>
        <v>2.832628313446183E-15</v>
      </c>
      <c r="F9" s="179">
        <f>k.w1R.aR</f>
        <v>9.4410422020256369E-14</v>
      </c>
      <c r="G9" s="179">
        <f>k.w2R.aR</f>
        <v>2.8325303446914023E-14</v>
      </c>
      <c r="H9" s="376">
        <v>0</v>
      </c>
      <c r="I9" s="376">
        <v>0</v>
      </c>
      <c r="J9" s="179">
        <f>k.s1R.aR</f>
        <v>7.7708326243272425E-13</v>
      </c>
      <c r="K9" s="179">
        <f>k.s2R.aR</f>
        <v>3.5361502868102846E-13</v>
      </c>
      <c r="L9" s="179">
        <f>k.s3R.aR</f>
        <v>7.7708326243272425E-13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2.042092426847822E-8</v>
      </c>
      <c r="E10" s="378">
        <f>-k.w0R-SUM(E9,E11:E41)</f>
        <v>-2.6125064093270299E-9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4.6921582432191008E-9</v>
      </c>
      <c r="K10" s="689">
        <f>k.s2R.w0R</f>
        <v>2.1351864748154871E-9</v>
      </c>
      <c r="L10" s="689">
        <f>k.s3R.w0R</f>
        <v>4.6921582432191008E-9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2.2463016695326045E-7</v>
      </c>
      <c r="E11" s="179">
        <f>k.w0R.w1R</f>
        <v>2.3972602739726025E-9</v>
      </c>
      <c r="F11" s="378">
        <f>-k.w1R-SUM(F9:F10,F12:F41)</f>
        <v>-8.3262003595482935E-8</v>
      </c>
      <c r="G11" s="376">
        <v>0</v>
      </c>
      <c r="H11" s="179">
        <f>k.sd1R.w1R</f>
        <v>3.6292048071500488E-7</v>
      </c>
      <c r="I11" s="376">
        <v>0</v>
      </c>
      <c r="J11" s="179">
        <f>k.s1R.w1R</f>
        <v>5.1613740675410114E-8</v>
      </c>
      <c r="K11" s="179">
        <f>k.s2R.w1R</f>
        <v>2.3487051222970356E-8</v>
      </c>
      <c r="L11" s="179">
        <f>k.s3R.w1R</f>
        <v>5.1613740675410114E-8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3.573684082509208E-8</v>
      </c>
      <c r="E12" s="179">
        <f>k.w0R.w2R</f>
        <v>0</v>
      </c>
      <c r="F12" s="179">
        <f>k.w1R.w2R</f>
        <v>7.26442507264425E-8</v>
      </c>
      <c r="G12" s="378">
        <f>-k.w2R-SUM(G9:G11,G13:G41)</f>
        <v>-1.3729682996275241E-6</v>
      </c>
      <c r="H12" s="376">
        <v>0</v>
      </c>
      <c r="I12" s="179">
        <f>k.sd2R.w2R</f>
        <v>3.4561143227301247E-7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1.0402439141446337E-8</v>
      </c>
      <c r="G13" s="376">
        <v>0</v>
      </c>
      <c r="H13" s="378">
        <f>-k.sd1R-SUM(H9:H12,H14:H41)</f>
        <v>-3.6608326686512366E-7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2.8985833890664925E-9</v>
      </c>
      <c r="H14" s="376">
        <v>0</v>
      </c>
      <c r="I14" s="378">
        <f>-k.sd2R-SUM(I9:I13,I15:I41)</f>
        <v>-3.4679314340833353E-7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1.8333660620144195E-6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-5.9360078198039415E-8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4.074146804476487E-6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-2.8469337399680212E-8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6.7902446741274783E-7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-5.9360078198039415E-8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-1.1373993746620577E-5</v>
      </c>
      <c r="N18" s="179">
        <f>k.w0C.aC</f>
        <v>2.832628313446183E-15</v>
      </c>
      <c r="O18" s="179">
        <f>k.w1C.aC</f>
        <v>9.4410422020256369E-14</v>
      </c>
      <c r="P18" s="179">
        <f>k.w2C.aC</f>
        <v>1.4162651723457011E-15</v>
      </c>
      <c r="Q18" s="376">
        <v>0</v>
      </c>
      <c r="R18" s="376">
        <v>0</v>
      </c>
      <c r="S18" s="691">
        <f>k.s1C.aC</f>
        <v>7.7708326243272425E-13</v>
      </c>
      <c r="T18" s="691">
        <f>k.s2C.aC</f>
        <v>3.5361502868102846E-13</v>
      </c>
      <c r="U18" s="691">
        <f>k.s3C.aC</f>
        <v>7.7708326243272425E-13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1.0647608174708385E-8</v>
      </c>
      <c r="N19" s="378">
        <f>-k.w0C-SUM(N9:N18,N20:N41)</f>
        <v>-2.6125064093270303E-9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4.6921582432191016E-9</v>
      </c>
      <c r="T19" s="691">
        <f>k.s2C.w0C</f>
        <v>2.1351864748154871E-9</v>
      </c>
      <c r="U19" s="691">
        <f>k.s3C.w0C</f>
        <v>4.6921582432191016E-9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1.1712368992179221E-7</v>
      </c>
      <c r="N20" s="179">
        <f>k.w0C.w1C</f>
        <v>2.3972602739726029E-9</v>
      </c>
      <c r="O20" s="378">
        <f>-k.w1C-SUM(O9:O19,O21:O41)</f>
        <v>-8.3262003595482935E-8</v>
      </c>
      <c r="P20" s="376">
        <v>0</v>
      </c>
      <c r="Q20" s="179">
        <f>k.sd1C.w1C</f>
        <v>3.6294162057623545E-7</v>
      </c>
      <c r="R20" s="376">
        <v>0</v>
      </c>
      <c r="S20" s="691">
        <f>k.s1C.w1C</f>
        <v>5.1613740675410107E-8</v>
      </c>
      <c r="T20" s="691">
        <f>k.s2C.w1C</f>
        <v>2.3487051222970356E-8</v>
      </c>
      <c r="U20" s="691">
        <f>k.s3C.w1C</f>
        <v>5.1613740675410107E-8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4.537091165635125E-6</v>
      </c>
      <c r="N21" s="179">
        <f>k.w0C.w2C</f>
        <v>0</v>
      </c>
      <c r="O21" s="179">
        <f>k.w1C.w2C</f>
        <v>7.2644250726442513E-8</v>
      </c>
      <c r="P21" s="378">
        <f>-k.w2C-SUM(P9:P20,P22:P41)</f>
        <v>-3.2068113958135949E-8</v>
      </c>
      <c r="Q21" s="376">
        <v>0</v>
      </c>
      <c r="R21" s="179">
        <f>k.sd2C.w2C</f>
        <v>3.4561239218126556E-7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1.0402439141446335E-8</v>
      </c>
      <c r="P22" s="376">
        <v>0</v>
      </c>
      <c r="Q22" s="378">
        <f>-k.sd1C-SUM(Q9:Q21,Q23:Q41)</f>
        <v>-3.6608326686512355E-7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1.4492916945332459E-10</v>
      </c>
      <c r="Q23" s="376">
        <v>0</v>
      </c>
      <c r="R23" s="378">
        <f>-k.sd2C-SUM(R9:R22,R24:R41)</f>
        <v>-3.4679314340833342E-7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9.6898755865419947E-7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-5.9360078198039409E-8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2.1533056858982208E-6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-2.8469337399680212E-8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3.5888428098303675E-7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-5.9360078198039409E-8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-1.0901405435262727E-5</v>
      </c>
      <c r="W27" s="179">
        <f>k.w2M.aM</f>
        <v>2.8325303446914022E-15</v>
      </c>
      <c r="X27" s="376">
        <v>0</v>
      </c>
      <c r="Y27" s="376">
        <v>0</v>
      </c>
      <c r="Z27" s="179">
        <f>k.sM.aM</f>
        <v>7.7708326243272425E-13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4.4415670163638715E-6</v>
      </c>
      <c r="W28" s="378">
        <f>-k.w2M-SUM(W9:W27,W29:W41)</f>
        <v>-2.9406964929625865E-7</v>
      </c>
      <c r="X28" s="376">
        <f>k.w3M.w2M</f>
        <v>8.3037289171706622E-9</v>
      </c>
      <c r="Y28" s="179">
        <v>0</v>
      </c>
      <c r="Z28" s="179">
        <f>k.sM.w2M</f>
        <v>5.630589891862921E-8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-9.8177652894092363E-9</v>
      </c>
      <c r="Y29" s="376">
        <f>k.sdM.w3M</f>
        <v>3.4652274158028427E-7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9.66194463022164E-12</v>
      </c>
      <c r="Y30" s="378">
        <f>-k.sdM-SUM(Y9:Y29,Y31:Y41)</f>
        <v>-3.4679314340833348E-7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3.7494898323800317E-6</v>
      </c>
      <c r="W31" s="376">
        <v>0</v>
      </c>
      <c r="X31" s="376">
        <v>0</v>
      </c>
      <c r="Y31" s="376">
        <v>0</v>
      </c>
      <c r="Z31" s="378">
        <f>-k.sM-SUM(Z9:Z30,Z32:Z41)</f>
        <v>-5.9360078198039409E-8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-9.0238213823410237E-6</v>
      </c>
      <c r="AB32" s="179">
        <f>k.w2A.aA</f>
        <v>8.6446887106979018E-17</v>
      </c>
      <c r="AC32" s="376">
        <v>0</v>
      </c>
      <c r="AD32" s="376">
        <v>0</v>
      </c>
      <c r="AE32" s="179">
        <f>k.sA.aA</f>
        <v>2.3718379430493608E-14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4.9143252258855628E-6</v>
      </c>
      <c r="AB33" s="378">
        <f>-k.w2A-SUM(AB9:AB32,AB34:AB41)</f>
        <v>-2.6930808336035651E-7</v>
      </c>
      <c r="AC33" s="376">
        <f>k.w3A.w2A</f>
        <v>8.9753746616491718E-9</v>
      </c>
      <c r="AD33" s="179">
        <v>0</v>
      </c>
      <c r="AE33" s="179">
        <f>k.sA.w2A</f>
        <v>2.0124792019013467E-8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-1.0992664344439388E-8</v>
      </c>
      <c r="AD34" s="376">
        <f>k.sdA.w3A</f>
        <v>3.4652361152846669E-7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9.66194463022164E-12</v>
      </c>
      <c r="AD35" s="378">
        <f>-k.sdA-SUM(AD9:AD34,AD36:AD41)</f>
        <v>-3.4658392571410544E-7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3.1708704895485567E-6</v>
      </c>
      <c r="AB36" s="376">
        <v>0</v>
      </c>
      <c r="AC36" s="376">
        <v>0</v>
      </c>
      <c r="AD36" s="376">
        <v>0</v>
      </c>
      <c r="AE36" s="378">
        <f>-k.sA-SUM(AE9:AE35,AE37:AE41)</f>
        <v>-2.0842254610602524E-8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-1.0923595421927693E-5</v>
      </c>
      <c r="AG37" s="179">
        <f>k.w2T.aT</f>
        <v>1.7430218936559197E-14</v>
      </c>
      <c r="AH37" s="376">
        <v>0</v>
      </c>
      <c r="AI37" s="376">
        <v>0</v>
      </c>
      <c r="AJ37" s="380">
        <f>k.sT.aT</f>
        <v>4.7810306376587074E-12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6.3396114777620021E-6</v>
      </c>
      <c r="AG38" s="378">
        <f>-k.w2T-SUM(AG9:AG37,AG39:AG41)</f>
        <v>-2.4458114609522684E-7</v>
      </c>
      <c r="AH38" s="376">
        <f>k.w3T.w2T</f>
        <v>7.5748144375595357E-9</v>
      </c>
      <c r="AI38" s="179">
        <v>0</v>
      </c>
      <c r="AJ38" s="380">
        <f>k.sT.w2T</f>
        <v>1.0454737478179092E-7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-8.1144492313359607E-9</v>
      </c>
      <c r="AI39" s="376">
        <f>k.sdT.w3T</f>
        <v>3.4652361152846669E-7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9.66194463022164E-12</v>
      </c>
      <c r="AI40" s="378">
        <f>-k.sdT-SUM(AI9:AI39,AI41)</f>
        <v>-3.4718418560639846E-7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2.2492260137257923E-6</v>
      </c>
      <c r="AG41" s="373">
        <v>0</v>
      </c>
      <c r="AH41" s="373">
        <v>0</v>
      </c>
      <c r="AI41" s="373">
        <v>0</v>
      </c>
      <c r="AJ41" s="381">
        <f>-k.sT-SUM(AJ9:AJ40)</f>
        <v>-1.1184102849674956E-7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12503701129.129913</v>
      </c>
      <c r="D45" s="370">
        <f t="array" ref="D45:AJ45">TRANSPOSE(MMULT(MINVERSE(D9:AJ41),-TRANSPOSE(D5:AJ5)))</f>
        <v>80868.09446993297</v>
      </c>
      <c r="E45" s="370">
        <v>57059327.443476774</v>
      </c>
      <c r="F45" s="370">
        <v>43845386.875380956</v>
      </c>
      <c r="G45" s="370">
        <v>2328609.026402995</v>
      </c>
      <c r="H45" s="370">
        <v>1245888.5993616343</v>
      </c>
      <c r="I45" s="370">
        <v>19463.093696793734</v>
      </c>
      <c r="J45" s="370">
        <v>2497652.0314935828</v>
      </c>
      <c r="K45" s="370">
        <v>61519951.45403529</v>
      </c>
      <c r="L45" s="370">
        <v>925056.30796058627</v>
      </c>
      <c r="M45" s="370">
        <v>67073.017677510346</v>
      </c>
      <c r="N45" s="370">
        <v>7114395.8931090068</v>
      </c>
      <c r="O45" s="370">
        <v>3036450.2663019728</v>
      </c>
      <c r="P45" s="370">
        <v>143037811.59143937</v>
      </c>
      <c r="Q45" s="370">
        <v>86282.253137978667</v>
      </c>
      <c r="R45" s="370">
        <v>59777.28114987375</v>
      </c>
      <c r="S45" s="370">
        <v>1094892.7566110813</v>
      </c>
      <c r="T45" s="370">
        <v>5073132.1318689082</v>
      </c>
      <c r="U45" s="370">
        <v>405515.83578188199</v>
      </c>
      <c r="V45" s="370">
        <v>8543.4411539740831</v>
      </c>
      <c r="W45" s="370">
        <v>140324062.96584749</v>
      </c>
      <c r="X45" s="370">
        <v>4104198137.3067074</v>
      </c>
      <c r="Y45" s="370">
        <v>114346.36441881652</v>
      </c>
      <c r="Z45" s="370">
        <v>539647.97070333001</v>
      </c>
      <c r="AA45" s="370">
        <v>359.1310128476826</v>
      </c>
      <c r="AB45" s="370">
        <v>110212992.86147466</v>
      </c>
      <c r="AC45" s="370">
        <v>2702000917.5929599</v>
      </c>
      <c r="AD45" s="370">
        <v>75325.430060845843</v>
      </c>
      <c r="AE45" s="370">
        <v>54636.983944199121</v>
      </c>
      <c r="AF45" s="370">
        <v>514.10052774273208</v>
      </c>
      <c r="AG45" s="370">
        <v>153718644.89224631</v>
      </c>
      <c r="AH45" s="370">
        <v>4962807014.9154072</v>
      </c>
      <c r="AI45" s="370">
        <v>138112.18533712067</v>
      </c>
      <c r="AJ45" s="371">
        <v>10339.034755056078</v>
      </c>
    </row>
    <row r="46" spans="1:36" ht="12.75" customHeight="1" x14ac:dyDescent="0.2">
      <c r="B46" s="255" t="s">
        <v>2410</v>
      </c>
      <c r="C46" s="531">
        <f>SUM(D46:AJ46)</f>
        <v>24612789176.327965</v>
      </c>
      <c r="D46" s="383">
        <f>D45</f>
        <v>80868.09446993297</v>
      </c>
      <c r="E46" s="383"/>
      <c r="F46" s="383">
        <f t="shared" ref="F46:AJ46" si="0">F45</f>
        <v>43845386.875380956</v>
      </c>
      <c r="G46" s="383">
        <f t="shared" si="0"/>
        <v>2328609.026402995</v>
      </c>
      <c r="H46" s="383">
        <f t="shared" si="0"/>
        <v>1245888.5993616343</v>
      </c>
      <c r="I46" s="383">
        <f t="shared" si="0"/>
        <v>19463.093696793734</v>
      </c>
      <c r="J46" s="383">
        <f t="shared" si="0"/>
        <v>2497652.0314935828</v>
      </c>
      <c r="K46" s="383">
        <f t="shared" si="0"/>
        <v>61519951.45403529</v>
      </c>
      <c r="L46" s="383">
        <f t="shared" si="0"/>
        <v>925056.30796058627</v>
      </c>
      <c r="M46" s="383">
        <f t="shared" si="0"/>
        <v>67073.017677510346</v>
      </c>
      <c r="N46" s="383"/>
      <c r="O46" s="383">
        <f t="shared" si="0"/>
        <v>3036450.2663019728</v>
      </c>
      <c r="P46" s="383">
        <f t="shared" si="0"/>
        <v>143037811.59143937</v>
      </c>
      <c r="Q46" s="383">
        <f t="shared" si="0"/>
        <v>86282.253137978667</v>
      </c>
      <c r="R46" s="383">
        <f t="shared" si="0"/>
        <v>59777.28114987375</v>
      </c>
      <c r="S46" s="383">
        <f t="shared" si="0"/>
        <v>1094892.7566110813</v>
      </c>
      <c r="T46" s="383">
        <f t="shared" si="0"/>
        <v>5073132.1318689082</v>
      </c>
      <c r="U46" s="383">
        <f t="shared" si="0"/>
        <v>405515.83578188199</v>
      </c>
      <c r="V46" s="383">
        <f t="shared" si="0"/>
        <v>8543.4411539740831</v>
      </c>
      <c r="W46" s="383">
        <f>SUM(W45:X45)</f>
        <v>4244522200.2725549</v>
      </c>
      <c r="X46" s="383">
        <f>SUM(W45:X45)</f>
        <v>4244522200.2725549</v>
      </c>
      <c r="Y46" s="383">
        <f t="shared" si="0"/>
        <v>114346.36441881652</v>
      </c>
      <c r="Z46" s="383">
        <f t="shared" si="0"/>
        <v>539647.97070333001</v>
      </c>
      <c r="AA46" s="383">
        <f t="shared" si="0"/>
        <v>359.1310128476826</v>
      </c>
      <c r="AB46" s="383">
        <f>SUM(AB45:AC45)</f>
        <v>2812213910.4544344</v>
      </c>
      <c r="AC46" s="383">
        <f>SUM(AB45:AC45)</f>
        <v>2812213910.4544344</v>
      </c>
      <c r="AD46" s="383">
        <f t="shared" si="0"/>
        <v>75325.430060845843</v>
      </c>
      <c r="AE46" s="383">
        <f t="shared" si="0"/>
        <v>54636.983944199121</v>
      </c>
      <c r="AF46" s="383">
        <f t="shared" si="0"/>
        <v>514.10052774273208</v>
      </c>
      <c r="AG46" s="383">
        <f>SUM(AG45:AH45)</f>
        <v>5116525659.8076534</v>
      </c>
      <c r="AH46" s="383">
        <f>SUM(AG45:AH45)</f>
        <v>5116525659.8076534</v>
      </c>
      <c r="AI46" s="383">
        <f t="shared" si="0"/>
        <v>138112.18533712067</v>
      </c>
      <c r="AJ46" s="384">
        <f t="shared" si="0"/>
        <v>10339.034755056078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 t="str">
        <f>IF(D49&gt;0.0001,LOG(D46/D47),"")</f>
        <v/>
      </c>
      <c r="E48" s="515" t="e">
        <f t="shared" ref="E48:AJ48" si="1">IF(E49&gt;0.0001,LOG(E46/E47),"")</f>
        <v>#DIV/0!</v>
      </c>
      <c r="F48" s="515">
        <f t="shared" si="1"/>
        <v>1.5654970484556714</v>
      </c>
      <c r="G48" s="515">
        <f t="shared" si="1"/>
        <v>1.7574353064192403</v>
      </c>
      <c r="H48" s="515" t="str">
        <f t="shared" si="1"/>
        <v/>
      </c>
      <c r="I48" s="515" t="str">
        <f t="shared" si="1"/>
        <v/>
      </c>
      <c r="J48" s="515">
        <f t="shared" si="1"/>
        <v>3.0414223745781173</v>
      </c>
      <c r="K48" s="515">
        <f t="shared" si="1"/>
        <v>0.47481722298797879</v>
      </c>
      <c r="L48" s="515" t="str">
        <f t="shared" si="1"/>
        <v/>
      </c>
      <c r="M48" s="515" t="str">
        <f t="shared" si="1"/>
        <v/>
      </c>
      <c r="N48" s="515" t="e">
        <f t="shared" si="1"/>
        <v>#DIV/0!</v>
      </c>
      <c r="O48" s="515">
        <f t="shared" si="1"/>
        <v>2.9640824576011138</v>
      </c>
      <c r="P48" s="515">
        <f t="shared" si="1"/>
        <v>1.9253427535226069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2.1077277409301129</v>
      </c>
      <c r="U48" s="515" t="str">
        <f t="shared" si="1"/>
        <v/>
      </c>
      <c r="V48" s="515" t="str">
        <f t="shared" si="1"/>
        <v/>
      </c>
      <c r="W48" s="515">
        <f t="shared" si="1"/>
        <v>2.9781248685776456</v>
      </c>
      <c r="X48" s="515">
        <f t="shared" si="1"/>
        <v>2.9781248685776456</v>
      </c>
      <c r="Y48" s="515" t="str">
        <f t="shared" si="1"/>
        <v/>
      </c>
      <c r="Z48" s="515" t="str">
        <f t="shared" si="1"/>
        <v/>
      </c>
      <c r="AA48" s="515" t="str">
        <f t="shared" si="1"/>
        <v/>
      </c>
      <c r="AB48" s="515">
        <f t="shared" si="1"/>
        <v>2.1431997679533095</v>
      </c>
      <c r="AC48" s="515">
        <f t="shared" si="1"/>
        <v>2.1431997679533095</v>
      </c>
      <c r="AD48" s="515" t="str">
        <f t="shared" si="1"/>
        <v/>
      </c>
      <c r="AE48" s="515" t="str">
        <f t="shared" si="1"/>
        <v/>
      </c>
      <c r="AF48" s="515" t="str">
        <f t="shared" si="1"/>
        <v/>
      </c>
      <c r="AG48" s="515">
        <f t="shared" si="1"/>
        <v>3.6674980174536898</v>
      </c>
      <c r="AH48" s="515">
        <f t="shared" si="1"/>
        <v>3.6674980174536898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6.4675325837350912E-6</v>
      </c>
      <c r="E49" s="151">
        <f t="shared" si="2"/>
        <v>4.5633950183394476E-3</v>
      </c>
      <c r="F49" s="151">
        <f t="shared" si="2"/>
        <v>3.5065926818447549E-3</v>
      </c>
      <c r="G49" s="151">
        <f t="shared" si="2"/>
        <v>1.8623358014996271E-4</v>
      </c>
      <c r="H49" s="151">
        <f t="shared" si="2"/>
        <v>9.9641585039095636E-5</v>
      </c>
      <c r="I49" s="151">
        <f t="shared" si="2"/>
        <v>1.5565866055011905E-6</v>
      </c>
      <c r="J49" s="151">
        <f t="shared" si="2"/>
        <v>1.9975301758251359E-4</v>
      </c>
      <c r="K49" s="151">
        <f t="shared" si="2"/>
        <v>4.9201393106487528E-3</v>
      </c>
      <c r="L49" s="151">
        <f t="shared" si="2"/>
        <v>7.3982599104634674E-5</v>
      </c>
      <c r="M49" s="151">
        <f t="shared" si="2"/>
        <v>5.3642531107249611E-6</v>
      </c>
      <c r="N49" s="151">
        <f t="shared" si="2"/>
        <v>5.6898320102474103E-4</v>
      </c>
      <c r="O49" s="151">
        <f t="shared" si="2"/>
        <v>2.4284411750917053E-4</v>
      </c>
      <c r="P49" s="151">
        <f t="shared" si="2"/>
        <v>1.1439637761190861E-2</v>
      </c>
      <c r="Q49" s="151">
        <f t="shared" si="2"/>
        <v>6.9005370687377213E-6</v>
      </c>
      <c r="R49" s="151">
        <f t="shared" si="2"/>
        <v>4.7807669531232178E-6</v>
      </c>
      <c r="S49" s="151">
        <f t="shared" si="2"/>
        <v>8.7565493233064098E-5</v>
      </c>
      <c r="T49" s="151">
        <f t="shared" si="2"/>
        <v>4.0573043769016643E-4</v>
      </c>
      <c r="U49" s="151">
        <f t="shared" si="2"/>
        <v>3.2431664160394109E-5</v>
      </c>
      <c r="V49" s="151">
        <f t="shared" si="2"/>
        <v>6.8327298179499835E-7</v>
      </c>
      <c r="W49" s="151">
        <f t="shared" si="2"/>
        <v>1.1222602133294282E-2</v>
      </c>
      <c r="X49" s="151">
        <f t="shared" si="2"/>
        <v>0.32823866269045282</v>
      </c>
      <c r="Y49" s="151">
        <f t="shared" si="2"/>
        <v>9.1450014070172721E-6</v>
      </c>
      <c r="Z49" s="151">
        <f t="shared" si="2"/>
        <v>4.3159058676323475E-5</v>
      </c>
      <c r="AA49" s="151">
        <f t="shared" si="2"/>
        <v>2.8721976728235603E-8</v>
      </c>
      <c r="AB49" s="151">
        <f t="shared" si="2"/>
        <v>8.8144295615568656E-3</v>
      </c>
      <c r="AC49" s="151">
        <f t="shared" si="2"/>
        <v>0.2160960894449164</v>
      </c>
      <c r="AD49" s="151">
        <f t="shared" si="2"/>
        <v>6.0242506824927179E-6</v>
      </c>
      <c r="AE49" s="151">
        <f t="shared" si="2"/>
        <v>4.3696649000119779E-6</v>
      </c>
      <c r="AF49" s="151">
        <f t="shared" si="2"/>
        <v>4.1115868208416341E-8</v>
      </c>
      <c r="AG49" s="151">
        <f t="shared" si="2"/>
        <v>1.2293851500827022E-2</v>
      </c>
      <c r="AH49" s="151">
        <f t="shared" si="2"/>
        <v>0.39690704085637007</v>
      </c>
      <c r="AI49" s="151">
        <f t="shared" si="2"/>
        <v>1.1045704300733824E-5</v>
      </c>
      <c r="AJ49" s="253">
        <f t="shared" si="2"/>
        <v>8.268779498391237E-7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3.5225898187887344E-10</v>
      </c>
      <c r="E50" s="179">
        <f t="shared" si="3"/>
        <v>9.985444711637884E-4</v>
      </c>
      <c r="F50" s="179">
        <f t="shared" si="3"/>
        <v>2.3251486846616026E-3</v>
      </c>
      <c r="G50" s="179">
        <f t="shared" si="3"/>
        <v>2.3286090264029922E-4</v>
      </c>
      <c r="H50" s="179">
        <f t="shared" si="3"/>
        <v>6.6070262905290437E-3</v>
      </c>
      <c r="I50" s="179">
        <f t="shared" si="3"/>
        <v>6.4876978989312378E-4</v>
      </c>
      <c r="J50" s="179">
        <f t="shared" si="3"/>
        <v>8.0942932839881527E-4</v>
      </c>
      <c r="K50" s="179">
        <f t="shared" si="3"/>
        <v>2.2429289150674224E-3</v>
      </c>
      <c r="L50" s="179">
        <f t="shared" si="3"/>
        <v>8.0942932839881548E-4</v>
      </c>
      <c r="M50" s="179">
        <f t="shared" si="3"/>
        <v>9.3166673858402401E-12</v>
      </c>
      <c r="N50" s="179">
        <f t="shared" si="3"/>
        <v>8.1637664300243345E-6</v>
      </c>
      <c r="O50" s="179">
        <f t="shared" si="3"/>
        <v>1.055856200323516E-5</v>
      </c>
      <c r="P50" s="179">
        <f t="shared" si="3"/>
        <v>1.9259630850274999E-7</v>
      </c>
      <c r="Q50" s="179">
        <f t="shared" si="3"/>
        <v>3.0002682067494767E-5</v>
      </c>
      <c r="R50" s="179">
        <f t="shared" si="3"/>
        <v>5.3658929079447866E-7</v>
      </c>
      <c r="S50" s="179">
        <f t="shared" si="3"/>
        <v>2.3266462934723444E-5</v>
      </c>
      <c r="T50" s="179">
        <f t="shared" si="3"/>
        <v>1.2127952257965817E-5</v>
      </c>
      <c r="U50" s="179">
        <f t="shared" si="3"/>
        <v>2.3266462934723454E-5</v>
      </c>
      <c r="V50" s="179">
        <f t="shared" si="3"/>
        <v>1.1013679505679922E-13</v>
      </c>
      <c r="W50" s="179">
        <f t="shared" si="3"/>
        <v>3.6179432352543174E-8</v>
      </c>
      <c r="X50" s="179">
        <f t="shared" si="3"/>
        <v>3.5272534097557944E-8</v>
      </c>
      <c r="Y50" s="179">
        <f t="shared" si="3"/>
        <v>9.8272205750311324E-8</v>
      </c>
      <c r="Z50" s="179">
        <f t="shared" si="3"/>
        <v>2.7827240513981095E-7</v>
      </c>
      <c r="AA50" s="179">
        <f t="shared" si="3"/>
        <v>8.4501414787690025E-15</v>
      </c>
      <c r="AB50" s="179">
        <f t="shared" si="3"/>
        <v>4.3220781514303788E-8</v>
      </c>
      <c r="AC50" s="179">
        <f t="shared" si="3"/>
        <v>3.5320273432587712E-8</v>
      </c>
      <c r="AD50" s="179">
        <f t="shared" si="3"/>
        <v>9.8464614458622023E-8</v>
      </c>
      <c r="AE50" s="179">
        <f t="shared" si="3"/>
        <v>6.4278804640234254E-8</v>
      </c>
      <c r="AF50" s="179">
        <f t="shared" si="3"/>
        <v>4.0321610019037811E-15</v>
      </c>
      <c r="AG50" s="179">
        <f t="shared" si="3"/>
        <v>1.7223377578963172E-8</v>
      </c>
      <c r="AH50" s="179">
        <f t="shared" si="3"/>
        <v>1.8535226946462773E-8</v>
      </c>
      <c r="AI50" s="179">
        <f t="shared" si="3"/>
        <v>5.1582515532071211E-8</v>
      </c>
      <c r="AJ50" s="380">
        <f t="shared" si="3"/>
        <v>5.4060312444737649E-9</v>
      </c>
    </row>
    <row r="51" spans="1:36" ht="12.75" customHeight="1" x14ac:dyDescent="0.2">
      <c r="B51" s="141" t="s">
        <v>703</v>
      </c>
      <c r="C51" s="254"/>
      <c r="D51" s="385">
        <f>D50*8.314*TEMP.R</f>
        <v>8.346741349721718E-7</v>
      </c>
      <c r="E51" s="385">
        <f>E50*Kaw.R*8.314*TEMP.R</f>
        <v>1.7303839096416301E-10</v>
      </c>
      <c r="F51" s="385">
        <f>F50*Kaw.R*8.314*TEMP.R</f>
        <v>4.0292645822510297E-10</v>
      </c>
      <c r="G51" s="385">
        <f>G50*Kaw.R*8.314*TEMP.R</f>
        <v>4.0352610299246955E-11</v>
      </c>
      <c r="H51" s="385">
        <f>H50*Kaw.R/Ksdw1.R*8.314*TEMP.R</f>
        <v>4.2069520581530969E-10</v>
      </c>
      <c r="I51" s="385">
        <f>I50*Kaw.R/Ksdw2.R*8.314*TEMP.R</f>
        <v>4.1309710039611222E-11</v>
      </c>
      <c r="J51" s="385">
        <f>J50*Kaw.R/Ks1w.R*8.314*TEMP.R</f>
        <v>5.597586633847582E-11</v>
      </c>
      <c r="K51" s="385">
        <f>K50*Kaw.R/Ks2w.R*8.314*TEMP.R</f>
        <v>1.5510914264111854E-10</v>
      </c>
      <c r="L51" s="385">
        <f>L50*Kaw.R/Ks3w.R*8.314*TEMP.R</f>
        <v>5.5975866338475827E-11</v>
      </c>
      <c r="M51" s="385">
        <f>M50*8.314*TEMP.C</f>
        <v>2.2075750204074591E-8</v>
      </c>
      <c r="N51" s="385">
        <f>N50*Kaw.C*8.314*TEMP.C</f>
        <v>1.4147041499436112E-12</v>
      </c>
      <c r="O51" s="385">
        <f>O50*Kaw.C*8.314*TEMP.C</f>
        <v>1.8296997606984677E-12</v>
      </c>
      <c r="P51" s="385">
        <f>P50*Kaw.C*8.314*TEMP.C</f>
        <v>3.3375133798609703E-14</v>
      </c>
      <c r="Q51" s="385">
        <f>Q50*Kaw.C/Ksdw1.C*8.314*TEMP.C</f>
        <v>1.9103881159802881E-12</v>
      </c>
      <c r="R51" s="385">
        <f>R50*Kaw.C/Ksdw2.C*8.314*TEMP.C</f>
        <v>3.4166738893209181E-14</v>
      </c>
      <c r="S51" s="385">
        <f>S50*Kaw.C/Ks1w.C*8.314*TEMP.C</f>
        <v>1.6089859530781583E-12</v>
      </c>
      <c r="T51" s="385">
        <f>T50*Kaw.C/Ks2w.C*8.314*TEMP.C</f>
        <v>8.3870525904248193E-13</v>
      </c>
      <c r="U51" s="385">
        <f>U50*Kaw.C/Ks3w.C*8.314*TEMP.C</f>
        <v>1.6089859530781589E-12</v>
      </c>
      <c r="V51" s="385">
        <f>V50*8.314*TEMP.M</f>
        <v>2.6096803451913516E-10</v>
      </c>
      <c r="W51" s="385">
        <f>W50*Kaw.M*8.314*TEMP.M</f>
        <v>6.2695562802369903E-15</v>
      </c>
      <c r="X51" s="385">
        <f>X50*Kaw.M*8.314*TEMP.M</f>
        <v>6.1123993189371549E-15</v>
      </c>
      <c r="Y51" s="385">
        <f>Y50*Kaw.M/Ksdw.M*8.314*TEMP.M</f>
        <v>6.2573757097523607E-15</v>
      </c>
      <c r="Z51" s="372">
        <f>Z50*Kaw.M/Kslw.M*8.314*TEMP.M</f>
        <v>1.9243852933529368E-14</v>
      </c>
      <c r="AA51" s="385">
        <f>AA50*8.314*TEMP.A</f>
        <v>1.8476927254929682E-11</v>
      </c>
      <c r="AB51" s="385">
        <f>AB50*Kaw.A*8.314*TEMP.A</f>
        <v>2.1093727112800106E-16</v>
      </c>
      <c r="AC51" s="385">
        <f>AC50*Kaw.A*8.314*TEMP.A</f>
        <v>1.7237916188302176E-16</v>
      </c>
      <c r="AD51" s="385">
        <f>AD50*Kaw.A/Ksdw.A*8.314*TEMP.A</f>
        <v>1.7657424736966608E-16</v>
      </c>
      <c r="AE51" s="372">
        <f>AE50*Kaw.A/Kslw.A*8.314*TEMP.A</f>
        <v>1.2519164051681716E-16</v>
      </c>
      <c r="AF51" s="385">
        <f>AF50*8.314*TEMP.T</f>
        <v>9.9899691978087542E-12</v>
      </c>
      <c r="AG51" s="385">
        <f>AG50*Kaw.T*8.314*TEMP.T</f>
        <v>1.9204066000543935E-14</v>
      </c>
      <c r="AH51" s="385">
        <f>AH50*Kaw.T*8.314*TEMP.T</f>
        <v>2.0666778045305987E-14</v>
      </c>
      <c r="AI51" s="385">
        <f>AI50*Kaw.T/Ksdw.T*8.314*TEMP.T</f>
        <v>2.113313154008115E-14</v>
      </c>
      <c r="AJ51" s="386">
        <f>AJ50*Kaw.T/Kslw.T*8.314*TEMP.T</f>
        <v>2.4054716876754739E-15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-1.2969596614354668</v>
      </c>
      <c r="E55" s="370">
        <f t="shared" ref="E55:AJ55" si="4">E9*E$45</f>
        <v>1.6162786646258911E-7</v>
      </c>
      <c r="F55" s="370">
        <f t="shared" si="4"/>
        <v>4.1394614785461255E-6</v>
      </c>
      <c r="G55" s="370">
        <f t="shared" si="4"/>
        <v>6.5958557282087855E-8</v>
      </c>
      <c r="H55" s="389">
        <f t="shared" si="4"/>
        <v>0</v>
      </c>
      <c r="I55" s="389">
        <f t="shared" si="4"/>
        <v>0</v>
      </c>
      <c r="J55" s="370">
        <f t="shared" si="4"/>
        <v>1.9408835890547547E-6</v>
      </c>
      <c r="K55" s="370">
        <f t="shared" si="4"/>
        <v>2.1754379397874166E-5</v>
      </c>
      <c r="L55" s="370">
        <f t="shared" si="4"/>
        <v>7.1884577372398323E-7</v>
      </c>
      <c r="M55" s="370">
        <f t="shared" si="4"/>
        <v>2.0148058760711282E-2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1.6514012329066434E-3</v>
      </c>
      <c r="E56" s="378">
        <f>SUM(D56,F56:AJ56)-SUM(E55,E57:E87)</f>
        <v>1.2281638090264752E-2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1.1719378568265548E-2</v>
      </c>
      <c r="K56" s="376">
        <f t="shared" si="6"/>
        <v>0.13135656827596151</v>
      </c>
      <c r="L56" s="376">
        <f t="shared" si="6"/>
        <v>4.3405105808390918E-3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1.8165413561973081E-2</v>
      </c>
      <c r="E57" s="179">
        <f t="shared" ref="E57:E87" si="7">E11*E$45</f>
        <v>0.13678605893984158</v>
      </c>
      <c r="F57" s="378">
        <f>SUM(D57:E57,G57:AJ57)-SUM(F55:F56,F58:F87)</f>
        <v>-1.4125273918636339</v>
      </c>
      <c r="G57" s="376">
        <f t="shared" ref="G57:AJ57" si="8">G11*G$45</f>
        <v>0</v>
      </c>
      <c r="H57" s="179">
        <f t="shared" si="8"/>
        <v>0.45215848939766845</v>
      </c>
      <c r="I57" s="376">
        <f t="shared" si="8"/>
        <v>0</v>
      </c>
      <c r="J57" s="179">
        <f t="shared" si="8"/>
        <v>0.12891316425092103</v>
      </c>
      <c r="K57" s="179">
        <f t="shared" si="8"/>
        <v>1.4449222510355764</v>
      </c>
      <c r="L57" s="179">
        <f t="shared" si="8"/>
        <v>4.7745616389230014E-2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2.8899702199005036E-3</v>
      </c>
      <c r="E58" s="179">
        <f t="shared" si="7"/>
        <v>0</v>
      </c>
      <c r="F58" s="179">
        <f t="shared" ref="F58:F87" si="9">F12*F$45</f>
        <v>3.1851152773730456</v>
      </c>
      <c r="G58" s="378">
        <f>SUM(D58:F58,H58:AJ58)-SUM(G55:G57,G59:G87)</f>
        <v>5.0120016258681233E-4</v>
      </c>
      <c r="H58" s="376">
        <f t="shared" ref="H58:N58" si="10">H12*H$45</f>
        <v>0</v>
      </c>
      <c r="I58" s="179">
        <f t="shared" si="10"/>
        <v>6.7266676890127232E-3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2.3744601958662968E-3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0.45609896860432037</v>
      </c>
      <c r="G59" s="376">
        <f t="shared" ref="G59:G87" si="12">G13*G$45</f>
        <v>0</v>
      </c>
      <c r="H59" s="378">
        <f>SUM(D59:G59,I59:AJ59)-SUM(H55:H58,H60:H87)</f>
        <v>3.9404792066519145E-3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6.7496674435620187E-3</v>
      </c>
      <c r="H60" s="376">
        <f t="shared" ref="H60:H87" si="15">H14*H$45</f>
        <v>0</v>
      </c>
      <c r="I60" s="378">
        <f>SUM(D60:H60,J60:AJ60)-SUM(I55:I59,I61:I87)</f>
        <v>2.2999754549295551E-5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0.14826081990095105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7.6263361981754041E-3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0.32946848866878009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-1.2468320850221555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5.491141477813001E-2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2.82456896228718E-3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0.76178899299019964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0.10367998128414702</v>
      </c>
      <c r="N64" s="179">
        <f>N18*N$45</f>
        <v>2.0152439239885817E-8</v>
      </c>
      <c r="O64" s="179">
        <f>O18*O$45</f>
        <v>2.8667255108508907E-7</v>
      </c>
      <c r="P64" s="179">
        <f t="shared" ref="P64:AJ64" si="25">P18*P$45</f>
        <v>2.0257947088550178E-7</v>
      </c>
      <c r="Q64" s="376">
        <f t="shared" si="25"/>
        <v>0</v>
      </c>
      <c r="R64" s="376">
        <f t="shared" si="25"/>
        <v>0</v>
      </c>
      <c r="S64" s="179">
        <f t="shared" si="25"/>
        <v>8.5082283532129781E-7</v>
      </c>
      <c r="T64" s="179">
        <f t="shared" si="25"/>
        <v>1.793935764313471E-6</v>
      </c>
      <c r="U64" s="179">
        <f t="shared" si="25"/>
        <v>3.1511956863751771E-7</v>
      </c>
      <c r="V64" s="179">
        <f t="shared" si="25"/>
        <v>1.0956213581448352E-3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7.1416721132541922E-4</v>
      </c>
      <c r="N65" s="378">
        <f>SUM(D65:M65,O65:AJ65)-SUM(N55:N64,N66:N87)</f>
        <v>1.5313260689338859E-3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5.1374100733735705E-3</v>
      </c>
      <c r="T65" s="376">
        <f t="shared" si="27"/>
        <v>1.0832083112918351E-2</v>
      </c>
      <c r="U65" s="376">
        <f t="shared" si="27"/>
        <v>1.9027444716198411E-3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7.8558393245796096E-3</v>
      </c>
      <c r="N66" s="179">
        <f t="shared" ref="N66:N87" si="28">N20*N$45</f>
        <v>1.7055058647864059E-2</v>
      </c>
      <c r="O66" s="378">
        <f>SUM(D66:N66,P66:AJ66)-SUM(O55:O65,O67:O87)</f>
        <v>6.5350275294046023E-4</v>
      </c>
      <c r="P66" s="376">
        <f t="shared" ref="P66:AJ66" si="29">P20*P$45</f>
        <v>0</v>
      </c>
      <c r="Q66" s="179">
        <f t="shared" si="29"/>
        <v>3.1315420780866951E-2</v>
      </c>
      <c r="R66" s="376">
        <f t="shared" si="29"/>
        <v>0</v>
      </c>
      <c r="S66" s="179">
        <f t="shared" si="29"/>
        <v>5.6511510807109269E-2</v>
      </c>
      <c r="T66" s="179">
        <f t="shared" si="29"/>
        <v>0.11915291424210185</v>
      </c>
      <c r="U66" s="179">
        <f t="shared" si="29"/>
        <v>2.0930189187818249E-2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3.1898554419131191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0.30431639595712073</v>
      </c>
      <c r="N67" s="179">
        <f t="shared" si="28"/>
        <v>0</v>
      </c>
      <c r="O67" s="179">
        <f t="shared" ref="O67:O87" si="30">O21*O$45</f>
        <v>0.22058065446361366</v>
      </c>
      <c r="P67" s="378">
        <f>SUM(D67:O67,Q67:AJ67)-SUM(P55:P66,P68:P87)</f>
        <v>3.0786866156016224E-2</v>
      </c>
      <c r="Q67" s="376">
        <f t="shared" ref="Q67:AJ67" si="31">Q21*Q$45</f>
        <v>0</v>
      </c>
      <c r="R67" s="179">
        <f t="shared" si="31"/>
        <v>2.0659769136299938E-2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0.85154058096650298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3.1586489101234787E-2</v>
      </c>
      <c r="P68" s="376">
        <f t="shared" ref="P68:P87" si="32">P22*P$45</f>
        <v>0</v>
      </c>
      <c r="Q68" s="378">
        <f>SUM(D68:P68,R68:AJ68)-SUM(Q55:Q67,Q69:Q87)</f>
        <v>2.7106832036783574E-4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2.0730351234368432E-2</v>
      </c>
      <c r="Q69" s="376">
        <f t="shared" ref="Q69:Q87" si="34">Q23*Q$45</f>
        <v>0</v>
      </c>
      <c r="R69" s="378">
        <f>SUM(D69:Q69,S69:AJ69)-SUM(R55:R68,R70:R87)</f>
        <v>7.0582098068493887E-5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6.4992919650900718E-2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3.3431479475825587E-3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0.14442871033533491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1.4441919044550389E-2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2.4071451722555814E-2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1.2382029435490868E-3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9.2680559384298325E-2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1.3206261617825649E-2</v>
      </c>
      <c r="W73" s="179">
        <f t="shared" ref="W73:AJ73" si="43">W27*W$45</f>
        <v>3.9747216644115E-7</v>
      </c>
      <c r="X73" s="376">
        <f t="shared" si="43"/>
        <v>0</v>
      </c>
      <c r="Y73" s="376">
        <f t="shared" si="43"/>
        <v>0</v>
      </c>
      <c r="Z73" s="179">
        <f t="shared" si="43"/>
        <v>4.1935140563934287E-7</v>
      </c>
      <c r="AA73" s="179">
        <f t="shared" si="43"/>
        <v>2.4864143063380723E-4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2.0549819327612048E-4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4.5330609622709348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3.7946266435736981E-2</v>
      </c>
      <c r="W74" s="378">
        <f>SUM(D74:V74,X74:AJ74)-SUM(W55:W73,W75:W87)</f>
        <v>3.020277014120154E-2</v>
      </c>
      <c r="X74" s="376">
        <f t="shared" ref="X74:AJ74" si="45">X28*X$45</f>
        <v>34.080148754551672</v>
      </c>
      <c r="Y74" s="376">
        <f t="shared" si="45"/>
        <v>0</v>
      </c>
      <c r="Z74" s="179">
        <f t="shared" si="45"/>
        <v>3.0385364090065075E-2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2.5835066368444761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34.956389382731537</v>
      </c>
      <c r="X75" s="378">
        <f>SUM(D75:W75,Y75:AJ75)-SUM(X55:X74,X76:X87)</f>
        <v>0.88337060896836306</v>
      </c>
      <c r="Y75" s="376">
        <f t="shared" ref="Y75:AJ75" si="47">Y29*Y$45</f>
        <v>3.9623615688146568E-2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5.2980410148881569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3.9654535154116197E-2</v>
      </c>
      <c r="Y76" s="378">
        <f>SUM(D76:X76,Z76:AJ76)-SUM(Y55:Y75,Y77:Y87)</f>
        <v>3.0919465969628246E-5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3.2033545740362948E-2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1.6477622988922344E-3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3.2407232893258389E-3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8.8448155807300307E-5</v>
      </c>
      <c r="AB78" s="179">
        <f t="shared" ref="AB78:AJ78" si="53">AB32*AB$45</f>
        <v>9.5275701516181841E-9</v>
      </c>
      <c r="AC78" s="376">
        <f t="shared" si="53"/>
        <v>0</v>
      </c>
      <c r="AD78" s="376">
        <f t="shared" si="53"/>
        <v>0</v>
      </c>
      <c r="AE78" s="179">
        <f t="shared" si="53"/>
        <v>1.295900716126302E-9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5.4269148528814757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1.7648865958351987E-3</v>
      </c>
      <c r="AB79" s="378">
        <f>SUM(D79:AA79,AC79:AJ79)-SUM(AB55:AB78,AB80:AB87)</f>
        <v>5.1627540028071905E-3</v>
      </c>
      <c r="AC79" s="376">
        <f t="shared" ref="AC79:AJ79" si="55">AC33*AC$45</f>
        <v>24.251470571516663</v>
      </c>
      <c r="AD79" s="376">
        <f t="shared" si="55"/>
        <v>0</v>
      </c>
      <c r="AE79" s="179">
        <f t="shared" si="55"/>
        <v>1.0995579384231854E-3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29.676087105402019</v>
      </c>
      <c r="AC80" s="378">
        <f>SUM(D80:AB80,AD80:AJ80)-SUM(AC55:AC79,AC81:AC87)</f>
        <v>0.12657097580522603</v>
      </c>
      <c r="AD80" s="376">
        <f t="shared" ref="AD80:AJ80" si="57">AD34*AD$45</f>
        <v>2.6102040064619234E-2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2.6106583256591244E-2</v>
      </c>
      <c r="AD81" s="378">
        <f>SUM(D81:AC81,AE81:AJ81)-SUM(AD55:AD80,AD82:AD87)</f>
        <v>4.5431919720104186E-6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1.1387579305204003E-3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3.9198696196498725E-5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5.6130973903840871E-3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9.9480209091455923E-4</v>
      </c>
      <c r="AG83" s="179">
        <f>AG37*AG$45</f>
        <v>2.6793496351030501E-6</v>
      </c>
      <c r="AH83" s="376">
        <f>AH37*AH$45</f>
        <v>0</v>
      </c>
      <c r="AI83" s="376">
        <f>AI37*AI$45</f>
        <v>0</v>
      </c>
      <c r="AJ83" s="380">
        <f>AJ37*AJ$45</f>
        <v>4.9431241927741299E-8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3.2591976064013269E-3</v>
      </c>
      <c r="AG84" s="378">
        <f>SUM(D84:AF84,AH84:AJ84)-SUM(AG55:AG83,AG85:AG87)</f>
        <v>8.1466708200437665E-2</v>
      </c>
      <c r="AH84" s="376">
        <f>AH38*AH$45</f>
        <v>37.592342227402966</v>
      </c>
      <c r="AI84" s="179">
        <f>AI38*AI$45</f>
        <v>0</v>
      </c>
      <c r="AJ84" s="380">
        <f>AJ38*AJ$45</f>
        <v>1.0809189414188096E-3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5.2908801146336915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34.931706319556241</v>
      </c>
      <c r="AH85" s="378">
        <f>SUM(D85:AG85,AI85:AJ85)-SUM(AH55:AH84,AH86:AH87)</f>
        <v>2.6301529734574913</v>
      </c>
      <c r="AI85" s="376">
        <f>AI39*AI$45</f>
        <v>4.7859133259107997E-2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4.7950366588588207E-2</v>
      </c>
      <c r="AI86" s="378">
        <f>SUM(D86:AH86,AJ86)-SUM(AI55:AI85,AI87)</f>
        <v>9.1233329480210068E-5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1.1563282806691113E-3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7.5359908008373888E-5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4.2658912982642949</v>
      </c>
      <c r="D91" s="179">
        <f t="array" ref="D91:AJ91">D5:AJ5</f>
        <v>1.4219637660880982</v>
      </c>
      <c r="E91" s="179">
        <v>0</v>
      </c>
      <c r="F91" s="179">
        <v>1.4219637660880982</v>
      </c>
      <c r="G91" s="179">
        <v>0</v>
      </c>
      <c r="H91" s="179">
        <v>0</v>
      </c>
      <c r="I91" s="179">
        <v>0</v>
      </c>
      <c r="J91" s="179">
        <v>0</v>
      </c>
      <c r="K91" s="179">
        <v>1.4219637660880982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231.55729072936199</v>
      </c>
      <c r="D92" s="179">
        <f>SUM($D$55:$AJ$55)</f>
        <v>-1.2767828215180927</v>
      </c>
      <c r="E92" s="179">
        <f>SUM($D$56:$AJ$56)</f>
        <v>0.16134949674823754</v>
      </c>
      <c r="F92" s="179">
        <f>SUM($D$57:$AJ$57)</f>
        <v>0.81616360171157665</v>
      </c>
      <c r="G92" s="179">
        <f>SUM($D$58:$AJ$58)</f>
        <v>3.1976075756404119</v>
      </c>
      <c r="H92" s="179">
        <f>SUM($D$59:$AJ$59)</f>
        <v>0.46003944781097228</v>
      </c>
      <c r="I92" s="179">
        <f>SUM($D$60:$AJ$60)</f>
        <v>6.7726671981113143E-3</v>
      </c>
      <c r="J92" s="179">
        <f>SUM($D$61:$AJ$61)</f>
        <v>0.15588715609912646</v>
      </c>
      <c r="K92" s="179">
        <f>SUM($D$62:$AJ$62)</f>
        <v>-0.91736359635337539</v>
      </c>
      <c r="L92" s="179">
        <f>SUM($D$63:$AJ$63)</f>
        <v>5.7735983740417191E-2</v>
      </c>
      <c r="M92" s="179">
        <f>SUM($D$64:$AJ$64)</f>
        <v>0.86656806491512084</v>
      </c>
      <c r="N92" s="179">
        <f>SUM($D$65:$AJ$65)</f>
        <v>2.0117730938171069E-2</v>
      </c>
      <c r="O92" s="179">
        <f>SUM($D$66:$AJ$66)</f>
        <v>0.25347443574328044</v>
      </c>
      <c r="P92" s="179">
        <f>SUM($D$67:$AJ$67)</f>
        <v>4.6177397085926728</v>
      </c>
      <c r="Q92" s="179">
        <f>SUM($D$68:$AJ$68)</f>
        <v>3.1857557421602622E-2</v>
      </c>
      <c r="R92" s="179">
        <f>SUM($D$69:$AJ$69)</f>
        <v>2.0800933332436926E-2</v>
      </c>
      <c r="S92" s="179">
        <f>SUM($D$70:$AJ$70)</f>
        <v>6.8336067598483277E-2</v>
      </c>
      <c r="T92" s="179">
        <f>SUM($D$71:$AJ$71)</f>
        <v>0.1588706293798853</v>
      </c>
      <c r="U92" s="179">
        <f>SUM($D$72:$AJ$72)</f>
        <v>2.5309654666104901E-2</v>
      </c>
      <c r="V92" s="179">
        <f>SUM($D$73:$AJ$73)</f>
        <v>0.10634177744960599</v>
      </c>
      <c r="W92" s="179">
        <f>SUM($D$74:$AJ$74)</f>
        <v>41.295250754334084</v>
      </c>
      <c r="X92" s="179">
        <f>SUM($D$75:$AJ$75)</f>
        <v>41.177424622276206</v>
      </c>
      <c r="Y92" s="179">
        <f>SUM($D$76:$AJ$76)</f>
        <v>3.9685454620085825E-2</v>
      </c>
      <c r="Z92" s="179">
        <f>SUM($D$77:$AJ$77)</f>
        <v>3.3681308039255183E-2</v>
      </c>
      <c r="AA92" s="179">
        <f>SUM($D$78:$AJ$78)</f>
        <v>3.3291822686040071E-3</v>
      </c>
      <c r="AB92" s="179">
        <f>SUM($D$79:$AJ$79)</f>
        <v>29.686412622935205</v>
      </c>
      <c r="AC92" s="179">
        <f>SUM($D$80:$AJ$80)</f>
        <v>29.828760121271863</v>
      </c>
      <c r="AD92" s="179">
        <f>SUM($D$81:$AJ$81)</f>
        <v>2.6111126448563254E-2</v>
      </c>
      <c r="AE92" s="179">
        <f>SUM($D$82:$AJ$82)</f>
        <v>1.177956626716899E-3</v>
      </c>
      <c r="AF92" s="179">
        <f>SUM($D$83:$AJ$83)</f>
        <v>6.6106282621756773E-3</v>
      </c>
      <c r="AG92" s="179">
        <f>SUM($D$84:$AJ$84)</f>
        <v>37.678149052151227</v>
      </c>
      <c r="AH92" s="179">
        <f>SUM($D$85:$AJ$85)</f>
        <v>42.900598540906536</v>
      </c>
      <c r="AI92" s="179">
        <f>SUM($D$86:$AJ$86)</f>
        <v>4.8041599918068417E-2</v>
      </c>
      <c r="AJ92" s="380">
        <f>SUM($D$87:$AJ$87)</f>
        <v>1.2316881886774852E-3</v>
      </c>
    </row>
    <row r="93" spans="2:36" ht="12.75" customHeight="1" x14ac:dyDescent="0.2">
      <c r="B93" s="146" t="s">
        <v>1212</v>
      </c>
      <c r="C93" s="150">
        <f>SUM(D93:AJ93)</f>
        <v>231.55729072936205</v>
      </c>
      <c r="D93" s="179">
        <f t="shared" ref="D93:AJ93" si="61">SUM(D55:D87)</f>
        <v>2.017683991737429E-2</v>
      </c>
      <c r="E93" s="179">
        <f t="shared" si="61"/>
        <v>0.14906785865797278</v>
      </c>
      <c r="F93" s="179">
        <f t="shared" si="61"/>
        <v>2.2286909935752104</v>
      </c>
      <c r="G93" s="179">
        <f t="shared" si="61"/>
        <v>3.1971063754778251</v>
      </c>
      <c r="H93" s="179">
        <f t="shared" si="61"/>
        <v>0.45609896860432037</v>
      </c>
      <c r="I93" s="179">
        <f t="shared" si="61"/>
        <v>6.7496674435620187E-3</v>
      </c>
      <c r="J93" s="179">
        <f t="shared" si="61"/>
        <v>0.14826081990095105</v>
      </c>
      <c r="K93" s="179">
        <f t="shared" si="61"/>
        <v>0.3294684886687802</v>
      </c>
      <c r="L93" s="179">
        <f t="shared" si="61"/>
        <v>5.491141477813001E-2</v>
      </c>
      <c r="M93" s="179">
        <f t="shared" si="61"/>
        <v>0.76288808363097371</v>
      </c>
      <c r="N93" s="179">
        <f t="shared" si="61"/>
        <v>1.8586404869237183E-2</v>
      </c>
      <c r="O93" s="179">
        <f t="shared" si="61"/>
        <v>0.25282093299033997</v>
      </c>
      <c r="P93" s="179">
        <f t="shared" si="61"/>
        <v>4.5869528424366566</v>
      </c>
      <c r="Q93" s="179">
        <f t="shared" si="61"/>
        <v>3.1586489101234787E-2</v>
      </c>
      <c r="R93" s="179">
        <f t="shared" si="61"/>
        <v>2.0730351234368432E-2</v>
      </c>
      <c r="S93" s="179">
        <f t="shared" si="61"/>
        <v>6.4992919650900718E-2</v>
      </c>
      <c r="T93" s="179">
        <f t="shared" si="61"/>
        <v>0.14442871033533491</v>
      </c>
      <c r="U93" s="179">
        <f t="shared" si="61"/>
        <v>2.4071451722555814E-2</v>
      </c>
      <c r="V93" s="179">
        <f t="shared" si="61"/>
        <v>9.3135515831780341E-2</v>
      </c>
      <c r="W93" s="179">
        <f t="shared" si="61"/>
        <v>41.265047984192883</v>
      </c>
      <c r="X93" s="179">
        <f t="shared" si="61"/>
        <v>40.294054013307843</v>
      </c>
      <c r="Y93" s="179">
        <f t="shared" si="61"/>
        <v>3.9654535154116197E-2</v>
      </c>
      <c r="Z93" s="179">
        <f t="shared" si="61"/>
        <v>3.2033545740362948E-2</v>
      </c>
      <c r="AA93" s="179">
        <f t="shared" si="61"/>
        <v>3.2407341127967063E-3</v>
      </c>
      <c r="AB93" s="179">
        <f t="shared" si="61"/>
        <v>29.681249868932397</v>
      </c>
      <c r="AC93" s="179">
        <f t="shared" si="61"/>
        <v>29.702189145466637</v>
      </c>
      <c r="AD93" s="179">
        <f t="shared" si="61"/>
        <v>2.6106583256591244E-2</v>
      </c>
      <c r="AE93" s="179">
        <f t="shared" si="61"/>
        <v>1.1387579305204003E-3</v>
      </c>
      <c r="AF93" s="179">
        <f t="shared" si="61"/>
        <v>5.6158261712611172E-3</v>
      </c>
      <c r="AG93" s="179">
        <f t="shared" si="61"/>
        <v>37.596682343950789</v>
      </c>
      <c r="AH93" s="179">
        <f t="shared" si="61"/>
        <v>40.270445567449045</v>
      </c>
      <c r="AI93" s="179">
        <f t="shared" si="61"/>
        <v>4.7950366588588207E-2</v>
      </c>
      <c r="AJ93" s="380">
        <f t="shared" si="61"/>
        <v>1.1563282806691113E-3</v>
      </c>
    </row>
    <row r="94" spans="2:36" ht="12.75" customHeight="1" x14ac:dyDescent="0.2">
      <c r="B94" s="152" t="s">
        <v>1211</v>
      </c>
      <c r="C94" s="150">
        <f>SUM(D94:AJ94)</f>
        <v>4.2658912982642896</v>
      </c>
      <c r="D94" s="179">
        <f>k.aR*D45</f>
        <v>0.12500410465263137</v>
      </c>
      <c r="E94" s="179">
        <f>k.w0R*E45</f>
        <v>1.2281638090264739E-2</v>
      </c>
      <c r="F94" s="179">
        <f>k.w1R*F45</f>
        <v>9.436374224465147E-3</v>
      </c>
      <c r="G94" s="179">
        <f>k.w2R*G45</f>
        <v>5.0120016258588815E-4</v>
      </c>
      <c r="H94" s="179">
        <f>k.sd1R*H45</f>
        <v>3.9404792066518694E-3</v>
      </c>
      <c r="I94" s="179">
        <f>k.sd2R*I45</f>
        <v>2.2999754549298099E-5</v>
      </c>
      <c r="J94" s="179">
        <f>k.s1R*J45</f>
        <v>7.626336198175444E-3</v>
      </c>
      <c r="K94" s="179">
        <f>k.s2R*K45</f>
        <v>0.1751316810659421</v>
      </c>
      <c r="L94" s="179">
        <f>k.s3R*L45</f>
        <v>2.8245689622872017E-3</v>
      </c>
      <c r="M94" s="179">
        <f>k.aC*M45</f>
        <v>0.10367998128414718</v>
      </c>
      <c r="N94" s="179">
        <f>k.w0C*N45</f>
        <v>1.5313260689338846E-3</v>
      </c>
      <c r="O94" s="179">
        <f>k.w1C*O45</f>
        <v>6.5350275294048961E-4</v>
      </c>
      <c r="P94" s="179">
        <f>k.w2C*P45</f>
        <v>3.0786866156015703E-2</v>
      </c>
      <c r="Q94" s="179">
        <f>k.sd1C*Q45</f>
        <v>2.7106832036783487E-4</v>
      </c>
      <c r="R94" s="179">
        <f>k.sd2C*R45</f>
        <v>7.0582098068495093E-5</v>
      </c>
      <c r="S94" s="179">
        <f>k.s1C*S45</f>
        <v>3.3431479475825609E-3</v>
      </c>
      <c r="T94" s="179">
        <f>k.s2C*T45</f>
        <v>1.4441919044550403E-2</v>
      </c>
      <c r="U94" s="179">
        <f>k.s3C*U45</f>
        <v>1.2382029435490968E-3</v>
      </c>
      <c r="V94" s="179">
        <f>k.aM*V45</f>
        <v>1.3206261617825643E-2</v>
      </c>
      <c r="W94" s="179">
        <f>k.w2M*W45</f>
        <v>3.0202770141209444E-2</v>
      </c>
      <c r="X94" s="179">
        <f>k.w3M*X45</f>
        <v>0.88337060896835462</v>
      </c>
      <c r="Y94" s="179">
        <f>k.sdM*Y45</f>
        <v>3.0919465969628327E-5</v>
      </c>
      <c r="Z94" s="179">
        <f>k.sM*Z45</f>
        <v>1.6477622988922351E-3</v>
      </c>
      <c r="AA94" s="179">
        <f>k.aA*AA45</f>
        <v>8.8448155807301079E-5</v>
      </c>
      <c r="AB94" s="179">
        <f>k.w2A*AB45</f>
        <v>5.1627540028070596E-3</v>
      </c>
      <c r="AC94" s="179">
        <f>k.w3A*AC45</f>
        <v>0.1265709758052273</v>
      </c>
      <c r="AD94" s="179">
        <f>k.sdA*AD45</f>
        <v>4.5431919720099781E-6</v>
      </c>
      <c r="AE94" s="179">
        <f>k.sA*AE45</f>
        <v>3.9198696196498732E-5</v>
      </c>
      <c r="AF94" s="179">
        <f>k.aT*AF45</f>
        <v>9.9480209091456053E-4</v>
      </c>
      <c r="AG94" s="179">
        <f>k.w2T*AG45</f>
        <v>8.1466708200437124E-2</v>
      </c>
      <c r="AH94" s="179">
        <f>k.w3T*AH45</f>
        <v>2.6301529734574789</v>
      </c>
      <c r="AI94" s="179">
        <f>k.sdT*AI45</f>
        <v>9.1233329480208089E-5</v>
      </c>
      <c r="AJ94" s="374">
        <f>k.sT*AJ45</f>
        <v>7.5359908008373522E-5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-2.4980018054066022E-16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2636.3033681827396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172.86503708303562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102131.92593282167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27.503541470729541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701340.30750360247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1066741.0830317119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2454691.0762626086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2.3961775822995107E-2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3.7745130223957403E-2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3.7745130223957403E-2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3.774513022395741E-2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6.1592035833637766E-2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968.80747676831311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63.525670990330411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37529.280771309815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10.106419913586128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257713.70779644593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391983.45913618652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901997.97728756082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7.3015816211560352E-6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7.5762195809660557E-10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9.067902748247685E-4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5.1014161146116597E-4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5.1014161146116597E-4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5.1014161146116597E-4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4.4823840970375394E-4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0.83521115098201426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0.13396161315396571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0.13396161315396571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2.4520700749658307E-2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9.3209725175231531E-2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0.48985838853883401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0.48985838853883401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0.48985838853883401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0.55176159029624605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0.9201864135229435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0.9201864135229435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0.9201864135229435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0.9201864135229435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0.9201864135229435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0.9201864135229435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0.92018641352815067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0.9201864135229435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0.92018641349526231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7.9813586471219486E-2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7.9813586471219486E-2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7.9813586471219486E-2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7.9813586471219486E-2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7.9813586471219486E-2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7.9813586471219486E-2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7.9813586471671139E-2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7.9813586471219486E-2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7.9813586468818545E-2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0.99998335721193932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0.99998335721193932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0.99987192445401252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0.99987192445401252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0.99994877197396703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0.99994877197396703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0.99994877197396703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0.99994877197396703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0.99994877197396703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0.99994877197396703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0.99994877197396703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0.99994877197396703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1660214827.7572939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9206150633.051897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483006758.11739886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1073348351.3719972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178891391.89533284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16534636.452474471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181881000.97721913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7045634263.0738325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19904551501.450737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73589795314.154327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31671234.107960731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70380520.239912719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11730086.706652122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1084192.5773822349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11926118.351204583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1897348.8688493434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22106496208.851734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190737548818.55286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111116.82001753326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2.4628381466129294E-7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1.5457777937268982E-6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1.5457777937268982E-6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1.5457777937268982E-6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1.9350341756746508E-6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3.0534021961477695E-9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5.630589891862921E-8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3.0534021961477695E-9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5.630589891862921E-8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2.8467460868656887E-9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2.5622237697785843E-8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2.8467460868656887E-9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2.562223769778584E-8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3.0534021961477699E-9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5.630589891862921E-8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3.0534021961477699E-9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5.630589891862921E-8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7.1743887320962765E-10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2.0124792019013467E-8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3.1416462888881059E-9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3.1627861501187856E-9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1.1807512270678802E-9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1.1817111353210501E-9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6.031418563876915E-11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2.7040182804920299E-10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6.6057407793175462E-10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3.0534021961477695E-9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5.630589891862921E-8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7.2888726843209808E-9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1.0454737478179092E-7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2.1524330272611406E-10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2.1524330272611406E-10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2.1521931717207951E-10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2.1521931717207951E-10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4.6843424434504381E-11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2.1523585836137233E-10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2.1523585836137233E-10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2.1523585836137233E-10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5.2997284914620253E-10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4.6843424434504381E-11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2.1523585836137233E-10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5.2997284914620253E-10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38396810905.829605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38396810905.829605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38396810905.829605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38396810905.829605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38396810905.829605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448027901279.52948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13673504046.092884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13673504046.092884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13673504046.092884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2222037668.1614351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2.2320038487426459E-12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7.3134142984054159E-11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7.3134142984054159E-11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7.3134142984054159E-11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4.5003737530130299E-10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2.4591748877946477E-7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1.54541146784507E-6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1.54541146784507E-6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1.54541146784507E-6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1.9346678497928229E-6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2.6741789373454676E-9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2.6741789373454676E-9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2.6741789373454676E-9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2.6741789373454676E-9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2.6741789373454676E-9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2.6741789373454676E-9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5.8200199506518189E-10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2.6741789373454681E-10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2.6741789373454681E-10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2.6741789373454681E-10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2.6741789373454681E-10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5.8200199506518201E-11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2.6741789373454681E-10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6.5846009179950362E-10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2.6741789373454676E-9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6.5846009179950347E-9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2.1524330272611406E-10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2.1524330272611406E-10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2.1521931717207951E-10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2.1521931717207951E-10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4.6843424434504381E-11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2.1523585836137233E-10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2.1523585836137233E-10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2.1523585836137233E-10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5.2997284914620253E-10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4.6843424434504381E-11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2.1523585836137233E-10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5.2997284914620253E-10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12.8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12.8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12.8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12.8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12.8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12.8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1.5372260191227125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1.5372260191227125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1.5372260191227125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1.5372260191227125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1.5372260191227125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1.5372260191227125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1.5372260191227125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3.8430650478067814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3.8430650478067814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3.8430650478067814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3.8430650478067814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3.8430650478067814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3.8430650478067814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3.8430650478067814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1.5372260191227125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1.5372260191227125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7.6861300956135628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7.6861300956135628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7.6861300956135628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7.6861300956135628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7.6861300956135628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7.6861300956135628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7.6861300956135628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7.6861300956135628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7.6861300956135628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7.6861300956135628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7.6861300956135628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7.6861300956135628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2.5058390286986958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2.5058390286986958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2.5058390286986958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2.5058390286986958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2.5058390286986958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2.5058390286986958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2.7215325239033903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2.7215325239033903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2.7215325239033903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2.7215325239033903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2.7215325239033903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2.7215325239033903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2.7215325239033903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2.5058390286845156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2.5058390286986958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2.5058390287740764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17.845806660256134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1.1701673135699697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72.184976698028123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4.7332408039004328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6.609558022317084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0.43339530132221105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115.1213464227789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735.41989171849912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1346.9197530983733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5.8200199506518189E-11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2.6741789373454676E-10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2.6741789373454676E-10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2.6741789373454676E-10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6.5846009179950351E-10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3.8732601668996416E-3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3.8732601668996416E-3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3.8732601668996416E-3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3.8732601668996416E-3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3.8732601668996416E-3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4.6776192822663505E-6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4.6776192822663505E-6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4.6776192822663505E-6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4.6776192822663505E-6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4.6776192822663505E-6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5.411935583937301E-8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2.735181206242361E-6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2.735181206242361E-6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2.735181206242361E-6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2.115645602555191E-5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2649.690288267946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173.74283076371958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10717.802526773978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702.7769844699493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981.36677343257213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64.349196579155389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17106.073216161451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109192.8755019698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199946.85427017516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319.74942576391277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20.966288253866367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4129.0929138772444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1.1119410229081219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28354.496084157079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43127.288618694976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99240.736294549773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3.656863691349959E-2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2.3978419374723454E-3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0.14791744938929716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9.699094452674719E-3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1.3543939597592435E-2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8.880896064712389E-4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2.0160622515919567E-2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1.5069816406289023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9.1437210945222809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2.4685222700358105E-3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1.6186346340109852E-4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2.7150719103344961E-2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1.7802996882965248E-3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0.2204395621227965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1.05183465072805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10.986136061175941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2.8325303446914051E-4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155.56470400879081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2024-07-23T11:09:17Z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