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84A85887-D700-485B-B960-59B978E89016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I17" i="18"/>
  <c r="P6" i="2" l="1"/>
  <c r="U6" i="2"/>
  <c r="G6" i="2"/>
  <c r="BN12" i="23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K96" i="8"/>
  <c r="L96" i="8" s="1"/>
  <c r="J42" i="3"/>
  <c r="I53" i="3"/>
  <c r="I60" i="3"/>
  <c r="I52" i="3"/>
  <c r="J54" i="3"/>
  <c r="I62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0" i="22" l="1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K17" i="3" s="1"/>
  <c r="L17" i="3" s="1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L37" i="3" s="1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K75" i="3"/>
  <c r="K74" i="3"/>
  <c r="L74" i="3" s="1"/>
  <c r="L75" i="3"/>
  <c r="K211" i="6" s="1"/>
  <c r="L211" i="6" s="1"/>
  <c r="L652" i="18"/>
  <c r="P445" i="18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M222" i="18"/>
  <c r="N650" i="18"/>
  <c r="M652" i="18"/>
  <c r="M445" i="18"/>
  <c r="P222" i="18"/>
  <c r="P447" i="18"/>
  <c r="N220" i="18"/>
  <c r="P922" i="18"/>
  <c r="N222" i="18"/>
  <c r="L786" i="18"/>
  <c r="N652" i="18"/>
  <c r="N447" i="18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l="1"/>
  <c r="L19" i="3" s="1"/>
  <c r="K62" i="8"/>
  <c r="L62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K88" i="7"/>
  <c r="L88" i="7" s="1"/>
  <c r="K197" i="8"/>
  <c r="L197" i="8" s="1"/>
  <c r="B605" i="22"/>
  <c r="B617" i="22"/>
  <c r="K94" i="7"/>
  <c r="L94" i="7" s="1"/>
  <c r="K66" i="8"/>
  <c r="L66" i="8" s="1"/>
  <c r="B625" i="22"/>
  <c r="K91" i="7"/>
  <c r="L91" i="7" s="1"/>
  <c r="K99" i="7"/>
  <c r="L99" i="7" s="1"/>
  <c r="B629" i="22"/>
  <c r="B615" i="22"/>
  <c r="B639" i="22"/>
  <c r="K191" i="8"/>
  <c r="L191" i="8" s="1"/>
  <c r="B638" i="22"/>
  <c r="K328" i="8"/>
  <c r="L328" i="8" s="1"/>
  <c r="K79" i="7"/>
  <c r="L79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93" i="6"/>
  <c r="L93" i="6" s="1"/>
  <c r="K343" i="8"/>
  <c r="L343" i="8" s="1"/>
  <c r="B630" i="22"/>
  <c r="K79" i="6"/>
  <c r="L79" i="6" s="1"/>
  <c r="K55" i="8"/>
  <c r="L55" i="8" s="1"/>
  <c r="B635" i="22"/>
  <c r="B641" i="22"/>
  <c r="K73" i="7"/>
  <c r="L73" i="7" s="1"/>
  <c r="B631" i="22"/>
  <c r="B622" i="22"/>
  <c r="B642" i="22"/>
  <c r="B560" i="22"/>
  <c r="B569" i="22"/>
  <c r="K410" i="8"/>
  <c r="L410" i="8" s="1"/>
  <c r="K215" i="7"/>
  <c r="L215" i="7" s="1"/>
  <c r="P788" i="18"/>
  <c r="B559" i="22"/>
  <c r="B555" i="22"/>
  <c r="B556" i="22"/>
  <c r="K138" i="8"/>
  <c r="L138" i="8" s="1"/>
  <c r="K82" i="6"/>
  <c r="L82" i="6" s="1"/>
  <c r="K70" i="6"/>
  <c r="L70" i="6" s="1"/>
  <c r="I8" i="16"/>
  <c r="AC13" i="23"/>
  <c r="AS28" i="23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78" i="6" l="1"/>
  <c r="L78" i="6" s="1"/>
  <c r="K153" i="6"/>
  <c r="L153" i="6" s="1"/>
  <c r="B578" i="22"/>
  <c r="K164" i="6"/>
  <c r="L164" i="6" s="1"/>
  <c r="B5" i="22"/>
  <c r="K202" i="6"/>
  <c r="L202" i="6" s="1"/>
  <c r="K190" i="6" s="1"/>
  <c r="L190" i="6" s="1"/>
  <c r="B513" i="22"/>
  <c r="B760" i="22"/>
  <c r="K170" i="7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AI48" i="11" l="1"/>
  <c r="Z48" i="11"/>
  <c r="S48" i="11"/>
  <c r="R48" i="11"/>
  <c r="AD48" i="11"/>
  <c r="H48" i="11"/>
  <c r="Y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L33" i="23" s="1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L27" i="23"/>
  <c r="BH150" i="23" s="1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O38" i="23" l="1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D95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<sst xmlns="http://schemas.openxmlformats.org/spreadsheetml/2006/main" count="14981" uniqueCount="4056">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</sst>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81" formatCode="0.000000E+00_)"/>
    <numFmt numFmtId="182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2" fontId="0" fillId="2" borderId="11" xfId="8" applyNumberFormat="1" applyFont="1" applyFill="1" applyBorder="1" applyAlignment="1" applyProtection="1">
      <alignment horizontal="right"/>
    </xf>
    <xf numFmtId="181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1" zoomScaleNormal="100" workbookViewId="0">
      <selection activeCell="I7" sqref="I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1.955784278052216E-26</v>
      </c>
      <c r="AY8" s="75"/>
      <c r="AZ8" s="295">
        <f>output!AF12</f>
        <v>7.2658870474780106E-6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5.9329786864386301E-3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19834.490020791491</v>
      </c>
      <c r="D11" s="117">
        <f>C11/$C$51</f>
        <v>2.497484951357436E-6</v>
      </c>
      <c r="E11" s="517">
        <f>M.aC*Molweight</f>
        <v>19750.924346705742</v>
      </c>
      <c r="F11" s="117">
        <f>E11/$E$51</f>
        <v>6.3025139280491744E-6</v>
      </c>
      <c r="G11" s="517">
        <f>M.aM*Molweight</f>
        <v>3028.2530806924142</v>
      </c>
      <c r="H11" s="117">
        <f>G11/$G$51</f>
        <v>1.2020956951037039E-8</v>
      </c>
      <c r="I11" s="517">
        <f>M.aA*Molweight</f>
        <v>131.88773784778036</v>
      </c>
      <c r="J11" s="117">
        <f>I11/$I$51</f>
        <v>7.9115080126420727E-10</v>
      </c>
      <c r="K11" s="517">
        <f>M.aT*Molweight</f>
        <v>234.41299510630313</v>
      </c>
      <c r="L11" s="118">
        <f>K11/$K$51</f>
        <v>3.7753592347285757E-10</v>
      </c>
      <c r="M11" s="320">
        <f>C.aR*(Molweight*1000)</f>
        <v>8.6398440653358399E-8</v>
      </c>
      <c r="N11" s="320">
        <f>C.aC*(Molweight*1000)</f>
        <v>2.7434697151377908E-9</v>
      </c>
      <c r="O11" s="320">
        <f>C.aM*(Molweight*1000)</f>
        <v>3.9038378437615802E-11</v>
      </c>
      <c r="P11" s="320">
        <f>C.aA*(Molweight*1000)</f>
        <v>3.1032408905360086E-12</v>
      </c>
      <c r="Q11" s="321">
        <f>C.aT*(Molweight*1000)</f>
        <v>1.838533294951397E-12</v>
      </c>
      <c r="R11" s="119" t="s">
        <v>1493</v>
      </c>
      <c r="S11" s="323">
        <f>F.aR</f>
        <v>1.6813423221396697E-6</v>
      </c>
      <c r="T11" s="323">
        <f>F.aC</f>
        <v>5.3388830940553909E-8</v>
      </c>
      <c r="U11" s="323">
        <f>F.aM</f>
        <v>7.5969979734022877E-10</v>
      </c>
      <c r="V11" s="323">
        <f>F.aA</f>
        <v>5.5728405657933696E-11</v>
      </c>
      <c r="W11" s="324">
        <f>F.aT</f>
        <v>3.7410468237839379E-11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2.497484951357436E-6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2.1737135841913555E-6</v>
      </c>
      <c r="D12" s="122">
        <f>C12/$C$51</f>
        <v>2.7370590115442301E-16</v>
      </c>
      <c r="E12" s="318">
        <f>FRgas.aC*E11</f>
        <v>2.1645554036310341E-6</v>
      </c>
      <c r="F12" s="122">
        <f>E12/$E$51</f>
        <v>6.9070896834730004E-16</v>
      </c>
      <c r="G12" s="318">
        <f>FRgas.aM*G11</f>
        <v>3.3187416721933679E-7</v>
      </c>
      <c r="H12" s="122">
        <f>G12/$G$51</f>
        <v>1.3174080801703414E-18</v>
      </c>
      <c r="I12" s="318">
        <f>FRgas.aA*I11</f>
        <v>3.5432624311340488E-9</v>
      </c>
      <c r="J12" s="122">
        <f>I12/$I$51</f>
        <v>2.125485626811245E-20</v>
      </c>
      <c r="K12" s="318">
        <f>FRgas.aT*K11</f>
        <v>3.9811981636810629E-8</v>
      </c>
      <c r="L12" s="123">
        <f>K12/$K$51</f>
        <v>6.4119539301657073E-20</v>
      </c>
      <c r="M12" s="320">
        <f>FRgas.aR*M11</f>
        <v>9.4686308498120626E-18</v>
      </c>
      <c r="N12" s="320">
        <f>FRgas.aC*N11</f>
        <v>3.0066401411689192E-19</v>
      </c>
      <c r="O12" s="320">
        <f>FRgas.aM*O11</f>
        <v>4.2783178909916905E-21</v>
      </c>
      <c r="P12" s="320">
        <f>FRgas.aA*P11</f>
        <v>8.3370880732565863E-23</v>
      </c>
      <c r="Q12" s="320">
        <f>FRgas.aT*Q11</f>
        <v>3.1225083636714214E-22</v>
      </c>
      <c r="R12" s="120" t="s">
        <v>1493</v>
      </c>
      <c r="S12" s="325">
        <f>S11*FRgas.aR</f>
        <v>1.8426269803154717E-16</v>
      </c>
      <c r="T12" s="325">
        <f>T11*FRgas.aC</f>
        <v>5.8510214751136188E-18</v>
      </c>
      <c r="U12" s="325">
        <f>U11*FRgas.aM</f>
        <v>8.3257485705698907E-20</v>
      </c>
      <c r="V12" s="325">
        <f>V11*FRgas.aA</f>
        <v>1.4971851768559077E-21</v>
      </c>
      <c r="W12" s="326">
        <f>W11*FRgas.aT</f>
        <v>6.3536787874491883E-21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5.9329786864386301E-3</v>
      </c>
      <c r="AE12" s="325">
        <f>k.aR.aC*M.aR*Molweight</f>
        <v>0.18684372716400222</v>
      </c>
      <c r="AF12" s="325">
        <f>kesc.aR*M.aR*Molweight</f>
        <v>7.2658870474780106E-6</v>
      </c>
      <c r="AG12" s="326">
        <f>KDEG.aR*M.aR*Molweight</f>
        <v>1.955784278052216E-26</v>
      </c>
      <c r="AH12" s="325">
        <f>SUM(AH13:AH15)</f>
        <v>4.6607968608840273E-3</v>
      </c>
      <c r="AI12" s="325">
        <f>SUM(AI13:AI15)</f>
        <v>3.4357456633587801E-17</v>
      </c>
      <c r="AJ12" s="325">
        <f>SUM(AJ18:AJ20)</f>
        <v>0.13151910861215099</v>
      </c>
      <c r="AK12" s="325">
        <f>SUM(AK18:AK20)</f>
        <v>2.5595076070385662E-16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162898.24261491038</v>
      </c>
      <c r="BS12" s="425"/>
      <c r="BT12" s="425">
        <f>engine!F45</f>
        <v>45293316.363353387</v>
      </c>
      <c r="BU12" s="425">
        <f>engine!G45</f>
        <v>2544943.6203051591</v>
      </c>
      <c r="BV12" s="425">
        <f>engine!H45</f>
        <v>1040347524.3717327</v>
      </c>
      <c r="BW12" s="425">
        <f>engine!I45</f>
        <v>17965316.91105707</v>
      </c>
      <c r="BX12" s="425">
        <f>engine!J45</f>
        <v>2530387099.5084152</v>
      </c>
      <c r="BY12" s="425">
        <f>engine!K45</f>
        <v>60522476535.361671</v>
      </c>
      <c r="BZ12" s="425">
        <f>engine!L45</f>
        <v>937180407.2253387</v>
      </c>
      <c r="CA12" s="425">
        <f>engine!M45</f>
        <v>162211.92794600641</v>
      </c>
      <c r="CB12" s="425">
        <f>engine!N45</f>
        <v>21178203.252265774</v>
      </c>
      <c r="CC12" s="425">
        <f>engine!O45</f>
        <v>4393653.0945963217</v>
      </c>
      <c r="CD12" s="425">
        <f>engine!P45</f>
        <v>12497241081.804867</v>
      </c>
      <c r="CE12" s="425">
        <f>engine!Q45</f>
        <v>100918336.01325338</v>
      </c>
      <c r="CF12" s="425">
        <f>engine!R45</f>
        <v>4411038711.3720179</v>
      </c>
      <c r="CG12" s="425">
        <f>engine!S45</f>
        <v>1391591051.6064494</v>
      </c>
      <c r="CH12" s="425">
        <f>engine!T45</f>
        <v>6795727472.6056948</v>
      </c>
      <c r="CI12" s="425">
        <f>engine!U45</f>
        <v>515404093.18757379</v>
      </c>
      <c r="CJ12" s="425">
        <f>engine!V45</f>
        <v>24870.672476120351</v>
      </c>
      <c r="CK12" s="425">
        <f>engine!W45</f>
        <v>65228687366.603485</v>
      </c>
      <c r="CL12" s="611"/>
      <c r="CM12" s="425">
        <f>engine!Y45</f>
        <v>46045892721.239151</v>
      </c>
      <c r="CN12" s="425">
        <f>engine!Z45</f>
        <v>827676349.65877736</v>
      </c>
      <c r="CO12" s="425">
        <f>engine!AA45</f>
        <v>1083.177873257066</v>
      </c>
      <c r="CP12" s="425">
        <f>engine!AB45</f>
        <v>52253224553.341171</v>
      </c>
      <c r="CQ12" s="425"/>
      <c r="CR12" s="425">
        <f>engine!AD45</f>
        <v>30273010346.590469</v>
      </c>
      <c r="CS12" s="425">
        <f>engine!AE45</f>
        <v>59910149.718786389</v>
      </c>
      <c r="CT12" s="425">
        <f>engine!AF45</f>
        <v>1925.205281753475</v>
      </c>
      <c r="CU12" s="425">
        <f>engine!AG45</f>
        <v>150083609709.8862</v>
      </c>
      <c r="CV12" s="425"/>
      <c r="CW12" s="425">
        <f>engine!AI45</f>
        <v>113783009145.9819</v>
      </c>
      <c r="CX12" s="425">
        <f>engine!AJ45</f>
        <v>23361642.725580562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19834.490018617777</v>
      </c>
      <c r="D13" s="122">
        <f>C13/$C$51</f>
        <v>2.49748495108373E-6</v>
      </c>
      <c r="E13" s="318">
        <f>(1-FRgas.aC)*E11</f>
        <v>19750.924344541188</v>
      </c>
      <c r="F13" s="122">
        <f>E13/$E$51</f>
        <v>6.3025139273584656E-6</v>
      </c>
      <c r="G13" s="318">
        <f>(1-FRgas.aM)*G11</f>
        <v>3028.25308036054</v>
      </c>
      <c r="H13" s="122">
        <f>G13/$G$51</f>
        <v>1.2020956949719631E-8</v>
      </c>
      <c r="I13" s="318">
        <f>(1-FRgas.aA)*I11</f>
        <v>131.88773784423711</v>
      </c>
      <c r="J13" s="122">
        <f>I13/$I$51</f>
        <v>7.9115080124295245E-10</v>
      </c>
      <c r="K13" s="318">
        <f>(1-FRgas.aT)*K11</f>
        <v>234.41299506649113</v>
      </c>
      <c r="L13" s="123">
        <f>K13/$K$51</f>
        <v>3.7753592340873804E-10</v>
      </c>
      <c r="M13" s="320">
        <f>(1-FRgas.aR)*M11</f>
        <v>8.6398440643889775E-8</v>
      </c>
      <c r="N13" s="320">
        <f>(1-FRgas.aC)*N11</f>
        <v>2.7434697148371268E-9</v>
      </c>
      <c r="O13" s="320">
        <f>(1-FRgas.aM)*O11</f>
        <v>3.9038378433337488E-11</v>
      </c>
      <c r="P13" s="320">
        <f>(1-FRgas.aA)*P11</f>
        <v>3.1032408904526379E-12</v>
      </c>
      <c r="Q13" s="320">
        <f>(1-FRgas.aT)*Q11</f>
        <v>1.838533294639146E-12</v>
      </c>
      <c r="R13" s="120" t="s">
        <v>1493</v>
      </c>
      <c r="S13" s="325">
        <f>S11*(1-FRgas.aR)</f>
        <v>1.681342321955407E-6</v>
      </c>
      <c r="T13" s="325">
        <f>T11*(1-FRgas.aC)</f>
        <v>5.338883093470289E-8</v>
      </c>
      <c r="U13" s="325">
        <f>U11*(1-FRgas.aM)</f>
        <v>7.5969979725697129E-10</v>
      </c>
      <c r="V13" s="325">
        <f>V11*(1-FRgas.aA)</f>
        <v>5.5728405656436512E-11</v>
      </c>
      <c r="W13" s="326">
        <f>W11*(1-FRgas.aT)</f>
        <v>3.7410468231485701E-11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3.7524420564981127E-2</v>
      </c>
      <c r="AF13" s="330"/>
      <c r="AG13" s="326">
        <f>KDEG.w0R*M.w0R*Molweight</f>
        <v>6.3412489986257763E-14</v>
      </c>
      <c r="AH13" s="325">
        <f>k.aR.w0R*M.aR*Molweight</f>
        <v>3.3896677479358216E-4</v>
      </c>
      <c r="AI13" s="325">
        <f>k.w0R.aR*M.w0R*Molweight</f>
        <v>2.8287873773005835E-18</v>
      </c>
      <c r="AJ13" s="325"/>
      <c r="AK13" s="325"/>
      <c r="AL13" s="631">
        <f>SUM(AL18:AL20)*AREAFRAC.w0R/(AREAFRAC.w0R+AREAFRAC.w1R)</f>
        <v>3.7185453790250962E-2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0.40062680990881444</v>
      </c>
      <c r="AF14" s="330"/>
      <c r="AG14" s="326">
        <f>KDEG.w1R*M.w1R*Molweight</f>
        <v>2.0834866393181215E-14</v>
      </c>
      <c r="AH14" s="325">
        <f>k.aR.w1R*M.aR*Molweight</f>
        <v>3.7286345227294047E-3</v>
      </c>
      <c r="AI14" s="325">
        <f>k.w1R.aR*M.w1R*Molweight</f>
        <v>3.0980966616906546E-17</v>
      </c>
      <c r="AJ14" s="325"/>
      <c r="AK14" s="325"/>
      <c r="AL14" s="631">
        <f>SUM(AL18:AL20)*AREAFRAC.w1R/(AREAFRAC.w0R+AREAFRAC.w1R)</f>
        <v>0.40903999169276062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15653044.007106414</v>
      </c>
      <c r="D15" s="122">
        <f>C15/$C$51</f>
        <v>1.970972876524907E-3</v>
      </c>
      <c r="E15" s="318">
        <f>M.w0C*Molweight</f>
        <v>2578658.0279958807</v>
      </c>
      <c r="F15" s="122">
        <f>E15/$E$51</f>
        <v>8.2284898933505013E-4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2.9590090514721051E-6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2.199218065004368E-22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0.42588677952998866</v>
      </c>
      <c r="AE15" s="325">
        <f>k.w2R.w2C*M.w2R*Molweight</f>
        <v>0.42447999795378183</v>
      </c>
      <c r="AF15" s="330"/>
      <c r="AG15" s="326">
        <f>KDEG.w2R*M.w2R*Molweight</f>
        <v>1.2277765523797218E-15</v>
      </c>
      <c r="AH15" s="325">
        <f>k.aR.w2R*M.aR*Molweight</f>
        <v>5.9319556336104046E-4</v>
      </c>
      <c r="AI15" s="325">
        <f>k.w2R.aR*M.w2R*Molweight</f>
        <v>5.4770263938067281E-19</v>
      </c>
      <c r="AJ15" s="325"/>
      <c r="AK15" s="325"/>
      <c r="AL15" s="631"/>
      <c r="AM15" s="325">
        <f>k.w2R.sd2R*M.w2R*Molweight</f>
        <v>2.2701555391227427E-2</v>
      </c>
      <c r="AN15" s="326">
        <f>k.sd2R.w2R*M.sd2R*Molweight</f>
        <v>2.0701578251660694E-2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15613986.556574339</v>
      </c>
      <c r="D16" s="122">
        <f>C16/$C$51</f>
        <v>1.9660549081355009E-3</v>
      </c>
      <c r="E16" s="318">
        <f>FRw.w0C*E15</f>
        <v>2572223.7645822046</v>
      </c>
      <c r="F16" s="122">
        <f>E16/$E$51</f>
        <v>8.2079581784446146E-4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2.9516257367890718E-6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2.1937305795833753E-22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631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4.917968389406263E-6</v>
      </c>
      <c r="E17" s="318">
        <f>(1-FRw.w0C)*E15</f>
        <v>6434.2634136762426</v>
      </c>
      <c r="F17" s="122">
        <f>E17/$E$51</f>
        <v>2.0531714905887644E-6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1.4758128683945359E-2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5.4874854209928103E-25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1.9999771395578449E-3</v>
      </c>
      <c r="AG17" s="326">
        <f>KDEG.sd2R*M.sd2R*Molweight</f>
        <v>8.8838358984514719E-15</v>
      </c>
      <c r="AH17" s="325"/>
      <c r="AI17" s="325"/>
      <c r="AJ17" s="325"/>
      <c r="AK17" s="325"/>
      <c r="AL17" s="631"/>
      <c r="AM17" s="325">
        <f>k.w2R.sd2R*M.w2R*Molweight</f>
        <v>2.2701555391227427E-2</v>
      </c>
      <c r="AN17" s="326">
        <f>k.sd2R.w2R*M.sd2R*Molweight</f>
        <v>2.0701578251660694E-2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1.9515989607352962E-4</v>
      </c>
      <c r="AG18" s="326">
        <f>KDEG.s1R*M.s1R*Molweight</f>
        <v>1.2512745454412733E-12</v>
      </c>
      <c r="AH18" s="325"/>
      <c r="AI18" s="325"/>
      <c r="AJ18" s="325">
        <f>k.aR.s1R*M.aR*Molweight</f>
        <v>3.6608411675547188E-2</v>
      </c>
      <c r="AK18" s="325">
        <f>k.s1R.aR*M.s1R*Molweight</f>
        <v>2.0886302174562791E-17</v>
      </c>
      <c r="AL18" s="631">
        <f>(k.s1R.w1R+k.s1R.w0R)*M.s1R*Molweight</f>
        <v>3.6413251778222362E-2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5514914.2004019087</v>
      </c>
      <c r="D19" s="122">
        <f>C19/$C$51</f>
        <v>6.9441741174556138E-4</v>
      </c>
      <c r="E19" s="318">
        <f>M.w1C*Molweight</f>
        <v>534971.20079804817</v>
      </c>
      <c r="F19" s="122">
        <f>E19/$E$51</f>
        <v>1.7070914682012085E-4</v>
      </c>
      <c r="G19" s="318"/>
      <c r="H19" s="122"/>
      <c r="I19" s="318"/>
      <c r="J19" s="122"/>
      <c r="K19" s="318"/>
      <c r="L19" s="123"/>
      <c r="M19" s="320">
        <f>C.w1R*Molweight</f>
        <v>2.9245939910467895E-4</v>
      </c>
      <c r="N19" s="320">
        <f>C.w1C*Molweight</f>
        <v>1.8602401153273544E-6</v>
      </c>
      <c r="O19" s="320"/>
      <c r="P19" s="320"/>
      <c r="Q19" s="320"/>
      <c r="R19" s="120" t="s">
        <v>1489</v>
      </c>
      <c r="S19" s="325">
        <f>F.w1R</f>
        <v>2.1736398321301167E-20</v>
      </c>
      <c r="T19" s="325">
        <f>F.w1C</f>
        <v>1.3825823428415739E-22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8.1352025945660392E-2</v>
      </c>
      <c r="AK19" s="325">
        <f>k.s2R.aR*M.s2R*Molweight</f>
        <v>2.2732879105723356E-16</v>
      </c>
      <c r="AL19" s="631">
        <f>(k.s2R.w1R+k.s2R.w0R)*M.s2R*Molweight</f>
        <v>0.39632580415729945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5130145.8725505611</v>
      </c>
      <c r="D20" s="122">
        <f>C20/$C$51</f>
        <v>6.459688200469401E-4</v>
      </c>
      <c r="E20" s="318">
        <f>FRw.w1C*E19</f>
        <v>497646.96203388175</v>
      </c>
      <c r="F20" s="122">
        <f>E20/$E$51</f>
        <v>1.5879899362750702E-4</v>
      </c>
      <c r="G20" s="318"/>
      <c r="H20" s="122"/>
      <c r="I20" s="318"/>
      <c r="J20" s="122"/>
      <c r="K20" s="318"/>
      <c r="L20" s="123"/>
      <c r="M20" s="320">
        <f>M19*FRw.w1R</f>
        <v>2.7205489055408055E-4</v>
      </c>
      <c r="N20" s="320">
        <f>N19*FRw.w1C</f>
        <v>1.7304536032317822E-6</v>
      </c>
      <c r="O20" s="320"/>
      <c r="P20" s="320"/>
      <c r="Q20" s="320"/>
      <c r="R20" s="120" t="s">
        <v>1489</v>
      </c>
      <c r="S20" s="325">
        <f>S19*FRw.w1R</f>
        <v>2.0219878329931509E-20</v>
      </c>
      <c r="T20" s="325">
        <f>T19*FRw.w1C</f>
        <v>1.2861213868156066E-22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7.2281442990196142E-5</v>
      </c>
      <c r="AG20" s="326">
        <f>KDEG.s3R*M.s3R*Molweight</f>
        <v>4.6343501683010112E-13</v>
      </c>
      <c r="AH20" s="325"/>
      <c r="AI20" s="325"/>
      <c r="AJ20" s="325">
        <f>k.aR.s3R*M.aR*Molweight</f>
        <v>1.35586709909434E-2</v>
      </c>
      <c r="AK20" s="325">
        <f>k.s3R.aR*M.s3R*Molweight</f>
        <v>7.7356674720602901E-18</v>
      </c>
      <c r="AL20" s="631">
        <f>(k.s3R.w1R+k.s3R.w0R)*M.s3R*Molweight</f>
        <v>1.3486389547489758E-2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2.0886302174562791E-17</v>
      </c>
      <c r="BE20" s="2"/>
      <c r="BF20" s="296">
        <f>IF(output!AK20&lt;0,"",output!AK20)</f>
        <v>7.7356674720602901E-18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384768.32785134809</v>
      </c>
      <c r="D21" s="122">
        <f>C21/$C$51</f>
        <v>4.8448591698621321E-5</v>
      </c>
      <c r="E21" s="318">
        <f>(1-FRw.w1C)*E19</f>
        <v>37324.238764166417</v>
      </c>
      <c r="F21" s="122">
        <f>E21/$E$51</f>
        <v>1.1910153192613837E-5</v>
      </c>
      <c r="G21" s="318"/>
      <c r="H21" s="122"/>
      <c r="I21" s="318"/>
      <c r="J21" s="122"/>
      <c r="K21" s="318"/>
      <c r="L21" s="123"/>
      <c r="M21" s="320">
        <f>M20*Kp.susp1R</f>
        <v>1.3602744527704027</v>
      </c>
      <c r="N21" s="320">
        <f>N20*Kp.susp1C</f>
        <v>8.6522680161589104E-3</v>
      </c>
      <c r="O21" s="320"/>
      <c r="P21" s="320"/>
      <c r="Q21" s="320"/>
      <c r="R21" s="120" t="s">
        <v>1494</v>
      </c>
      <c r="S21" s="325">
        <f>S19*(1-FRw.w1R)</f>
        <v>1.5165199913696566E-21</v>
      </c>
      <c r="T21" s="325">
        <f>T19*(1-FRw.w1C)</f>
        <v>9.6460956025967388E-24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5.4770263938067281E-19</v>
      </c>
      <c r="AV21" s="75"/>
      <c r="AW21" s="75"/>
      <c r="AX21" s="288">
        <f>IF(output!AI14&lt;0,"",output!AI14)</f>
        <v>3.0980966616906546E-17</v>
      </c>
      <c r="AY21" s="75"/>
      <c r="AZ21" s="75"/>
      <c r="BA21" s="296">
        <f>IF(output!AI13&lt;0,"",output!AI13)</f>
        <v>2.8287873773005835E-18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0.18723207404827041</v>
      </c>
      <c r="AE22" s="325">
        <f>(k.aC.aM+k.aC.aR)*M.aC*Molweight</f>
        <v>3.3224530195435711E-2</v>
      </c>
      <c r="AF22" s="325">
        <f>kesc.aC*M.aC*Molweight</f>
        <v>7.2352747782279855E-6</v>
      </c>
      <c r="AG22" s="326">
        <f>KDEG.aC*M.aC*Molweight</f>
        <v>1.9475442662651513E-26</v>
      </c>
      <c r="AH22" s="325">
        <f>SUM(AH23:AH25)</f>
        <v>8.1671132265277488E-2</v>
      </c>
      <c r="AI22" s="325">
        <f>SUM(AI23:AI25)</f>
        <v>1.3794917112702778E-16</v>
      </c>
      <c r="AJ22" s="325">
        <f>SUM(AJ28:AJ30)</f>
        <v>7.2329176312779186E-2</v>
      </c>
      <c r="AK22" s="325">
        <f>SUM(AK28:AK30)</f>
        <v>4.1266172535880878E-17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3.6608411675547188E-2</v>
      </c>
      <c r="BE22" s="2"/>
      <c r="BF22" s="296">
        <f>IF(output!AJ20&lt;0,"",output!AJ20)</f>
        <v>1.35586709909434E-2</v>
      </c>
      <c r="BG22" s="75"/>
      <c r="BH22" s="296">
        <f>IF(output!AJ19&lt;0,"",output!AJ19)</f>
        <v>8.1352025945660392E-2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126672714.56750219</v>
      </c>
      <c r="D23" s="122">
        <f>C23/$C$51</f>
        <v>1.5950155413540001E-2</v>
      </c>
      <c r="E23" s="318">
        <f>M.sd1C*Molweight</f>
        <v>12287816.592973731</v>
      </c>
      <c r="F23" s="122">
        <f>E23/$E$51</f>
        <v>3.9210385227083106E-3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3.2867749662808267E-3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2.5389108460002331E-22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6.1817144506750576E-3</v>
      </c>
      <c r="AF23" s="330"/>
      <c r="AG23" s="326">
        <f>KDEG.w0C*M.w0C*Molweight</f>
        <v>1.0446474583731764E-14</v>
      </c>
      <c r="AH23" s="325">
        <f>k.aC.w0C*M.aC*Molweight</f>
        <v>1.8641540287767154E-4</v>
      </c>
      <c r="AI23" s="325">
        <f>k.w0C.aC*M.w0C*Molweight</f>
        <v>4.6601001547417245E-19</v>
      </c>
      <c r="AJ23" s="325"/>
      <c r="AK23" s="325"/>
      <c r="AL23" s="631">
        <f>SUM(AL28:AL30)*AREAFRAC.w0C/(AREAFRAC.w1C+AREAFRAC.w0C)</f>
        <v>5.9952990478078314E-3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5.9319556336104046E-4</v>
      </c>
      <c r="AV23" s="75"/>
      <c r="AW23" s="75"/>
      <c r="AX23" s="288">
        <f>IF(output!AH14&lt;0,"",output!AH14)</f>
        <v>3.7286345227294047E-3</v>
      </c>
      <c r="AY23" s="291">
        <f>output!AL14</f>
        <v>0.40903999169276062</v>
      </c>
      <c r="AZ23" s="87"/>
      <c r="BA23" s="296">
        <f>IF(output!AH13&lt;0,"",output!AH13)</f>
        <v>3.3896677479358216E-4</v>
      </c>
      <c r="BB23" s="291">
        <f>output!AL13</f>
        <v>3.7185453790250962E-2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101338171.65400176</v>
      </c>
      <c r="D24" s="122">
        <f>C24/$C$51</f>
        <v>1.2760124330832004E-2</v>
      </c>
      <c r="E24" s="318">
        <f>E23*FRACw.sdC</f>
        <v>9830253.2743789852</v>
      </c>
      <c r="F24" s="122">
        <f>E24/$E$51</f>
        <v>3.1368308181666488E-3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3.4160596867325517E-6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2.0311286768001865E-22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6.1817144506750576E-3</v>
      </c>
      <c r="AE24" s="325">
        <f>(k.w1C.w0C+k.w1C.w1R+k.w1C.w2C)*M.w1C*Molweight</f>
        <v>3.8862582042199438E-2</v>
      </c>
      <c r="AF24" s="330"/>
      <c r="AG24" s="326">
        <f>KDEG.w1C*M.w1C*Molweight</f>
        <v>2.0210746872571049E-15</v>
      </c>
      <c r="AH24" s="325">
        <f>k.aC.w1C*M.aC*Molweight</f>
        <v>2.0505694316543866E-3</v>
      </c>
      <c r="AI24" s="325">
        <f>k.w1C.aC*M.w1C*Molweight</f>
        <v>3.0052915259720424E-18</v>
      </c>
      <c r="AJ24" s="518"/>
      <c r="AK24" s="518"/>
      <c r="AL24" s="631">
        <f>SUM(AL28:AL30)*AREAFRAC.w1C/(AREAFRAC.w1C+AREAFRAC.w0C)</f>
        <v>6.5948289525886133E-2</v>
      </c>
      <c r="AM24" s="325">
        <f>k.w1C.sd1C*M.w1C*Molweight</f>
        <v>0.36455717186399217</v>
      </c>
      <c r="AN24" s="326">
        <f>k.sd1C.w1C*M.sd1C*Molweight</f>
        <v>0.32923918049797807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3.7524420564981127E-2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25334542.913500432</v>
      </c>
      <c r="D25" s="122">
        <f>C25/$C$51</f>
        <v>3.190031082708E-3</v>
      </c>
      <c r="E25" s="318">
        <f>E23*FRACs.sdC</f>
        <v>2457563.3185947458</v>
      </c>
      <c r="F25" s="122">
        <f>E25/$E$51</f>
        <v>7.8420770454166208E-4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8.5401492168313796E-3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5.077821692000465E-23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48.659950889277226</v>
      </c>
      <c r="AE25" s="325">
        <f>(k.w2C.w2M+k.w2C.w2R)*M.w2C*Molweight</f>
        <v>48.248844596239479</v>
      </c>
      <c r="AF25" s="330"/>
      <c r="AG25" s="326">
        <f>KDEG.w2C*M.w2C*Molweight</f>
        <v>6.0291392890805017E-12</v>
      </c>
      <c r="AH25" s="325">
        <f>k.aC.w2C*M.aC*Molweight</f>
        <v>7.9434147430745436E-2</v>
      </c>
      <c r="AI25" s="325">
        <f>k.w2C.aC*M.w2C*Molweight</f>
        <v>1.3447786958558157E-16</v>
      </c>
      <c r="AJ25" s="325"/>
      <c r="AK25" s="325"/>
      <c r="AL25" s="631"/>
      <c r="AM25" s="325">
        <f>k.w2C.sd2C*M.w2C*Molweight</f>
        <v>5.5739311549482862</v>
      </c>
      <c r="AN25" s="326">
        <f>k.sd2C.w2C*M.sd2C*Molweight</f>
        <v>5.0833907144858248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0.40062680990881444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3.5317991365964169E-2</v>
      </c>
      <c r="AG26" s="326">
        <f>KDEG.sd1C*M.sd1C*Molweight</f>
        <v>4.9904042368144136E-14</v>
      </c>
      <c r="AH26" s="325"/>
      <c r="AI26" s="325"/>
      <c r="AJ26" s="325"/>
      <c r="AK26" s="325"/>
      <c r="AL26" s="631"/>
      <c r="AM26" s="325">
        <f>k.w1C.sd1C*M.w1C*Molweight</f>
        <v>0.36455717186399217</v>
      </c>
      <c r="AN26" s="326">
        <f>k.sd1C.w1C*M.sd1C*Molweight</f>
        <v>0.32923918049797807</v>
      </c>
      <c r="AO26" s="329">
        <f>SUM(AC26,AD26,AM26)-SUM(AE26,AF26,AG26,AN26)</f>
        <v>0</v>
      </c>
      <c r="AP26" s="29"/>
      <c r="AQ26" s="438"/>
      <c r="AR26" s="2"/>
      <c r="AS26" s="313">
        <f>output!AE15</f>
        <v>0.42447999795378183</v>
      </c>
      <c r="AT26" s="75"/>
      <c r="AU26" s="285">
        <f>output!AD15</f>
        <v>0.42588677952998866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309872.33520835621</v>
      </c>
      <c r="D27" s="122">
        <f>C27/$C$51</f>
        <v>3.9017967853653656E-5</v>
      </c>
      <c r="E27" s="318">
        <f>M.w2C*Molweight</f>
        <v>1521664074.1205606</v>
      </c>
      <c r="F27" s="122">
        <f>E27/$E$51</f>
        <v>0.4855625414086735</v>
      </c>
      <c r="G27" s="318">
        <f>M.w2M*Molweight</f>
        <v>7942244973.7576408</v>
      </c>
      <c r="H27" s="122">
        <f>G27/$G$51</f>
        <v>3.1527544884822102E-2</v>
      </c>
      <c r="I27" s="318">
        <f>M.w2A*Molweight</f>
        <v>6362352621.6148214</v>
      </c>
      <c r="J27" s="122">
        <f>I27/$I$51</f>
        <v>3.8165643422632331E-2</v>
      </c>
      <c r="K27" s="318">
        <f>M.w2T*Molweight</f>
        <v>18274180318.275745</v>
      </c>
      <c r="L27" s="123">
        <f>K27/$K$51</f>
        <v>2.9431642810762586E-2</v>
      </c>
      <c r="M27" s="320">
        <f>C.w2R*Molweight</f>
        <v>3.0987233520835583E-5</v>
      </c>
      <c r="N27" s="320">
        <f>C.w2C*Molweight</f>
        <v>2.0488770080876616E-6</v>
      </c>
      <c r="O27" s="320">
        <f>C.w2M*Molweight</f>
        <v>2.0477308644157895E-6</v>
      </c>
      <c r="P27" s="320">
        <f>C.w2A*Molweight</f>
        <v>2.4950402437705181E-6</v>
      </c>
      <c r="Q27" s="320">
        <f>C.w2T*Molweight</f>
        <v>2.0475272065294952E-6</v>
      </c>
      <c r="R27" s="120" t="s">
        <v>1489</v>
      </c>
      <c r="S27" s="325">
        <f>F.w2R</f>
        <v>2.303057630378896E-21</v>
      </c>
      <c r="T27" s="325">
        <f>F.w2C</f>
        <v>1.5227825433371993E-22</v>
      </c>
      <c r="U27" s="325">
        <f>F.w2M</f>
        <v>1.5219306973899834E-22</v>
      </c>
      <c r="V27" s="325">
        <f>F.w2A</f>
        <v>2.6882961026338747E-23</v>
      </c>
      <c r="W27" s="326">
        <f>F.w2T</f>
        <v>4.1663075526738617E-22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0.49054044046028</v>
      </c>
      <c r="AG27" s="326">
        <f>KDEG.sd2C*M.sd2C*Molweight</f>
        <v>2.1812553737600677E-12</v>
      </c>
      <c r="AH27" s="325"/>
      <c r="AI27" s="325"/>
      <c r="AJ27" s="325"/>
      <c r="AK27" s="325"/>
      <c r="AL27" s="631"/>
      <c r="AM27" s="325">
        <f>k.w2C.sd2C*M.w2C*Molweight</f>
        <v>5.5739311549482862</v>
      </c>
      <c r="AN27" s="326">
        <f>k.sd2C.w2C*M.sd2C*Molweight</f>
        <v>5.0833907144858248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1.970972876524907E-3</v>
      </c>
      <c r="BC27" s="86"/>
      <c r="BD27" s="295">
        <f>output!AG18</f>
        <v>1.2512745454412733E-12</v>
      </c>
      <c r="BE27" s="75"/>
      <c r="BF27" s="295">
        <f>output!AG19</f>
        <v>2.9928319793630438E-11</v>
      </c>
      <c r="BG27" s="75"/>
      <c r="BH27" s="256">
        <f>output!AG20</f>
        <v>4.6343501683010112E-13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302314.0486596353</v>
      </c>
      <c r="D28" s="122">
        <f>C28/$C$51</f>
        <v>3.8066256622677194E-5</v>
      </c>
      <c r="E28" s="318">
        <f>FRw.w2C*E27</f>
        <v>1484548230.6059599</v>
      </c>
      <c r="F28" s="122">
        <f>E28/$E$51</f>
        <v>0.47371888707656218</v>
      </c>
      <c r="G28" s="318">
        <f>FRw.w2M*G27</f>
        <v>7748520795.9879961</v>
      </c>
      <c r="H28" s="122">
        <f>G28/$G$51</f>
        <v>3.0758537163442533E-2</v>
      </c>
      <c r="I28" s="318">
        <f>FRw.w2A*I27</f>
        <v>6207164569.0710669</v>
      </c>
      <c r="J28" s="122">
        <f>I28/$I$51</f>
        <v>3.7234721760617567E-2</v>
      </c>
      <c r="K28" s="318">
        <f>FRw.w2T*K27</f>
        <v>17828443556.406857</v>
      </c>
      <c r="L28" s="123">
        <f>K28/$K$51</f>
        <v>2.8713757524830984E-2</v>
      </c>
      <c r="M28" s="320">
        <f>M27*FRw.w2R</f>
        <v>3.0231404865963494E-5</v>
      </c>
      <c r="N28" s="320">
        <f>N27*FRw.w2C</f>
        <v>1.9989015899213391E-6</v>
      </c>
      <c r="O28" s="320">
        <f>O27*FRw.w2M</f>
        <v>1.9977834025440881E-6</v>
      </c>
      <c r="P28" s="320">
        <f>P27*FRw.w2A</f>
        <v>2.4341821839494377E-6</v>
      </c>
      <c r="Q28" s="320">
        <f>Q27*FRw.w2T</f>
        <v>1.9975847122024487E-6</v>
      </c>
      <c r="R28" s="120" t="s">
        <v>1489</v>
      </c>
      <c r="S28" s="325">
        <f>S27*FRw.w2R</f>
        <v>2.2468823364569093E-21</v>
      </c>
      <c r="T28" s="325">
        <f>T27*FRw.w2C</f>
        <v>1.4856394185526214E-22</v>
      </c>
      <c r="U28" s="325">
        <f>U27*FRw.w2M</f>
        <v>1.4848083505033746E-22</v>
      </c>
      <c r="V28" s="325">
        <f>V27*FRw.w2A</f>
        <v>2.6227242204009737E-23</v>
      </c>
      <c r="W28" s="326">
        <f>W27*FRw.w2T</f>
        <v>4.0646845849054249E-22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1.0732854473575585E-4</v>
      </c>
      <c r="AG28" s="326">
        <f>KDEG.s1C*M.s1C*Molweight</f>
        <v>6.8814074371359341E-13</v>
      </c>
      <c r="AH28" s="325"/>
      <c r="AI28" s="325"/>
      <c r="AJ28" s="325">
        <f>k.aC.s1C*M.aC*Molweight</f>
        <v>2.0132863509742662E-2</v>
      </c>
      <c r="AK28" s="325">
        <f>k.s1C.aC*M.s1C*Molweight</f>
        <v>1.1486460396876223E-17</v>
      </c>
      <c r="AL28" s="631">
        <f>(k.s1C.w1C+k.s1C.w0C)*M.s1C*Molweight</f>
        <v>2.0025534964318744E-2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7558.2865487208846</v>
      </c>
      <c r="D29" s="122">
        <f>C29/$C$51</f>
        <v>9.5171123097645789E-7</v>
      </c>
      <c r="E29" s="318">
        <f>(1-FRw.w2C)*E27</f>
        <v>37115843.514600739</v>
      </c>
      <c r="F29" s="122">
        <f>E29/$E$51</f>
        <v>1.1843654332111339E-2</v>
      </c>
      <c r="G29" s="318">
        <f>(1-FRw.w2M)*G27</f>
        <v>193724177.76964438</v>
      </c>
      <c r="H29" s="122">
        <f>G29/$G$51</f>
        <v>7.6900772137957168E-4</v>
      </c>
      <c r="I29" s="318">
        <f>(1-FRw.w2A)*I27</f>
        <v>155188052.54375473</v>
      </c>
      <c r="J29" s="122">
        <f>I29/$I$51</f>
        <v>9.3092166201476606E-4</v>
      </c>
      <c r="K29" s="318">
        <f>(1-FRw.w2T)*K27</f>
        <v>445736761.86888862</v>
      </c>
      <c r="L29" s="123">
        <f>K29/$K$51</f>
        <v>7.1788528593160384E-4</v>
      </c>
      <c r="M29" s="320">
        <f>M28*Kp.susp2R</f>
        <v>0.15115702432981748</v>
      </c>
      <c r="N29" s="320">
        <f>N28*Kp.susp2C</f>
        <v>9.9945079496066951E-3</v>
      </c>
      <c r="O29" s="320">
        <f>O28*Kp.susp2M</f>
        <v>9.988917012720441E-3</v>
      </c>
      <c r="P29" s="320">
        <f>P28*Kp.susp2A</f>
        <v>1.2170910919747188E-2</v>
      </c>
      <c r="Q29" s="320">
        <f>Q28*Kp.susp2T</f>
        <v>9.9879235610122429E-3</v>
      </c>
      <c r="R29" s="120" t="s">
        <v>1494</v>
      </c>
      <c r="S29" s="325">
        <f>S27*(1-FRw.w2R)</f>
        <v>5.6175293921986728E-23</v>
      </c>
      <c r="T29" s="325">
        <f>T27*(1-FRw.w2C)</f>
        <v>3.7143124784577914E-24</v>
      </c>
      <c r="U29" s="325">
        <f>U27*(1-FRw.w2M)</f>
        <v>3.7122346886608754E-24</v>
      </c>
      <c r="V29" s="325">
        <f>V27*(1-FRw.w2A)</f>
        <v>6.557188223290113E-25</v>
      </c>
      <c r="W29" s="326">
        <f>W27*(1-FRw.w2T)</f>
        <v>1.0162296776843696E-23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2.3850787718080596E-4</v>
      </c>
      <c r="AG29" s="326">
        <f>KDEG.s2C*M.s2C*Molweight</f>
        <v>3.360482198901277E-12</v>
      </c>
      <c r="AH29" s="325"/>
      <c r="AI29" s="325"/>
      <c r="AJ29" s="325">
        <f>k.aC.s2C*M.aC*Molweight</f>
        <v>4.4739696688317024E-2</v>
      </c>
      <c r="AK29" s="325">
        <f>k.s2C.aC*M.s2C*Molweight</f>
        <v>2.552546754756902E-17</v>
      </c>
      <c r="AL29" s="631">
        <f>(k.s2C.w1C+k.s2C.w0C)*M.s2C*Molweight</f>
        <v>4.4501188807775691E-2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3.9751312865094766E-5</v>
      </c>
      <c r="AG30" s="326">
        <f>KDEG.s3C*M.s3C*Molweight</f>
        <v>2.5486694211614568E-13</v>
      </c>
      <c r="AH30" s="325"/>
      <c r="AI30" s="325"/>
      <c r="AJ30" s="325">
        <f>k.aC.s3C*M.aC*Molweight</f>
        <v>7.4566161147195031E-3</v>
      </c>
      <c r="AK30" s="325">
        <f>k.s3C.aC*M.s3C*Molweight</f>
        <v>4.2542445914356379E-18</v>
      </c>
      <c r="AL30" s="631">
        <f>(k.s3C.w1C+k.s3C.w0C)*M.s3C*Molweight</f>
        <v>7.4168648015995346E-3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6.9441741174556138E-4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238264903006.00464</v>
      </c>
      <c r="H31" s="122">
        <f>G31/$G$51</f>
        <v>0.9458166360796042</v>
      </c>
      <c r="I31" s="318">
        <f>M.w3A*Molweight</f>
        <v>156647975479.49106</v>
      </c>
      <c r="J31" s="122">
        <f>I31/$I$51</f>
        <v>0.93967925555029908</v>
      </c>
      <c r="K31" s="318">
        <f>M.w3T*Molweight</f>
        <v>588771246157.40649</v>
      </c>
      <c r="L31" s="123">
        <f>K31/$K$51</f>
        <v>0.94825074024372924</v>
      </c>
      <c r="M31" s="320"/>
      <c r="N31" s="320"/>
      <c r="O31" s="320">
        <f>C.w3M*Molweight</f>
        <v>2.0477098410862097E-6</v>
      </c>
      <c r="P31" s="320">
        <f>C.w3A*Molweight</f>
        <v>2.0476859539802751E-6</v>
      </c>
      <c r="Q31" s="320">
        <f>C.w3T*Molweight</f>
        <v>2.1989589025486709E-6</v>
      </c>
      <c r="R31" s="120" t="s">
        <v>1489</v>
      </c>
      <c r="S31" s="325"/>
      <c r="T31" s="325"/>
      <c r="U31" s="325">
        <f>F.w3M</f>
        <v>1.5219150722650194E-22</v>
      </c>
      <c r="V31" s="325">
        <f>F.w3A</f>
        <v>2.2062915350753781E-23</v>
      </c>
      <c r="W31" s="326">
        <f>F.w3T</f>
        <v>4.4744407080365598E-22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2.0834866393181215E-14</v>
      </c>
      <c r="AY31" s="75"/>
      <c r="AZ31" s="75"/>
      <c r="BA31" s="87"/>
      <c r="BB31" s="2"/>
      <c r="BC31" s="86"/>
      <c r="BD31" s="277">
        <f>IF(ISERROR(output!D39),0,output!D39)</f>
        <v>3.8794793612787641E-2</v>
      </c>
      <c r="BE31" s="75"/>
      <c r="BF31" s="277">
        <f>IF(ISERROR(output!D43),0,output!D43)</f>
        <v>0.92790426673463622</v>
      </c>
      <c r="BG31" s="75"/>
      <c r="BH31" s="273">
        <f>IF(ISERROR(output!D47),0,output!D47)</f>
        <v>1.4368442078810235E-2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232453237339.84674</v>
      </c>
      <c r="H32" s="122">
        <f>G32/$G$51</f>
        <v>0.92274664129213746</v>
      </c>
      <c r="I32" s="318">
        <f>FRw.w3A*I31</f>
        <v>152827078447.31525</v>
      </c>
      <c r="J32" s="122">
        <f>I32/$I$51</f>
        <v>0.9167589613828242</v>
      </c>
      <c r="K32" s="318">
        <f>FRw.w3T*K31</f>
        <v>574410164884.65283</v>
      </c>
      <c r="L32" s="123">
        <f>K32/$K$51</f>
        <v>0.92512137372580605</v>
      </c>
      <c r="M32" s="320"/>
      <c r="N32" s="320"/>
      <c r="O32" s="320">
        <f>O31*FRw.w3M</f>
        <v>1.9977628920074592E-6</v>
      </c>
      <c r="P32" s="320">
        <f>P31*FRw.w3A</f>
        <v>1.9977395875466044E-6</v>
      </c>
      <c r="Q32" s="320">
        <f>Q31*FRw.w3T</f>
        <v>2.1453227446672383E-6</v>
      </c>
      <c r="R32" s="120" t="s">
        <v>1489</v>
      </c>
      <c r="S32" s="325"/>
      <c r="T32" s="325"/>
      <c r="U32" s="325">
        <f>U31*FRw.w3M</f>
        <v>1.4847931065004356E-22</v>
      </c>
      <c r="V32" s="325">
        <f>V31*FRw.w3A</f>
        <v>2.1524765224479866E-23</v>
      </c>
      <c r="W32" s="326">
        <f>W31*FRw.w3T</f>
        <v>4.3653018751237661E-22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2.7476563352276755E-2</v>
      </c>
      <c r="AE32" s="325">
        <f>(k.aM.aA+k.aM.aC+k.aM.aT)*M.aM*Molweight</f>
        <v>3.526615090956556E-3</v>
      </c>
      <c r="AF32" s="325">
        <f>kesc.aM*M.aM*Molweight</f>
        <v>1.1093274801834492E-6</v>
      </c>
      <c r="AG32" s="326">
        <f>KDEG.aM*M.aM*Molweight</f>
        <v>2.986015652014769E-27</v>
      </c>
      <c r="AH32" s="325">
        <f>AH33</f>
        <v>1.1974419467227358E-2</v>
      </c>
      <c r="AI32" s="325">
        <f>AI33</f>
        <v>1.4038002236663165E-15</v>
      </c>
      <c r="AJ32" s="325">
        <f>AJ36</f>
        <v>1.1974419466614065E-2</v>
      </c>
      <c r="AK32" s="325">
        <f>AK36</f>
        <v>6.8317999032917622E-18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5811665666.1578856</v>
      </c>
      <c r="H33" s="122">
        <f>G33/$G$51</f>
        <v>2.3069994787466689E-2</v>
      </c>
      <c r="I33" s="318">
        <f>(1-FRw.w3A)*I31</f>
        <v>3820897032.1758108</v>
      </c>
      <c r="J33" s="122">
        <f>I33/$I$51</f>
        <v>2.2920294167474792E-2</v>
      </c>
      <c r="K33" s="318">
        <f>(1-FRw.w3T)*K31</f>
        <v>14361081272.753626</v>
      </c>
      <c r="L33" s="123">
        <f>K33/$K$51</f>
        <v>2.3129366517923109E-2</v>
      </c>
      <c r="M33" s="320"/>
      <c r="N33" s="320"/>
      <c r="O33" s="320">
        <f>O32*Kp.susp3M</f>
        <v>9.9888144600372968E-3</v>
      </c>
      <c r="P33" s="320">
        <f>P32*Kp.susp3A</f>
        <v>9.9886979377330227E-3</v>
      </c>
      <c r="Q33" s="320">
        <f>Q32*Kp.susp3T</f>
        <v>1.0726613723336191E-2</v>
      </c>
      <c r="R33" s="120" t="s">
        <v>1494</v>
      </c>
      <c r="S33" s="325"/>
      <c r="T33" s="325"/>
      <c r="U33" s="325">
        <f>U31*(1-FRw.w3M)</f>
        <v>3.7121965764583916E-24</v>
      </c>
      <c r="V33" s="325">
        <f>V31*(1-FRw.w3A)</f>
        <v>5.3815012627391502E-25</v>
      </c>
      <c r="W33" s="326">
        <f>W31*(1-FRw.w3T)</f>
        <v>1.0913883291279336E-23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2333.8398306438662</v>
      </c>
      <c r="AE33" s="325">
        <f>(k.w2M.w2C+k.w2M.w2A+k.w2M.w2T+k.w2M.w3M)*M.w2M*Molweight</f>
        <v>2333.8637156469895</v>
      </c>
      <c r="AF33" s="330"/>
      <c r="AG33" s="326">
        <f>KDEG.w2M*M.w2M*Molweight</f>
        <v>3.1468772923786879E-11</v>
      </c>
      <c r="AH33" s="325">
        <f>k.aM.w2M*M.aM*Molweight</f>
        <v>1.1974419467227358E-2</v>
      </c>
      <c r="AI33" s="325">
        <f>k.w2M.aM*M.w2M*Molweight</f>
        <v>1.4038002236663165E-15</v>
      </c>
      <c r="AJ33" s="325"/>
      <c r="AK33" s="325"/>
      <c r="AL33" s="325">
        <f>AL36</f>
        <v>1.1910583687713286E-2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1.2277765523797218E-15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2285.6603707723812</v>
      </c>
      <c r="AE34" s="325">
        <f>(k.w3M.w2M+k.w3M.w3A+k.w3M.w3T)*M.w3M*Molweight</f>
        <v>2285.6436412007552</v>
      </c>
      <c r="AF34" s="330"/>
      <c r="AG34" s="326">
        <f>KDEG.w3M*M.w3M*Molweight</f>
        <v>9.4405349535027647E-10</v>
      </c>
      <c r="AH34" s="325"/>
      <c r="AI34" s="325"/>
      <c r="AJ34" s="325"/>
      <c r="AK34" s="325"/>
      <c r="AL34" s="325"/>
      <c r="AM34" s="325">
        <f>k.w3M.sdM*M.w3M*Molweight</f>
        <v>58.185079023369177</v>
      </c>
      <c r="AN34" s="326">
        <f>k.sdM.w3M*M.sdM*Molweight</f>
        <v>58.168349452687579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2187456.9870903092</v>
      </c>
      <c r="D35" s="122">
        <f>C35/$C$51</f>
        <v>2.7543641915032805E-4</v>
      </c>
      <c r="E35" s="318">
        <f>M.sd2C*Molweight</f>
        <v>537088073.49665689</v>
      </c>
      <c r="F35" s="122">
        <f>E35/$E$51</f>
        <v>0.17138464025185554</v>
      </c>
      <c r="G35" s="318">
        <f>M.sdM*Molweight</f>
        <v>5606547897.7380791</v>
      </c>
      <c r="H35" s="122">
        <f>G35/$G$51</f>
        <v>2.2255759055391254E-2</v>
      </c>
      <c r="I35" s="318">
        <f>M.sdA*Molweight</f>
        <v>3686041739.8008556</v>
      </c>
      <c r="J35" s="122">
        <f>I35/$I$51</f>
        <v>2.2111341990735636E-2</v>
      </c>
      <c r="K35" s="318">
        <f>M.sdT*Molweight</f>
        <v>13854219193.614758</v>
      </c>
      <c r="L35" s="123">
        <f>K35/$K$51</f>
        <v>2.2313035311394704E-2</v>
      </c>
      <c r="M35" s="320">
        <f>C.sd2R*(Molweight*1000)/(FRACw.sdR*1000+FRACs.sdR*RHOsolid)</f>
        <v>5.6088640694623257E-2</v>
      </c>
      <c r="N35" s="320">
        <f>C.sd2C*(Molweight*1000)/(FRACw.sdC*1000+FRACs.sdC*RHOsolid)</f>
        <v>3.7085829639110263E-3</v>
      </c>
      <c r="O35" s="320">
        <f>C.sdM*(Molweight*1000)/(FRACw.sdM*1000+FRACs.sdM*RHOsolid)</f>
        <v>3.7064703257972996E-3</v>
      </c>
      <c r="P35" s="320">
        <f>C.sdA*(Molweight*1000)/(FRACw.sdA*1000+FRACs.sdA*RHOsolid)</f>
        <v>3.7064270887891965E-3</v>
      </c>
      <c r="Q35" s="320">
        <f>C.sdT*(Molweight*1000)/(FRACw.sdT*1000+FRACs.sdT*RHOsolid)</f>
        <v>3.9802396591581577E-3</v>
      </c>
      <c r="R35" s="120" t="s">
        <v>1495</v>
      </c>
      <c r="S35" s="325">
        <f>F.sd2R</f>
        <v>4.3326379097418812E-21</v>
      </c>
      <c r="T35" s="325">
        <f>F.sd2C</f>
        <v>2.864741762658569E-22</v>
      </c>
      <c r="U35" s="325">
        <f>F.sdM</f>
        <v>2.86310982865772E-22</v>
      </c>
      <c r="V35" s="325">
        <f>F.sdA</f>
        <v>4.1505962415888265E-23</v>
      </c>
      <c r="W35" s="326">
        <f>F.sdT</f>
        <v>8.4175624529773599E-22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1.6729570658823998E-2</v>
      </c>
      <c r="AG35" s="326">
        <f>KDEG.sdM*M.sdM*Molweight</f>
        <v>2.2769659826118848E-11</v>
      </c>
      <c r="AH35" s="325"/>
      <c r="AI35" s="325"/>
      <c r="AJ35" s="325"/>
      <c r="AK35" s="325"/>
      <c r="AL35" s="325"/>
      <c r="AM35" s="325">
        <f>k.w3M.sdM*M.w3M*Molweight</f>
        <v>58.185079023369177</v>
      </c>
      <c r="AN35" s="326">
        <f>k.sdM.w3M*M.sdM*Molweight</f>
        <v>58.168349452687579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1749965.5896722474</v>
      </c>
      <c r="D36" s="122">
        <f>C36/$C$51</f>
        <v>2.2034913532026246E-4</v>
      </c>
      <c r="E36" s="318">
        <f>E35*FRACw.sdC</f>
        <v>429670458.79732555</v>
      </c>
      <c r="F36" s="122">
        <f>E36/$E$51</f>
        <v>0.13710771220148446</v>
      </c>
      <c r="G36" s="318">
        <f>G35*FRACw.sdM</f>
        <v>4485238318.1904631</v>
      </c>
      <c r="H36" s="122">
        <f>G36/$G$51</f>
        <v>1.7804607244313004E-2</v>
      </c>
      <c r="I36" s="318">
        <f>I35*FRACw.sdA</f>
        <v>2948833391.8406849</v>
      </c>
      <c r="J36" s="122">
        <f>I36/$I$51</f>
        <v>1.7689073592588513E-2</v>
      </c>
      <c r="K36" s="318">
        <f>K35*FRACw.sdT</f>
        <v>11083375354.891808</v>
      </c>
      <c r="L36" s="123">
        <f>K36/$K$51</f>
        <v>1.7850428249115768E-2</v>
      </c>
      <c r="M36" s="320">
        <f>M37/Kp.sd2R</f>
        <v>5.8294877600743725E-5</v>
      </c>
      <c r="N36" s="320">
        <f>N37/Kp.sd2C</f>
        <v>3.8544594284332708E-6</v>
      </c>
      <c r="O36" s="320">
        <f>O37/Kp.sdM</f>
        <v>3.8522636900675498E-6</v>
      </c>
      <c r="P36" s="320">
        <f>P37/Kp.sdA</f>
        <v>3.8522187523392684E-6</v>
      </c>
      <c r="Q36" s="320">
        <f>Q37/Kp.sdT</f>
        <v>4.1368016924413225E-6</v>
      </c>
      <c r="R36" s="120" t="s">
        <v>1489</v>
      </c>
      <c r="S36" s="325">
        <f>S35*FRACw.sdR</f>
        <v>3.4661103277935054E-21</v>
      </c>
      <c r="T36" s="325">
        <f>T35*FRACw.sdC</f>
        <v>2.2917934101268552E-22</v>
      </c>
      <c r="U36" s="325">
        <f>U35*FRACw.sdM</f>
        <v>2.2904878629261762E-22</v>
      </c>
      <c r="V36" s="325">
        <f>V35*FRACw.sdA</f>
        <v>3.3204769932710613E-23</v>
      </c>
      <c r="W36" s="326">
        <f>W35*FRACw.sdT</f>
        <v>6.7340499623818879E-22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6.3835778491483017E-5</v>
      </c>
      <c r="AG36" s="326">
        <f>KDEG.sM*M.sM*Molweight</f>
        <v>4.0928534151671004E-13</v>
      </c>
      <c r="AH36" s="325"/>
      <c r="AI36" s="325"/>
      <c r="AJ36" s="325">
        <f>k.aM.sM*M.aM*Molweight</f>
        <v>1.1974419466614065E-2</v>
      </c>
      <c r="AK36" s="325">
        <f>k.sM.aM*M.sM*Molweight</f>
        <v>6.8317999032917622E-18</v>
      </c>
      <c r="AL36" s="325">
        <f>k.sM.w2M*M.sM*Molweight</f>
        <v>1.1910583687713286E-2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437491.39741806174</v>
      </c>
      <c r="D37" s="122">
        <f>C37/$C$51</f>
        <v>5.50872838300656E-5</v>
      </c>
      <c r="E37" s="318">
        <f>E35*FRACs.sdC</f>
        <v>107417614.69933136</v>
      </c>
      <c r="F37" s="122">
        <f>E37/$E$51</f>
        <v>3.4276928050371101E-2</v>
      </c>
      <c r="G37" s="318">
        <f>G35*FRACs.sdM</f>
        <v>1121309579.5476155</v>
      </c>
      <c r="H37" s="122">
        <f>G37/$G$51</f>
        <v>4.4511518110782501E-3</v>
      </c>
      <c r="I37" s="318">
        <f>I35*FRACs.sdA</f>
        <v>737208347.96017098</v>
      </c>
      <c r="J37" s="122">
        <f>I37/$I$51</f>
        <v>4.4222683981471264E-3</v>
      </c>
      <c r="K37" s="318">
        <f>K35*FRACs.sdT</f>
        <v>2770843838.7229509</v>
      </c>
      <c r="L37" s="123">
        <f>K37/$K$51</f>
        <v>4.4626070622789402E-3</v>
      </c>
      <c r="M37" s="320">
        <f>C.sd2R*FRACs.sdR/(FRACw.sdR/(Kp.sd2R*RHOsolid/1000)+FRACs.sdR)*(Molweight*1000)/(FRACs.sdR*RHOsolid)</f>
        <v>0.1457371940018593</v>
      </c>
      <c r="N37" s="320">
        <f>C.sd2C*FRACs.sdC/(FRACw.sdC/(Kp.sd2C*RHOsolid/1000)+FRACs.sdC)*(Molweight*1000)/(FRACs.sdC*RHOsolid)</f>
        <v>9.6361485710831779E-3</v>
      </c>
      <c r="O37" s="320">
        <f>C.sdM*FRACs.sdM/(FRACw.sdM/(Kp.sdM*RHOsolid/1000)+FRACs.sdM)*(Molweight*1000)/(FRACs.sdM*RHOsolid)</f>
        <v>9.6306592251688746E-3</v>
      </c>
      <c r="P37" s="320">
        <f>C.sdA*FRACs.sdA/(FRACw.sdA/(Kp.sdA*RHOsolid/1000)+FRACs.sdA)*(Molweight*1000)/(FRACs.sdA*RHOsolid)</f>
        <v>9.6305468808481707E-3</v>
      </c>
      <c r="Q37" s="320">
        <f>C.sdT*FRACs.sdT/(FRACw.sdT/(Kp.sdT*RHOsolid/1000)+FRACs.sdT)*(Molweight*1000)/(FRACs.sdT*RHOsolid)</f>
        <v>1.0342004231103307E-2</v>
      </c>
      <c r="R37" s="120" t="s">
        <v>1494</v>
      </c>
      <c r="S37" s="325">
        <f>S35*(1-FRACw.sdR)</f>
        <v>8.6652758194837598E-22</v>
      </c>
      <c r="T37" s="325">
        <f>T35*(1-FRACw.sdC)</f>
        <v>5.7294835253171369E-23</v>
      </c>
      <c r="U37" s="325">
        <f>U35*(1-FRACw.sdM)</f>
        <v>5.7262196573154392E-23</v>
      </c>
      <c r="V37" s="325">
        <f>V35*(1-FRACw.sdA)</f>
        <v>8.3011924831776518E-24</v>
      </c>
      <c r="W37" s="326">
        <f>W35*(1-FRACw.sdT)</f>
        <v>1.6835124905954715E-22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3.9017967853653656E-5</v>
      </c>
      <c r="AW37" s="75"/>
      <c r="AX37" s="75"/>
      <c r="AY37" s="300">
        <f>IF(ISERROR(output!D23),0,output!D23)</f>
        <v>1.5950155413540001E-2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1.1486858875369736E-3</v>
      </c>
      <c r="AE38" s="325">
        <f>k.aA.aM*M.aA*Molweight</f>
        <v>9.1311400710015957E-5</v>
      </c>
      <c r="AF38" s="325">
        <f>kesc.aA*M.aA*Molweight</f>
        <v>4.8313891869407534E-8</v>
      </c>
      <c r="AG38" s="326">
        <f>KDEG.aA*M.aA*Molweight</f>
        <v>2.6661007520457817E-29</v>
      </c>
      <c r="AH38" s="325">
        <f>AH39</f>
        <v>6.3439570376430177E-4</v>
      </c>
      <c r="AI38" s="325">
        <f>AI39</f>
        <v>1.7666333413679626E-16</v>
      </c>
      <c r="AJ38" s="325">
        <f>AJ42</f>
        <v>4.2293046917096295E-4</v>
      </c>
      <c r="AK38" s="325">
        <f>AK42</f>
        <v>7.7685944253961011E-20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308099933.23614466</v>
      </c>
      <c r="D39" s="122">
        <f>C39/$C$51</f>
        <v>3.8794793612787641E-2</v>
      </c>
      <c r="E39" s="318">
        <f>M.s1C*Molweight</f>
        <v>169440126.44360128</v>
      </c>
      <c r="F39" s="122">
        <f>E39/$E$51</f>
        <v>5.4068292609268445E-2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5.873401449099503E-2</v>
      </c>
      <c r="N39" s="320">
        <f>C.s1C*(Molweight*1000)/(FRACw.s1C*1000+(1-FRACa.s1C-FRACw.s1C)*RHOsolid)</f>
        <v>2.1180008392447211E-3</v>
      </c>
      <c r="O39" s="320"/>
      <c r="P39" s="320"/>
      <c r="Q39" s="320"/>
      <c r="R39" s="120" t="s">
        <v>1495</v>
      </c>
      <c r="S39" s="325">
        <f>F.s1R</f>
        <v>4.9466530063892188E-21</v>
      </c>
      <c r="T39" s="325">
        <f>F.s1C</f>
        <v>1.7838071022015879E-22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1713.1338995796332</v>
      </c>
      <c r="AE39" s="325">
        <f>(k.w2A.w2M+k.w2A.w3A)*M.w2A*Molweight</f>
        <v>1713.1349552555653</v>
      </c>
      <c r="AF39" s="330"/>
      <c r="AG39" s="326">
        <f>KDEG.w2A*M.w2A*Molweight</f>
        <v>5.4864101984137818E-12</v>
      </c>
      <c r="AH39" s="325">
        <f>k.aA.w2A*M.aA*Molweight</f>
        <v>6.3439570376430177E-4</v>
      </c>
      <c r="AI39" s="325">
        <f>k.w2A.aA*M.w2A*Molweight</f>
        <v>1.7666333413679626E-16</v>
      </c>
      <c r="AJ39" s="325"/>
      <c r="AK39" s="325"/>
      <c r="AL39" s="325">
        <f>AL42</f>
        <v>4.212802334308009E-4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41074.514496219788</v>
      </c>
      <c r="D40" s="122">
        <f>C40/$C$51</f>
        <v>5.1719495550976721E-6</v>
      </c>
      <c r="E40" s="318">
        <f>E39*FRw.s1C</f>
        <v>22589.004991814592</v>
      </c>
      <c r="F40" s="122">
        <f>E40/$E$51</f>
        <v>7.2081445952897528E-6</v>
      </c>
      <c r="G40" s="318"/>
      <c r="H40" s="122"/>
      <c r="I40" s="318"/>
      <c r="J40" s="122"/>
      <c r="K40" s="318"/>
      <c r="L40" s="123"/>
      <c r="M40" s="320">
        <f>M41/Kp.s1R</f>
        <v>6.6556342244161821E-5</v>
      </c>
      <c r="N40" s="320">
        <f>N41/Kp.s1C</f>
        <v>2.4000809403519706E-6</v>
      </c>
      <c r="O40" s="320"/>
      <c r="P40" s="320"/>
      <c r="Q40" s="320"/>
      <c r="R40" s="120" t="s">
        <v>1489</v>
      </c>
      <c r="S40" s="325">
        <f>S39*FRACw.s1R</f>
        <v>9.8933060127784377E-22</v>
      </c>
      <c r="T40" s="325">
        <f>T39*FRACw.s1C</f>
        <v>3.5676142044031763E-23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1713.1349552555653</v>
      </c>
      <c r="AE40" s="325">
        <f>(k.w3A.w2A+k.w3A.w3M)*M.w3A*Molweight</f>
        <v>1713.127163014306</v>
      </c>
      <c r="AF40" s="330"/>
      <c r="AG40" s="326">
        <f>KDEG.w3A*M.w3A*Molweight</f>
        <v>1.3508132939878137E-10</v>
      </c>
      <c r="AH40" s="325"/>
      <c r="AI40" s="325"/>
      <c r="AJ40" s="325"/>
      <c r="AK40" s="325"/>
      <c r="AL40" s="325"/>
      <c r="AM40" s="325">
        <f>k.w3A.sdA*M.w3A*Molweight</f>
        <v>38.253954808842671</v>
      </c>
      <c r="AN40" s="326">
        <f>k.sdA.w3A*M.sdA*Molweight</f>
        <v>38.246162567718571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2.0701578251660694E-2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308058858.72164845</v>
      </c>
      <c r="D41" s="122">
        <f>C41/$C$51</f>
        <v>3.8789621663232549E-2</v>
      </c>
      <c r="E41" s="318">
        <f>E39*FRs.s1C</f>
        <v>169417537.43860948</v>
      </c>
      <c r="F41" s="122">
        <f>E41/$E$51</f>
        <v>5.4061084464673163E-2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6.655634224416182E-2</v>
      </c>
      <c r="N41" s="320">
        <f>C.s1C*FRs.s1C*(Molweight*1000)/(FRACs.s1C*RHOsolid)</f>
        <v>2.4000809403519705E-3</v>
      </c>
      <c r="O41" s="320"/>
      <c r="P41" s="320"/>
      <c r="Q41" s="320"/>
      <c r="R41" s="120" t="s">
        <v>1494</v>
      </c>
      <c r="S41" s="325">
        <f>S39*(1-FRACw.s1R)</f>
        <v>3.9573224051113751E-21</v>
      </c>
      <c r="T41" s="325">
        <f>T39*(1-FRACw.s1C)</f>
        <v>1.4270456817612705E-22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7.7922411208371737E-3</v>
      </c>
      <c r="AG41" s="326">
        <f>KDEG.sdA*M.sdA*Molweight</f>
        <v>3.2580313874373059E-12</v>
      </c>
      <c r="AH41" s="325"/>
      <c r="AI41" s="325"/>
      <c r="AJ41" s="325"/>
      <c r="AK41" s="325"/>
      <c r="AL41" s="325"/>
      <c r="AM41" s="325">
        <f>k.w3A.sdA*M.w3A*Molweight</f>
        <v>38.253954808842671</v>
      </c>
      <c r="AN41" s="326">
        <f>k.sdA.w3A*M.sdA*Molweight</f>
        <v>38.246162567718571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1.650235733714334E-6</v>
      </c>
      <c r="AG42" s="326">
        <f>KDEG.sA*M.sA*Molweight</f>
        <v>6.4476292900899999E-15</v>
      </c>
      <c r="AH42" s="325"/>
      <c r="AI42" s="325"/>
      <c r="AJ42" s="325">
        <f>k.aA.sA*M.aA*Molweight</f>
        <v>4.2293046917096295E-4</v>
      </c>
      <c r="AK42" s="325">
        <f>k.sA.aA*M.sA*Molweight</f>
        <v>7.7685944253961011E-20</v>
      </c>
      <c r="AL42" s="325">
        <f>k.sA.w2A*M.sA*Molweight</f>
        <v>4.212802334308009E-4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2.2701555391227427E-2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7369216742.9456377</v>
      </c>
      <c r="D43" s="122">
        <f>C43/$C$51</f>
        <v>0.92790426673463622</v>
      </c>
      <c r="E43" s="318">
        <f>M.s2C*Molweight</f>
        <v>827447777.06446946</v>
      </c>
      <c r="F43" s="122">
        <f>E43/$E$51</f>
        <v>0.26403833299842278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0.15804178800817092</v>
      </c>
      <c r="N43" s="320">
        <f>C.s2C*(Molweight*1000)/(FRACw.s2C*1000+(1-FRACa.s2C-FRACw.s2C)*RHOsolid)</f>
        <v>1.1635980292375996E-3</v>
      </c>
      <c r="O43" s="320"/>
      <c r="P43" s="320"/>
      <c r="Q43" s="320"/>
      <c r="R43" s="120" t="s">
        <v>1495</v>
      </c>
      <c r="S43" s="325">
        <f>F.s2R</f>
        <v>1.331047932890075E-20</v>
      </c>
      <c r="T43" s="325">
        <f>F.s2C</f>
        <v>9.7999698121081539E-23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2.7543641915032805E-4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982431.24156054354</v>
      </c>
      <c r="D44" s="122">
        <f>C44/$C$51</f>
        <v>1.2370407502128197E-4</v>
      </c>
      <c r="E44" s="318">
        <f>E43*FRw.s2C</f>
        <v>110311.66205365543</v>
      </c>
      <c r="F44" s="122">
        <f>E44/$E$51</f>
        <v>3.5200417677432708E-5</v>
      </c>
      <c r="G44" s="318"/>
      <c r="H44" s="122"/>
      <c r="I44" s="318"/>
      <c r="J44" s="122"/>
      <c r="K44" s="318"/>
      <c r="L44" s="123"/>
      <c r="M44" s="320">
        <f>M45/Kp.s2R</f>
        <v>1.7909014772289733E-4</v>
      </c>
      <c r="N44" s="320">
        <f>N45/Kp.s2C</f>
        <v>1.3185686239860816E-6</v>
      </c>
      <c r="O44" s="320"/>
      <c r="P44" s="320"/>
      <c r="Q44" s="320"/>
      <c r="R44" s="120" t="s">
        <v>1489</v>
      </c>
      <c r="S44" s="325">
        <f>S43*FRACw.s2R</f>
        <v>2.6620958657801502E-21</v>
      </c>
      <c r="T44" s="325">
        <f>T43*FRACw.s2C</f>
        <v>1.959993962421631E-23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1.9895823191513873E-3</v>
      </c>
      <c r="AE44" s="325">
        <f>k.aT.aM*M.aT*Molweight</f>
        <v>9.3700442569659225E-5</v>
      </c>
      <c r="AF44" s="325">
        <f>kesc.aT*M.aT*Molweight</f>
        <v>8.587154714429344E-8</v>
      </c>
      <c r="AG44" s="326">
        <f>KDEG.aT*M.aT*Molweight</f>
        <v>3.9811981636810621E-28</v>
      </c>
      <c r="AH44" s="325">
        <f>AH45</f>
        <v>1.3270572035610289E-3</v>
      </c>
      <c r="AI44" s="325">
        <f>AI45</f>
        <v>8.4572306462268067E-15</v>
      </c>
      <c r="AJ44" s="325">
        <f>AJ48</f>
        <v>5.6873880148201276E-4</v>
      </c>
      <c r="AK44" s="325">
        <f>AK48</f>
        <v>5.0490076575409291E-19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8.8838358984514719E-15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7368234311.7040777</v>
      </c>
      <c r="D45" s="122">
        <f>C45/$C$51</f>
        <v>0.92778056265961506</v>
      </c>
      <c r="E45" s="318">
        <f>E43*FRs.s2C</f>
        <v>827337465.40241587</v>
      </c>
      <c r="F45" s="122">
        <f>E45/$E$51</f>
        <v>0.26400313258074537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0.17909014772289733</v>
      </c>
      <c r="N45" s="320">
        <f>C.s2C*FRs.s2C*(Molweight*1000)/(FRACs.s2C*RHOsolid)</f>
        <v>1.3185686239860816E-3</v>
      </c>
      <c r="O45" s="320"/>
      <c r="P45" s="320"/>
      <c r="Q45" s="320"/>
      <c r="R45" s="120" t="s">
        <v>1494</v>
      </c>
      <c r="S45" s="325">
        <f>S43*(1-FRACw.s2R)</f>
        <v>1.0648383463120601E-20</v>
      </c>
      <c r="T45" s="325">
        <f>T43*(1-FRACw.s2C)</f>
        <v>7.8399758496865238E-23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4459.8329358130422</v>
      </c>
      <c r="AE45" s="325">
        <f>(k.w2T.w2M+k.w2T.w3T)*M.w2T*Molweight</f>
        <v>4459.8348282626666</v>
      </c>
      <c r="AF45" s="330"/>
      <c r="AG45" s="326">
        <f>KDEG.w2T*M.w2T*Molweight</f>
        <v>1.7828443556406853E-10</v>
      </c>
      <c r="AH45" s="325">
        <f>k.aT.w2T*M.aT*Molweight</f>
        <v>1.3270572035610289E-3</v>
      </c>
      <c r="AI45" s="325">
        <f>k.w2T.aT*M.w2T*Molweight</f>
        <v>8.4572306462268067E-15</v>
      </c>
      <c r="AJ45" s="325"/>
      <c r="AK45" s="325"/>
      <c r="AL45" s="325">
        <f>AL48</f>
        <v>5.6539259830458649E-4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4459.8622234461736</v>
      </c>
      <c r="AE46" s="325">
        <f>(k.w3T.w2T+k.w3T.w3M)*M.w3T*Molweight</f>
        <v>4459.8329358130422</v>
      </c>
      <c r="AF46" s="330"/>
      <c r="AG46" s="326">
        <f>KDEG.w3T*M.w3T*Molweight</f>
        <v>5.7441016488465291E-9</v>
      </c>
      <c r="AH46" s="325"/>
      <c r="AI46" s="325"/>
      <c r="AJ46" s="325"/>
      <c r="AK46" s="325"/>
      <c r="AL46" s="325"/>
      <c r="AM46" s="325">
        <f>k.w3T.sdT*M.w3T*Molweight</f>
        <v>143.77988974520892</v>
      </c>
      <c r="AN46" s="326">
        <f>k.sdT.w3T*M.sdT*Molweight</f>
        <v>143.7506021178219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114111086.38375725</v>
      </c>
      <c r="D47" s="122">
        <f>C47/$C$51</f>
        <v>1.4368442078810235E-2</v>
      </c>
      <c r="E47" s="318">
        <f>M.s3C*Molweight</f>
        <v>62755602.386518985</v>
      </c>
      <c r="F47" s="122">
        <f>E47/$E$51</f>
        <v>2.002529355898831E-2</v>
      </c>
      <c r="G47" s="318">
        <f>M.sM*Molweight</f>
        <v>100777872.33445273</v>
      </c>
      <c r="H47" s="122">
        <f>G47/$G$51</f>
        <v>4.0004795922557571E-4</v>
      </c>
      <c r="I47" s="318">
        <f>M.sA*Molweight</f>
        <v>7294659.8297594311</v>
      </c>
      <c r="J47" s="122">
        <f>I47/$I$51</f>
        <v>4.3758245182162913E-5</v>
      </c>
      <c r="K47" s="318">
        <f>M.sT*Molweight</f>
        <v>2844513.6182666896</v>
      </c>
      <c r="L47" s="123">
        <f>K47/$K$51</f>
        <v>4.5812565775904709E-6</v>
      </c>
      <c r="M47" s="320">
        <f>C.s3R*(Molweight*1000)/(FRACw.s3R*1000+(1-FRACa.s3R-FRACw.s3R)*RHOsolid)</f>
        <v>5.8734014490995023E-2</v>
      </c>
      <c r="N47" s="320">
        <f>C.s3C*(Molweight*1000)/(FRACw.s3C*1000+(1-FRACa.s3C-FRACw.s3C)*RHOsolid)</f>
        <v>2.118000839244722E-3</v>
      </c>
      <c r="O47" s="320">
        <f>C.sM*(Molweight*1000)/(FRACw.sM*1000+(1-FRACa.sM-FRACw.sM)*RHOsolid)</f>
        <v>3.0568621683056769E-5</v>
      </c>
      <c r="P47" s="320">
        <f>C.sA*(Molweight*1000)/(FRACw.sA*1000+(1-FRACa.sA-FRACw.sA)*RHOsolid)</f>
        <v>5.0482074946432051E-6</v>
      </c>
      <c r="Q47" s="320">
        <f>C.sT*(Molweight*1000)/(FRACw.sT*1000+(1-FRACa.sT-FRACw.sT)*RHOsolid)</f>
        <v>8.7489846005895837E-7</v>
      </c>
      <c r="R47" s="120" t="s">
        <v>1495</v>
      </c>
      <c r="S47" s="325">
        <f>F.s3R</f>
        <v>4.9466530063892188E-21</v>
      </c>
      <c r="T47" s="325">
        <f>F.s3C</f>
        <v>1.7838071022015882E-22</v>
      </c>
      <c r="U47" s="325">
        <f>F.sM</f>
        <v>2.5745279913201057E-24</v>
      </c>
      <c r="V47" s="325">
        <f>F.sA</f>
        <v>6.1636292142217877E-26</v>
      </c>
      <c r="W47" s="326">
        <f>F.sT</f>
        <v>2.0173398018704977E-25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2.928762724846699E-2</v>
      </c>
      <c r="AG47" s="326">
        <f>KDEG.sdT*M.sdT*Molweight</f>
        <v>1.3854219193614754E-10</v>
      </c>
      <c r="AH47" s="325"/>
      <c r="AI47" s="325"/>
      <c r="AJ47" s="325"/>
      <c r="AK47" s="325"/>
      <c r="AL47" s="325"/>
      <c r="AM47" s="325">
        <f>k.w3T.sdT*M.w3T*Molweight</f>
        <v>143.77988974520892</v>
      </c>
      <c r="AN47" s="326">
        <f>k.sdT.w3T*M.sdT*Molweight</f>
        <v>143.7506021178219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1.9999771395578449E-3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1.9515989607352962E-4</v>
      </c>
      <c r="BE47" s="75"/>
      <c r="BF47" s="295">
        <f>output!AF20</f>
        <v>7.2281442990196142E-5</v>
      </c>
      <c r="BG47" s="75"/>
      <c r="BH47" s="299">
        <f>output!AF19</f>
        <v>2.124141596078365E-3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15212.783146748065</v>
      </c>
      <c r="D48" s="122">
        <f>C48/$C$51</f>
        <v>1.9155368722583963E-6</v>
      </c>
      <c r="E48" s="318">
        <f>E47*FRw.s3C</f>
        <v>8366.2981451165142</v>
      </c>
      <c r="F48" s="122">
        <f>E48/$E$51</f>
        <v>2.6696831834406487E-6</v>
      </c>
      <c r="G48" s="318">
        <f>G47*FRw.sM</f>
        <v>13435.258276823453</v>
      </c>
      <c r="H48" s="122">
        <f>G48/$G$51</f>
        <v>5.3332616881159271E-8</v>
      </c>
      <c r="I48" s="318">
        <f>I47*FRw.sA</f>
        <v>972.49164508191313</v>
      </c>
      <c r="J48" s="122">
        <f>I48/$I$51</f>
        <v>5.8336548703056805E-9</v>
      </c>
      <c r="K48" s="318">
        <f>K47*FRw.sT</f>
        <v>379.21792004621909</v>
      </c>
      <c r="L48" s="123">
        <f>K48/$K$51</f>
        <v>6.1075277664184385E-10</v>
      </c>
      <c r="M48" s="320">
        <f>M49/Kp.s3R</f>
        <v>6.6556342244161807E-5</v>
      </c>
      <c r="N48" s="320">
        <f>N49/Kp.s3C</f>
        <v>2.4000809403519714E-6</v>
      </c>
      <c r="O48" s="320">
        <f>O49/Kp.sM</f>
        <v>3.463981926489568E-8</v>
      </c>
      <c r="P48" s="320">
        <f>P49/Kp.sA</f>
        <v>5.7205390887171372E-9</v>
      </c>
      <c r="Q48" s="320">
        <f>Q49/Kp.sT</f>
        <v>9.9141939881364442E-10</v>
      </c>
      <c r="R48" s="120" t="s">
        <v>1489</v>
      </c>
      <c r="S48" s="325">
        <f>S47*FRACw.s3R</f>
        <v>9.8933060127784377E-22</v>
      </c>
      <c r="T48" s="325">
        <f>T47*FRACw.s3C</f>
        <v>3.5676142044031763E-23</v>
      </c>
      <c r="U48" s="325">
        <f>U47*FRACw.sM</f>
        <v>5.1490559826402121E-25</v>
      </c>
      <c r="V48" s="325">
        <f>V47*FRACw.sA</f>
        <v>1.2327258428443576E-26</v>
      </c>
      <c r="W48" s="326">
        <f>W47*FRACw.sT</f>
        <v>4.0346796037409957E-26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3.3462031489806793E-6</v>
      </c>
      <c r="AG48" s="326">
        <f>KDEG.sT*M.sT*Molweight</f>
        <v>2.8445136182666895E-14</v>
      </c>
      <c r="AH48" s="325"/>
      <c r="AI48" s="325"/>
      <c r="AJ48" s="325">
        <f>k.aT.sT*M.aT*Molweight</f>
        <v>5.6873880148201276E-4</v>
      </c>
      <c r="AK48" s="325">
        <f>k.sT.aT*M.sT*Molweight</f>
        <v>5.0490076575409291E-19</v>
      </c>
      <c r="AL48" s="333">
        <f>k.sT.w2T*M.sT*Molweight</f>
        <v>5.6539259830458649E-4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114095873.60061051</v>
      </c>
      <c r="D49" s="122">
        <f>C49/$C$51</f>
        <v>1.4366526541937976E-2</v>
      </c>
      <c r="E49" s="318">
        <f>E47*FRs.s3C</f>
        <v>62747236.088373877</v>
      </c>
      <c r="F49" s="122">
        <f>E49/$E$51</f>
        <v>2.0022623875804873E-2</v>
      </c>
      <c r="G49" s="318">
        <f>G47*FRs.sM</f>
        <v>100764437.07617591</v>
      </c>
      <c r="H49" s="122">
        <f>G49/$G$51</f>
        <v>3.999946266086946E-4</v>
      </c>
      <c r="I49" s="318">
        <f>I47*FRs.sA</f>
        <v>7293687.3381143501</v>
      </c>
      <c r="J49" s="122">
        <f>I49/$I$51</f>
        <v>4.3752411527292607E-5</v>
      </c>
      <c r="K49" s="318">
        <f>K47*FRs.sT</f>
        <v>2844134.4003466438</v>
      </c>
      <c r="L49" s="123">
        <f>K49/$K$51</f>
        <v>4.5806458248138301E-6</v>
      </c>
      <c r="M49" s="320">
        <f>C.s3R*FRs.s3R*(Molweight*1000)/(FRACs.s3R*RHOsolid)</f>
        <v>6.6556342244161806E-2</v>
      </c>
      <c r="N49" s="320">
        <f>C.s3C*FRs.s3C*(Molweight*1000)/(FRACs.s3C*RHOsolid)</f>
        <v>2.4000809403519714E-3</v>
      </c>
      <c r="O49" s="320">
        <f>C.sM*FRs.sM*(Molweight*1000)/(FRACs.sM*RHOsolid)</f>
        <v>3.4639819264895682E-5</v>
      </c>
      <c r="P49" s="320">
        <f>C.sA*FRs.sA*(Molweight*1000)/(FRACs.sA*RHOsolid)</f>
        <v>5.7205390887171371E-6</v>
      </c>
      <c r="Q49" s="320">
        <f>C.sT*FRs.sT*(Molweight*1000)/(FRACs.sT*RHOsolid)</f>
        <v>9.914193988136444E-7</v>
      </c>
      <c r="R49" s="120" t="s">
        <v>1494</v>
      </c>
      <c r="S49" s="325">
        <f>S47*(1-FRACw.s3R)</f>
        <v>3.9573224051113751E-21</v>
      </c>
      <c r="T49" s="325">
        <f>T47*(1-FRACw.s3C)</f>
        <v>1.4270456817612705E-22</v>
      </c>
      <c r="U49" s="325">
        <f>U47*(1-FRACw.sM)</f>
        <v>2.0596223930560848E-24</v>
      </c>
      <c r="V49" s="325">
        <f>V47*(1-FRACw.sA)</f>
        <v>4.9309033713774304E-26</v>
      </c>
      <c r="W49" s="326">
        <f>W47*(1-FRACw.sT)</f>
        <v>1.6138718414963983E-25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0.95129375226474011</v>
      </c>
      <c r="AG49" s="336">
        <f>SUM(AG11:AG48)</f>
        <v>7.2483182490822939E-9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7941785599.1528702</v>
      </c>
      <c r="D51" s="130">
        <f>C51/SUM($C$51,$E$51,$G$51,$I$51,$K$51)</f>
        <v>7.5593128359296305E-3</v>
      </c>
      <c r="E51" s="317">
        <f>SUM(E11,E15,E19,E23,E27,E31,E35,E39,E43,E47)</f>
        <v>3133816850.2579212</v>
      </c>
      <c r="F51" s="130">
        <f>E51/SUM($C$51,$E$51,$G$51,$I$51,$K$51)</f>
        <v>2.9828936636282612E-3</v>
      </c>
      <c r="G51" s="317">
        <f>SUM(G11,G15,G19,G23,G27,G31,G35,G39,G43,G47)</f>
        <v>251914476778.08786</v>
      </c>
      <c r="H51" s="130">
        <f>G51/SUM($C$51,$E$51,$G$51,$I$51,$K$51)</f>
        <v>0.23978239075960742</v>
      </c>
      <c r="I51" s="317">
        <f>SUM(I11,I15,I19,I23,I27,I31,I35,I39,I43,I47)</f>
        <v>166703664632.62424</v>
      </c>
      <c r="J51" s="130">
        <f>I51/SUM($C$51,$E$51,$G$51,$I$51,$K$51)</f>
        <v>0.15867529236602954</v>
      </c>
      <c r="K51" s="317">
        <f>SUM(K11,K15,K19,K23,K27,K31,K35,K39,K43,K47)</f>
        <v>620902490417.32825</v>
      </c>
      <c r="L51" s="130">
        <f>K51/SUM($C$51,$E$51,$G$51,$I$51,$K$51)</f>
        <v>0.59100011037480515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1.6813423221397813E-6</v>
      </c>
      <c r="T51" s="328">
        <f>SUM(T11,T15,T19,T23,T27,T35,T39,T43,T47)</f>
        <v>5.3388830940555411E-8</v>
      </c>
      <c r="U51" s="328">
        <f>SUM(U11,U15,U19,U23,U27,U35,U39,U43,U47)</f>
        <v>7.5969979734066987E-10</v>
      </c>
      <c r="V51" s="328">
        <f>SUM(V11,V15,V19,V23,V27,V35,V39,V43,V47)</f>
        <v>5.5728405658002152E-11</v>
      </c>
      <c r="W51" s="328">
        <f>SUM(W11,W15,W19,W23,W27,W35,W39,W43,W47)</f>
        <v>3.741046823909796E-11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8.6398440653358399E-8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2.9245939910467895E-4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3.0987233520835583E-5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5.6088640694623257E-2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5.873401449099503E-2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0.15804178800817092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5.8734014490995023E-2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1.9475442662651513E-26</v>
      </c>
      <c r="AY72" s="75"/>
      <c r="AZ72" s="256">
        <f>output!AF22</f>
        <v>7.2352747782279855E-6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0.18723207404827041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3.3224530195435711E-2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6.3025139280491744E-6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1.1486460396876223E-17</v>
      </c>
      <c r="BE84" s="2"/>
      <c r="BF84" s="304">
        <f>IF(output!AK30&lt;0,"",output!AK30)</f>
        <v>4.2542445914356379E-18</v>
      </c>
      <c r="BG84" s="75"/>
      <c r="BH84" s="311">
        <f>IF(output!AK29&lt;0,"",output!AK29)</f>
        <v>2.552546754756902E-17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1.3447786958558157E-16</v>
      </c>
      <c r="AV85" s="87"/>
      <c r="AW85" s="75"/>
      <c r="AX85" s="304">
        <f>output!AL24</f>
        <v>6.5948289525886133E-2</v>
      </c>
      <c r="AY85" s="87"/>
      <c r="AZ85" s="201"/>
      <c r="BA85" s="311">
        <f>IF(output!AI23&lt;0,"",output!AI23)</f>
        <v>4.6601001547417245E-19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2.0132863509742662E-2</v>
      </c>
      <c r="BE86" s="87"/>
      <c r="BF86" s="304">
        <f>IF(output!AJ30&lt;0,"",output!AJ30)</f>
        <v>7.4566161147195031E-3</v>
      </c>
      <c r="BG86" s="75"/>
      <c r="BH86" s="311">
        <f>IF(output!AJ29&lt;0,"",output!AJ29)</f>
        <v>4.4739696688317024E-2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7.9434147430745436E-2</v>
      </c>
      <c r="AV87" s="200"/>
      <c r="AW87" s="84"/>
      <c r="AX87" s="304">
        <f>IF(output!AH24&lt;0,"",output!AH24)</f>
        <v>2.0505694316543866E-3</v>
      </c>
      <c r="AY87" s="291">
        <f>output!AL24</f>
        <v>6.5948289525886133E-2</v>
      </c>
      <c r="AZ87" s="75"/>
      <c r="BA87" s="311">
        <f>IF(output!AH23&lt;0,"",output!AH23)</f>
        <v>1.8641540287767154E-4</v>
      </c>
      <c r="BB87" s="291">
        <f>output!AL23</f>
        <v>5.9952990478078314E-3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6.1817144506750576E-3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3.8862582042199438E-2</v>
      </c>
      <c r="AT89" s="83"/>
      <c r="AU89" s="302"/>
      <c r="AV89" s="75"/>
      <c r="AW89" s="81"/>
      <c r="AX89" s="265">
        <f>output!AD24</f>
        <v>6.1817144506750576E-3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48.248844596239479</v>
      </c>
      <c r="AT90" s="81"/>
      <c r="AU90" s="278">
        <f>output!AD25</f>
        <v>48.659950889277226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1.0446474583731764E-14</v>
      </c>
      <c r="BB91" s="309">
        <f>IF(ISERROR(output!F15),0,output!F15)</f>
        <v>8.2284898933505013E-4</v>
      </c>
      <c r="BC91" s="2"/>
      <c r="BD91" s="295">
        <f>output!AG28</f>
        <v>6.8814074371359341E-13</v>
      </c>
      <c r="BE91" s="2"/>
      <c r="BF91" s="312">
        <f>output!AG30</f>
        <v>2.5486694211614568E-13</v>
      </c>
      <c r="BG91" s="75"/>
      <c r="BH91" s="295">
        <f>output!AG29</f>
        <v>3.360482198901277E-12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1.7070914682012085E-4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2.0210746872571049E-15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0.32923918049797807</v>
      </c>
      <c r="AZ96" s="75"/>
      <c r="BA96" s="75"/>
      <c r="BB96" s="43"/>
      <c r="BC96" s="2"/>
      <c r="BD96" s="277">
        <f>IF(ISERROR(output!F39),0,output!F39)</f>
        <v>5.4068292609268445E-2</v>
      </c>
      <c r="BE96" s="43"/>
      <c r="BF96" s="277">
        <f>IF(ISERROR(output!F47),0,output!F47)</f>
        <v>2.002529355898831E-2</v>
      </c>
      <c r="BG96" s="43"/>
      <c r="BH96" s="277">
        <f>IF(ISERROR(output!F43),0,output!F43)</f>
        <v>0.26403833299842278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6.0291392890805017E-12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0.36455717186399217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4.9904042368144136E-14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0.4855625414086735</v>
      </c>
      <c r="AW101" s="56"/>
      <c r="AX101" s="307"/>
      <c r="AY101" s="276">
        <f>IF(ISERROR(output!F23),0,output!F23)</f>
        <v>3.9210385227083106E-3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5.0833907144858248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5.5739311549482862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0.17138464025185554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2.1812553737600677E-12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0.49054044046028</v>
      </c>
      <c r="AW111" s="75"/>
      <c r="AX111" s="290">
        <f>output!AF26</f>
        <v>3.5317991365964169E-2</v>
      </c>
      <c r="AY111" s="75"/>
      <c r="AZ111" s="75"/>
      <c r="BA111" s="75"/>
      <c r="BB111" s="76"/>
      <c r="BC111" s="2"/>
      <c r="BD111" s="295">
        <f>output!AF28</f>
        <v>1.0732854473575585E-4</v>
      </c>
      <c r="BE111" s="76"/>
      <c r="BF111" s="295">
        <f>output!AF30</f>
        <v>3.9751312865094766E-5</v>
      </c>
      <c r="BG111" s="43"/>
      <c r="BH111" s="294">
        <f>output!AF29</f>
        <v>2.3850787718080596E-4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2.7434697151377908E-9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2.9590090514721051E-6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1.8602401153273544E-6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2.0488770080876616E-6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3.2867749662808267E-3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3.7085829639110263E-3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2.1180008392447211E-3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1.1635980292375996E-3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2.118000839244722E-3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3.526615090956556E-3</v>
      </c>
      <c r="AT136" s="81">
        <f>output!AD32</f>
        <v>2.7476563352276755E-2</v>
      </c>
      <c r="AU136" s="268">
        <f>output!AF32</f>
        <v>1.1093274801834492E-6</v>
      </c>
      <c r="AV136" s="221"/>
      <c r="AW136" s="221"/>
      <c r="AX136" s="221"/>
      <c r="AY136" s="279">
        <f>output!AE38</f>
        <v>9.1311400710015957E-5</v>
      </c>
      <c r="AZ136" s="266">
        <f>output!AD38</f>
        <v>1.1486858875369736E-3</v>
      </c>
      <c r="BA136" s="268">
        <f>output!AF38</f>
        <v>4.8313891869407534E-8</v>
      </c>
      <c r="BB136" s="75"/>
      <c r="BC136" s="75"/>
      <c r="BD136" s="75"/>
      <c r="BE136" s="279">
        <f>output!AE44</f>
        <v>9.3700442569659225E-5</v>
      </c>
      <c r="BF136" s="266">
        <f>output!AD44</f>
        <v>1.9895823191513873E-3</v>
      </c>
      <c r="BG136" s="268">
        <f>output!AF44</f>
        <v>8.587154714429344E-8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2.986015652014769E-27</v>
      </c>
      <c r="AV141" s="223" t="s">
        <v>446</v>
      </c>
      <c r="AW141" s="221"/>
      <c r="AX141" s="221"/>
      <c r="AY141" s="2"/>
      <c r="AZ141" s="202"/>
      <c r="BA141" s="269">
        <f>output!AG38</f>
        <v>2.6661007520457817E-29</v>
      </c>
      <c r="BB141" s="47" t="s">
        <v>446</v>
      </c>
      <c r="BC141" s="75"/>
      <c r="BD141" s="75"/>
      <c r="BE141" s="2"/>
      <c r="BF141" s="202"/>
      <c r="BG141" s="269">
        <f>output!AG44</f>
        <v>3.9811981636810621E-28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1.2020956951037039E-8</v>
      </c>
      <c r="AW142" s="221"/>
      <c r="AX142" s="221"/>
      <c r="AY142" s="203"/>
      <c r="AZ142" s="202"/>
      <c r="BA142" s="75"/>
      <c r="BB142" s="277">
        <f>IF(ISERROR(output!J11),0,output!J11)</f>
        <v>7.9115080126420727E-10</v>
      </c>
      <c r="BC142" s="75"/>
      <c r="BD142" s="75"/>
      <c r="BE142" s="203"/>
      <c r="BF142" s="75"/>
      <c r="BG142" s="75"/>
      <c r="BH142" s="277">
        <f>IF(ISERROR(output!L11),0,output!L11)</f>
        <v>3.7753592347285757E-10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6.8317999032917622E-18</v>
      </c>
      <c r="AY144" s="2"/>
      <c r="AZ144" s="75"/>
      <c r="BA144" s="75"/>
      <c r="BB144" s="75"/>
      <c r="BC144" s="75"/>
      <c r="BD144" s="270">
        <f>k.sA.aA*M.sA*Molweight</f>
        <v>7.7685944253961011E-20</v>
      </c>
      <c r="BE144" s="2"/>
      <c r="BF144" s="75"/>
      <c r="BG144" s="75"/>
      <c r="BH144" s="75"/>
      <c r="BI144" s="75"/>
      <c r="BJ144" s="270">
        <f>k.sT.aT*M.sT*Molweight</f>
        <v>5.0490076575409291E-19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1.4038002236663165E-15</v>
      </c>
      <c r="AV145" s="221"/>
      <c r="AW145" s="221"/>
      <c r="AX145" s="221"/>
      <c r="AY145" s="2"/>
      <c r="AZ145" s="75"/>
      <c r="BA145" s="270">
        <f>k.w2A.aA*M.w2A*Molweight</f>
        <v>1.7666333413679626E-16</v>
      </c>
      <c r="BB145" s="75"/>
      <c r="BC145" s="75"/>
      <c r="BD145" s="221"/>
      <c r="BE145" s="2"/>
      <c r="BF145" s="75"/>
      <c r="BG145" s="270">
        <f>k.w2T.aT*M.w2T*Molweight</f>
        <v>8.4572306462268067E-15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1.1974419466614065E-2</v>
      </c>
      <c r="AY146" s="2"/>
      <c r="AZ146" s="75"/>
      <c r="BA146" s="221"/>
      <c r="BB146" s="75"/>
      <c r="BC146" s="75"/>
      <c r="BD146" s="270">
        <f>IF(output!AJ42&lt;0,"",output!AJ42)</f>
        <v>4.2293046917096295E-4</v>
      </c>
      <c r="BE146" s="2"/>
      <c r="BF146" s="75"/>
      <c r="BG146" s="221"/>
      <c r="BH146" s="75"/>
      <c r="BI146" s="75"/>
      <c r="BJ146" s="270">
        <f>IF(output!AJ48&lt;0,"",output!AJ48)</f>
        <v>5.6873880148201276E-4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2333.8637156469895</v>
      </c>
      <c r="AT147" s="81">
        <f>output!AD33</f>
        <v>2333.8398306438662</v>
      </c>
      <c r="AU147" s="270">
        <f>IF(output!AH33&lt;0,"",output!AH33)</f>
        <v>1.1974419467227358E-2</v>
      </c>
      <c r="AV147" s="272">
        <f>output!AL33</f>
        <v>1.1910583687713286E-2</v>
      </c>
      <c r="AW147" s="221"/>
      <c r="AX147" s="221"/>
      <c r="AY147" s="279">
        <f>output!AE39</f>
        <v>1713.1349552555653</v>
      </c>
      <c r="AZ147" s="266">
        <f>output!AD39</f>
        <v>1713.1338995796332</v>
      </c>
      <c r="BA147" s="270">
        <f>IF(output!AH39&lt;0,"",output!AH39)</f>
        <v>6.3439570376430177E-4</v>
      </c>
      <c r="BB147" s="272">
        <f>output!AL39</f>
        <v>4.212802334308009E-4</v>
      </c>
      <c r="BC147" s="75"/>
      <c r="BD147" s="75"/>
      <c r="BE147" s="279">
        <f>output!AE45</f>
        <v>4459.8348282626666</v>
      </c>
      <c r="BF147" s="266">
        <f>output!AD45</f>
        <v>4459.8329358130422</v>
      </c>
      <c r="BG147" s="270">
        <f>IF(output!AH45&lt;0,"",output!AH45)</f>
        <v>1.3270572035610289E-3</v>
      </c>
      <c r="BH147" s="272">
        <f>output!AL45</f>
        <v>5.6539259830458649E-4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3.1527544884822102E-2</v>
      </c>
      <c r="AW150" s="221"/>
      <c r="AX150" s="221"/>
      <c r="AY150" s="2"/>
      <c r="AZ150" s="75"/>
      <c r="BA150" s="59"/>
      <c r="BB150" s="273">
        <f>IF(ISERROR(output!J27),0,output!J27)</f>
        <v>3.8165643422632331E-2</v>
      </c>
      <c r="BC150" s="78"/>
      <c r="BD150" s="75"/>
      <c r="BE150" s="2"/>
      <c r="BF150" s="75"/>
      <c r="BG150" s="59"/>
      <c r="BH150" s="273">
        <f>IF(ISERROR(output!L27),0,output!L27)</f>
        <v>2.9431642810762586E-2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4.0928534151671004E-13</v>
      </c>
      <c r="AY151" s="2"/>
      <c r="AZ151" s="75"/>
      <c r="BA151" s="59"/>
      <c r="BB151" s="49"/>
      <c r="BC151" s="75"/>
      <c r="BD151" s="274">
        <f>output!AJ42</f>
        <v>4.2293046917096295E-4</v>
      </c>
      <c r="BE151" s="2"/>
      <c r="BF151" s="75"/>
      <c r="BG151" s="59"/>
      <c r="BH151" s="59"/>
      <c r="BI151" s="75"/>
      <c r="BJ151" s="274">
        <f>output!AG48</f>
        <v>2.8445136182666895E-14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3.1468772923786879E-11</v>
      </c>
      <c r="AW152" s="221"/>
      <c r="AX152" s="221"/>
      <c r="AY152" s="2"/>
      <c r="AZ152" s="75"/>
      <c r="BA152" s="59"/>
      <c r="BB152" s="257">
        <f>output!AG39</f>
        <v>5.4864101984137818E-12</v>
      </c>
      <c r="BC152" s="2"/>
      <c r="BD152" s="75"/>
      <c r="BE152" s="2"/>
      <c r="BF152" s="75"/>
      <c r="BG152" s="59"/>
      <c r="BH152" s="257">
        <f>output!AG45</f>
        <v>1.7828443556406853E-10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1978.4871650378238</v>
      </c>
      <c r="AU153" s="224"/>
      <c r="AV153" s="225"/>
      <c r="AW153" s="221"/>
      <c r="AX153" s="221"/>
      <c r="AY153" s="2"/>
      <c r="AZ153" s="275">
        <f>k.w3A.w2A*M.w3A*Molweight</f>
        <v>1405.9742699172648</v>
      </c>
      <c r="BA153" s="59"/>
      <c r="BB153" s="49"/>
      <c r="BC153" s="2"/>
      <c r="BD153" s="75"/>
      <c r="BE153" s="2"/>
      <c r="BF153" s="275">
        <f>k.w3T.w2T*M.w3T*Molweight</f>
        <v>4459.8329358130422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1978.5074776753399</v>
      </c>
      <c r="AU155" s="221"/>
      <c r="AV155" s="223" t="s">
        <v>2166</v>
      </c>
      <c r="AW155" s="221"/>
      <c r="AX155" s="271">
        <f>IF(ISERROR(output!H47),0,output!H47)</f>
        <v>4.0004795922557571E-4</v>
      </c>
      <c r="AY155" s="2"/>
      <c r="AZ155" s="275">
        <f>k.w2A.w3A*M.w2A*Molweight</f>
        <v>1713.1349552555653</v>
      </c>
      <c r="BA155" s="75"/>
      <c r="BB155" s="223" t="s">
        <v>2166</v>
      </c>
      <c r="BC155" s="47"/>
      <c r="BD155" s="271">
        <f>IF(ISERROR(output!J47),0,output!J47)</f>
        <v>4.3758245182162913E-5</v>
      </c>
      <c r="BE155" s="2"/>
      <c r="BF155" s="275">
        <f>k.w2T.w3T*M.w2T*Molweight</f>
        <v>4152.705747283243</v>
      </c>
      <c r="BG155" s="75"/>
      <c r="BH155" s="223" t="s">
        <v>2166</v>
      </c>
      <c r="BI155" s="47"/>
      <c r="BJ155" s="271">
        <f>IF(ISERROR(output!L47),0,output!L47)</f>
        <v>4.5812565775904709E-6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0.9458166360796042</v>
      </c>
      <c r="AW156" s="221"/>
      <c r="AX156" s="221"/>
      <c r="AY156" s="203"/>
      <c r="AZ156" s="2"/>
      <c r="BA156" s="75"/>
      <c r="BB156" s="273">
        <f>IF(ISERROR(output!J31),0,output!J31)</f>
        <v>0.93967925555029908</v>
      </c>
      <c r="BC156" s="75"/>
      <c r="BD156" s="75"/>
      <c r="BE156" s="203"/>
      <c r="BF156" s="2"/>
      <c r="BG156" s="75"/>
      <c r="BH156" s="273">
        <f>IF(ISERROR(output!L31),0,output!L31)</f>
        <v>0.94825074024372924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2285.6436412007552</v>
      </c>
      <c r="AT157" s="266">
        <f>output!AD34</f>
        <v>2285.6603707723812</v>
      </c>
      <c r="AU157" s="221"/>
      <c r="AV157" s="225"/>
      <c r="AW157" s="226"/>
      <c r="AX157" s="221"/>
      <c r="AY157" s="279">
        <f>output!AE40</f>
        <v>1713.127163014306</v>
      </c>
      <c r="AZ157" s="266">
        <f>output!AD40</f>
        <v>1713.1349552555653</v>
      </c>
      <c r="BA157" s="75"/>
      <c r="BB157" s="2"/>
      <c r="BC157" s="76"/>
      <c r="BD157" s="75"/>
      <c r="BE157" s="279">
        <f>output!AE46</f>
        <v>4459.8329358130422</v>
      </c>
      <c r="BF157" s="266">
        <f>output!AD46</f>
        <v>4459.8622234461736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9.4405349535027647E-10</v>
      </c>
      <c r="AW158" s="226"/>
      <c r="AX158" s="221"/>
      <c r="AY158" s="2"/>
      <c r="AZ158" s="75"/>
      <c r="BA158" s="75"/>
      <c r="BB158" s="274">
        <f>output!AG40</f>
        <v>1.3508132939878137E-10</v>
      </c>
      <c r="BC158" s="2"/>
      <c r="BD158" s="75"/>
      <c r="BE158" s="2"/>
      <c r="BF158" s="75"/>
      <c r="BG158" s="75"/>
      <c r="BH158" s="274">
        <f>output!AG46</f>
        <v>5.7441016488465291E-9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58.168349452687579</v>
      </c>
      <c r="AU159" s="221"/>
      <c r="AV159" s="221"/>
      <c r="AW159" s="226"/>
      <c r="AX159" s="221"/>
      <c r="AY159" s="2"/>
      <c r="AZ159" s="272">
        <f>k.sdA.w3A*M.sdA*Molweight</f>
        <v>38.246162567718571</v>
      </c>
      <c r="BA159" s="2"/>
      <c r="BB159" s="75"/>
      <c r="BC159" s="2"/>
      <c r="BD159" s="75"/>
      <c r="BE159" s="2"/>
      <c r="BF159" s="275">
        <f>k.sdT.w3T*M.sdT*Molweight</f>
        <v>143.7506021178219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58.185079023369177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38.253954808842671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143.77988974520892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2.2255759055391254E-2</v>
      </c>
      <c r="AW162" s="221"/>
      <c r="AX162" s="221"/>
      <c r="AY162" s="2"/>
      <c r="AZ162" s="75"/>
      <c r="BA162" s="47"/>
      <c r="BB162" s="276">
        <f>IF(ISERROR(output!J35),0,output!J35)</f>
        <v>2.2111341990735636E-2</v>
      </c>
      <c r="BC162" s="75"/>
      <c r="BD162" s="75"/>
      <c r="BE162" s="2"/>
      <c r="BF162" s="75"/>
      <c r="BG162" s="47"/>
      <c r="BH162" s="276">
        <f>IF(ISERROR(output!L35),0,output!L35)</f>
        <v>2.2313035311394704E-2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2.2769659826118848E-11</v>
      </c>
      <c r="AV164" s="269">
        <f>output!AF35</f>
        <v>1.6729570658823998E-2</v>
      </c>
      <c r="AW164" s="221"/>
      <c r="AX164" s="274">
        <f>output!AF36</f>
        <v>6.3835778491483017E-5</v>
      </c>
      <c r="AY164" s="2"/>
      <c r="AZ164" s="2"/>
      <c r="BA164" s="269">
        <f>output!AG41</f>
        <v>3.2580313874373059E-12</v>
      </c>
      <c r="BB164" s="269">
        <f>output!AF41</f>
        <v>7.7922411208371737E-3</v>
      </c>
      <c r="BC164" s="75"/>
      <c r="BD164" s="274">
        <f>output!AF42</f>
        <v>1.650235733714334E-6</v>
      </c>
      <c r="BE164" s="2"/>
      <c r="BF164" s="2"/>
      <c r="BG164" s="269">
        <f>output!AG47</f>
        <v>1.3854219193614754E-10</v>
      </c>
      <c r="BH164" s="269">
        <f>output!AF47</f>
        <v>2.928762724846699E-2</v>
      </c>
      <c r="BI164" s="75"/>
      <c r="BJ164" s="274">
        <f>output!AF48</f>
        <v>3.3462031489806793E-6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3028.2530806924142</v>
      </c>
      <c r="BA172" s="128">
        <f>output!I11</f>
        <v>131.88773784778036</v>
      </c>
      <c r="BB172" s="128">
        <f>output!K11</f>
        <v>234.41299510630313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7942244973.7576408</v>
      </c>
      <c r="BA173" s="128">
        <f>output!I27</f>
        <v>6362352621.6148214</v>
      </c>
      <c r="BB173" s="128">
        <f>output!K27</f>
        <v>18274180318.275745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238264903006.00464</v>
      </c>
      <c r="BA174" s="128">
        <f>output!I31</f>
        <v>156647975479.49106</v>
      </c>
      <c r="BB174" s="128">
        <f>output!K31</f>
        <v>588771246157.40649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5606547897.7380791</v>
      </c>
      <c r="BA175" s="128">
        <f>output!I35</f>
        <v>3686041739.8008556</v>
      </c>
      <c r="BB175" s="128">
        <f>output!K35</f>
        <v>13854219193.614758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100777872.33445273</v>
      </c>
      <c r="BA176" s="128">
        <f>output!I47</f>
        <v>7294659.8297594311</v>
      </c>
      <c r="BB176" s="128">
        <f>output!K47</f>
        <v>2844513.6182666896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35019.874475915043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105059.62342774511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105059.62342774511</v>
      </c>
      <c r="G11" s="508">
        <f>2*Scale*(M.tot/Emis.tot)/(3600*24*365)</f>
        <v>210119.24685549023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9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6.814519572645419E-7</v>
      </c>
      <c r="L147" s="664">
        <f t="shared" ref="L147:L167" si="7">IF(ISBLANK(I147),IF(ISNUMBER(J147)=FALSE,K147,J147),I147)</f>
        <v>6.814519572645419E-7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7.32609943251728E-8</v>
      </c>
      <c r="L148" s="664">
        <f t="shared" si="7"/>
        <v>7.32609943251728E-8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2.6772813157749081E-8</v>
      </c>
      <c r="L149" s="664">
        <f t="shared" si="7"/>
        <v>2.6772813157749081E-8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9.4637647157566862E-9</v>
      </c>
      <c r="L150" s="664">
        <f t="shared" si="7"/>
        <v>9.4637647157566862E-9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2.0187699056064087E-6</v>
      </c>
      <c r="L151" s="664">
        <f t="shared" si="7"/>
        <v>2.0187699056064087E-6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7.0577588290635961E-7</v>
      </c>
      <c r="L153" s="664">
        <f t="shared" si="7"/>
        <v>7.0577588290635961E-7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2.8953682563883001E-9</v>
      </c>
      <c r="L191" s="664">
        <f t="shared" si="9"/>
        <v>2.8953682563883001E-9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9.1429324159056462E-10</v>
      </c>
      <c r="L192" s="664">
        <f t="shared" si="9"/>
        <v>9.1429324159056462E-10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6.814519572645419E-7</v>
      </c>
      <c r="L153" s="664">
        <f t="shared" ref="L153:L173" si="6">IF(ISBLANK(I153),IF(ISNUMBER(J153)=FALSE,K153,J153),I153)</f>
        <v>6.814519572645419E-7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3.6630497162586398E-9</v>
      </c>
      <c r="L154" s="664">
        <f t="shared" si="6"/>
        <v>3.6630497162586398E-9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2.6793953018979758E-8</v>
      </c>
      <c r="L155" s="664">
        <f t="shared" si="6"/>
        <v>2.6793953018979758E-8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9.4647246240098576E-9</v>
      </c>
      <c r="L156" s="664">
        <f t="shared" si="6"/>
        <v>9.4647246240098576E-9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2.0187699056064087E-6</v>
      </c>
      <c r="L157" s="664">
        <f t="shared" si="6"/>
        <v>2.0187699056064087E-6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7.0577588290635961E-7</v>
      </c>
      <c r="L159" s="664">
        <f t="shared" si="6"/>
        <v>7.0577588290635961E-7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2.1989886868443805E-11</v>
      </c>
      <c r="L171" s="664">
        <f t="shared" si="6"/>
        <v>2.1989886868443805E-11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2.8742283951576208E-9</v>
      </c>
      <c r="L197" s="664">
        <f t="shared" si="11"/>
        <v>2.8742283951576208E-9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9.1333333333739463E-10</v>
      </c>
      <c r="L198" s="664">
        <f t="shared" si="11"/>
        <v>9.1333333333739463E-10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2.4420331441724265E-10</v>
      </c>
      <c r="L103" s="664">
        <f t="shared" ref="L103:L109" si="6">IF(ISBLANK(I103),IF(ISNUMBER(J103)=FALSE,K103,J103),I103)</f>
        <v>2.4420331441724265E-10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1.0375074023028534E-8</v>
      </c>
      <c r="L104" s="664">
        <f t="shared" si="6"/>
        <v>1.0375074023028534E-8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7.0577588290635961E-7</v>
      </c>
      <c r="L105" s="664">
        <f t="shared" si="6"/>
        <v>7.0577588290635961E-7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2.9839343187174201E-12</v>
      </c>
      <c r="L126" s="664">
        <f t="shared" si="7"/>
        <v>2.9839343187174201E-12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2.4420331441724265E-10</v>
      </c>
      <c r="L239" s="664">
        <f t="shared" ref="L239:L245" si="14">IF(ISBLANK(I239),IF(ISNUMBER(J239)=FALSE,K239,J239),I239)</f>
        <v>2.4420331441724265E-10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1.0375943971210938E-8</v>
      </c>
      <c r="L240" s="664">
        <f t="shared" si="14"/>
        <v>1.0375943971210938E-8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7.0577588290635961E-7</v>
      </c>
      <c r="L241" s="664">
        <f t="shared" si="14"/>
        <v>7.0577588290635961E-7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2.1139861331348332E-12</v>
      </c>
      <c r="L262" s="664">
        <f t="shared" si="15"/>
        <v>2.1139861331348332E-12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2.4420331441724265E-10</v>
      </c>
      <c r="L375" s="664">
        <f t="shared" ref="L375:L381" si="22">IF(ISBLANK(I375),IF(ISNUMBER(J375)=FALSE,K375,J375),I375)</f>
        <v>2.4420331441724265E-10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1.0375943971210938E-8</v>
      </c>
      <c r="L376" s="664">
        <f t="shared" si="22"/>
        <v>1.0375943971210938E-8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7.0577588290635961E-7</v>
      </c>
      <c r="L377" s="664">
        <f t="shared" si="22"/>
        <v>7.0577588290635961E-7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2.1139861422509831E-12</v>
      </c>
      <c r="L398" s="664">
        <f t="shared" si="23"/>
        <v>2.1139861422509831E-12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9.4637647157566862E-9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2.6793953018979758E-8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9.4647246240098576E-9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-1.0378057957347253E-8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8628418481253.7051</v>
      </c>
      <c r="D45" s="370">
        <f t="array" ref="D45:AJ45">TRANSPOSE(MMULT(MINVERSE(D9:AJ41),-TRANSPOSE(D5:AJ5)))</f>
        <v>162898.24261491038</v>
      </c>
      <c r="E45" s="370">
        <v>128556537.50908683</v>
      </c>
      <c r="F45" s="370">
        <v>45293316.363353387</v>
      </c>
      <c r="G45" s="370">
        <v>2544943.6203051591</v>
      </c>
      <c r="H45" s="370">
        <v>1040347524.3717327</v>
      </c>
      <c r="I45" s="370">
        <v>17965316.91105707</v>
      </c>
      <c r="J45" s="370">
        <v>2530387099.5084152</v>
      </c>
      <c r="K45" s="370">
        <v>60522476535.361671</v>
      </c>
      <c r="L45" s="370">
        <v>937180407.2253387</v>
      </c>
      <c r="M45" s="370">
        <v>162211.92794600641</v>
      </c>
      <c r="N45" s="370">
        <v>21178203.252265774</v>
      </c>
      <c r="O45" s="370">
        <v>4393653.0945963217</v>
      </c>
      <c r="P45" s="370">
        <v>12497241081.804867</v>
      </c>
      <c r="Q45" s="370">
        <v>100918336.01325338</v>
      </c>
      <c r="R45" s="370">
        <v>4411038711.3720179</v>
      </c>
      <c r="S45" s="370">
        <v>1391591051.6064494</v>
      </c>
      <c r="T45" s="370">
        <v>6795727472.6056948</v>
      </c>
      <c r="U45" s="370">
        <v>515404093.18757379</v>
      </c>
      <c r="V45" s="370">
        <v>24870.672476120351</v>
      </c>
      <c r="W45" s="370">
        <v>65228687366.603485</v>
      </c>
      <c r="X45" s="370">
        <v>1956840530601.2207</v>
      </c>
      <c r="Y45" s="370">
        <v>46045892721.239151</v>
      </c>
      <c r="Z45" s="370">
        <v>827676349.65877736</v>
      </c>
      <c r="AA45" s="370">
        <v>1083.177873257066</v>
      </c>
      <c r="AB45" s="370">
        <v>52253224553.341171</v>
      </c>
      <c r="AC45" s="370">
        <v>1286530679036.5559</v>
      </c>
      <c r="AD45" s="370">
        <v>30273010346.590469</v>
      </c>
      <c r="AE45" s="370">
        <v>59910149.718786389</v>
      </c>
      <c r="AF45" s="370">
        <v>1925.205281753475</v>
      </c>
      <c r="AG45" s="370">
        <v>150083609709.8862</v>
      </c>
      <c r="AH45" s="370">
        <v>4835506292357.1494</v>
      </c>
      <c r="AI45" s="370">
        <v>113783009145.9819</v>
      </c>
      <c r="AJ45" s="371">
        <v>23361642.725580562</v>
      </c>
    </row>
    <row r="46" spans="1:36" ht="12.75" customHeight="1" x14ac:dyDescent="0.2">
      <c r="B46" s="255" t="s">
        <v>2410</v>
      </c>
      <c r="C46" s="531">
        <f>SUM(D46:AJ46)</f>
        <v>16974711770137.699</v>
      </c>
      <c r="D46" s="383">
        <f>D45</f>
        <v>162898.24261491038</v>
      </c>
      <c r="E46" s="383"/>
      <c r="F46" s="383">
        <f t="shared" ref="F46:AJ46" si="0">F45</f>
        <v>45293316.363353387</v>
      </c>
      <c r="G46" s="383">
        <f t="shared" si="0"/>
        <v>2544943.6203051591</v>
      </c>
      <c r="H46" s="383">
        <f t="shared" si="0"/>
        <v>1040347524.3717327</v>
      </c>
      <c r="I46" s="383">
        <f t="shared" si="0"/>
        <v>17965316.91105707</v>
      </c>
      <c r="J46" s="383">
        <f t="shared" si="0"/>
        <v>2530387099.5084152</v>
      </c>
      <c r="K46" s="383">
        <f t="shared" si="0"/>
        <v>60522476535.361671</v>
      </c>
      <c r="L46" s="383">
        <f t="shared" si="0"/>
        <v>937180407.2253387</v>
      </c>
      <c r="M46" s="383">
        <f t="shared" si="0"/>
        <v>162211.92794600641</v>
      </c>
      <c r="N46" s="383"/>
      <c r="O46" s="383">
        <f t="shared" si="0"/>
        <v>4393653.0945963217</v>
      </c>
      <c r="P46" s="383">
        <f t="shared" si="0"/>
        <v>12497241081.804867</v>
      </c>
      <c r="Q46" s="383">
        <f t="shared" si="0"/>
        <v>100918336.01325338</v>
      </c>
      <c r="R46" s="383">
        <f t="shared" si="0"/>
        <v>4411038711.3720179</v>
      </c>
      <c r="S46" s="383">
        <f t="shared" si="0"/>
        <v>1391591051.6064494</v>
      </c>
      <c r="T46" s="383">
        <f t="shared" si="0"/>
        <v>6795727472.6056948</v>
      </c>
      <c r="U46" s="383">
        <f t="shared" si="0"/>
        <v>515404093.18757379</v>
      </c>
      <c r="V46" s="383">
        <f t="shared" si="0"/>
        <v>24870.672476120351</v>
      </c>
      <c r="W46" s="383">
        <f>SUM(W45:X45)</f>
        <v>2022069217967.8242</v>
      </c>
      <c r="X46" s="383">
        <f>SUM(W45:X45)</f>
        <v>2022069217967.8242</v>
      </c>
      <c r="Y46" s="383">
        <f t="shared" si="0"/>
        <v>46045892721.239151</v>
      </c>
      <c r="Z46" s="383">
        <f t="shared" si="0"/>
        <v>827676349.65877736</v>
      </c>
      <c r="AA46" s="383">
        <f t="shared" si="0"/>
        <v>1083.177873257066</v>
      </c>
      <c r="AB46" s="383">
        <f>SUM(AB45:AC45)</f>
        <v>1338783903589.897</v>
      </c>
      <c r="AC46" s="383">
        <f>SUM(AB45:AC45)</f>
        <v>1338783903589.897</v>
      </c>
      <c r="AD46" s="383">
        <f t="shared" si="0"/>
        <v>30273010346.590469</v>
      </c>
      <c r="AE46" s="383">
        <f t="shared" si="0"/>
        <v>59910149.718786389</v>
      </c>
      <c r="AF46" s="383">
        <f t="shared" si="0"/>
        <v>1925.205281753475</v>
      </c>
      <c r="AG46" s="383">
        <f>SUM(AG45:AH45)</f>
        <v>4985589902067.0352</v>
      </c>
      <c r="AH46" s="383">
        <f>SUM(AG45:AH45)</f>
        <v>4985589902067.0352</v>
      </c>
      <c r="AI46" s="383">
        <f t="shared" si="0"/>
        <v>113783009145.9819</v>
      </c>
      <c r="AJ46" s="384">
        <f t="shared" si="0"/>
        <v>23361642.725580562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8.5294299994861316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>
        <f t="shared" si="1"/>
        <v>3.8079580193782747</v>
      </c>
      <c r="I48" s="515" t="str">
        <f t="shared" si="1"/>
        <v/>
      </c>
      <c r="J48" s="515">
        <f t="shared" si="1"/>
        <v>6.0470774062530257</v>
      </c>
      <c r="K48" s="515">
        <f t="shared" si="1"/>
        <v>3.4677179296267759</v>
      </c>
      <c r="L48" s="515">
        <f t="shared" si="1"/>
        <v>6.0470774062530257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3.8667060443055474</v>
      </c>
      <c r="Q48" s="515" t="str">
        <f t="shared" si="1"/>
        <v/>
      </c>
      <c r="R48" s="515">
        <f t="shared" si="1"/>
        <v>6.1661952157258799</v>
      </c>
      <c r="S48" s="515">
        <f t="shared" si="1"/>
        <v>5.3328603185709778</v>
      </c>
      <c r="T48" s="515">
        <f t="shared" si="1"/>
        <v>5.2346875212231936</v>
      </c>
      <c r="U48" s="515" t="str">
        <f t="shared" si="1"/>
        <v/>
      </c>
      <c r="V48" s="515" t="str">
        <f t="shared" si="1"/>
        <v/>
      </c>
      <c r="W48" s="515">
        <f t="shared" si="1"/>
        <v>5.656092077102957</v>
      </c>
      <c r="X48" s="515">
        <f t="shared" si="1"/>
        <v>5.656092077102957</v>
      </c>
      <c r="Y48" s="515">
        <f t="shared" si="1"/>
        <v>7.4659830800540741</v>
      </c>
      <c r="Z48" s="515" t="str">
        <f t="shared" si="1"/>
        <v/>
      </c>
      <c r="AA48" s="515" t="str">
        <f t="shared" si="1"/>
        <v/>
      </c>
      <c r="AB48" s="515">
        <f t="shared" si="1"/>
        <v>4.8208618979575064</v>
      </c>
      <c r="AC48" s="515">
        <f t="shared" si="1"/>
        <v>4.8208618979575064</v>
      </c>
      <c r="AD48" s="515">
        <f t="shared" si="1"/>
        <v>6.5906381432786221</v>
      </c>
      <c r="AE48" s="515" t="str">
        <f t="shared" si="1"/>
        <v/>
      </c>
      <c r="AF48" s="515" t="str">
        <f t="shared" si="1"/>
        <v/>
      </c>
      <c r="AG48" s="515">
        <f t="shared" si="1"/>
        <v>6.6562394129886169</v>
      </c>
      <c r="AH48" s="515">
        <f t="shared" si="1"/>
        <v>6.6562394129886169</v>
      </c>
      <c r="AI48" s="515">
        <f t="shared" si="1"/>
        <v>8.5294299994861316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1.8879270050337355E-8</v>
      </c>
      <c r="E49" s="151">
        <f t="shared" si="2"/>
        <v>1.4899200564783876E-5</v>
      </c>
      <c r="F49" s="151">
        <f t="shared" si="2"/>
        <v>5.2493184541012536E-6</v>
      </c>
      <c r="G49" s="151">
        <f t="shared" si="2"/>
        <v>2.9494902522801374E-7</v>
      </c>
      <c r="H49" s="151">
        <f t="shared" si="2"/>
        <v>1.2057221455264542E-4</v>
      </c>
      <c r="I49" s="151">
        <f t="shared" si="2"/>
        <v>2.0821100587655685E-6</v>
      </c>
      <c r="J49" s="151">
        <f t="shared" si="2"/>
        <v>2.9326198132438651E-4</v>
      </c>
      <c r="K49" s="151">
        <f t="shared" si="2"/>
        <v>7.0143186340410075E-3</v>
      </c>
      <c r="L49" s="151">
        <f t="shared" si="2"/>
        <v>1.0861554863866163E-4</v>
      </c>
      <c r="M49" s="151">
        <f t="shared" si="2"/>
        <v>1.8799728860906744E-8</v>
      </c>
      <c r="N49" s="151">
        <f t="shared" si="2"/>
        <v>2.4544710364104399E-6</v>
      </c>
      <c r="O49" s="151">
        <f t="shared" si="2"/>
        <v>5.0920723237312501E-7</v>
      </c>
      <c r="P49" s="151">
        <f t="shared" si="2"/>
        <v>1.4483814280631673E-3</v>
      </c>
      <c r="Q49" s="151">
        <f t="shared" si="2"/>
        <v>1.1696040964228938E-5</v>
      </c>
      <c r="R49" s="151">
        <f t="shared" si="2"/>
        <v>5.1122215745046898E-4</v>
      </c>
      <c r="S49" s="151">
        <f t="shared" si="2"/>
        <v>1.6127996742738558E-4</v>
      </c>
      <c r="T49" s="151">
        <f t="shared" si="2"/>
        <v>7.8759827045596408E-4</v>
      </c>
      <c r="U49" s="151">
        <f t="shared" si="2"/>
        <v>5.9733321269402065E-5</v>
      </c>
      <c r="V49" s="151">
        <f t="shared" si="2"/>
        <v>2.8824137969379823E-9</v>
      </c>
      <c r="W49" s="151">
        <f t="shared" si="2"/>
        <v>7.5597500872634756E-3</v>
      </c>
      <c r="X49" s="151">
        <f t="shared" si="2"/>
        <v>0.22679017421937708</v>
      </c>
      <c r="Y49" s="151">
        <f t="shared" si="2"/>
        <v>5.3365391144714978E-3</v>
      </c>
      <c r="Z49" s="151">
        <f t="shared" si="2"/>
        <v>9.5924456081610492E-5</v>
      </c>
      <c r="AA49" s="151">
        <f t="shared" si="2"/>
        <v>1.2553608469621665E-10</v>
      </c>
      <c r="AB49" s="151">
        <f t="shared" si="2"/>
        <v>6.0559446284238179E-3</v>
      </c>
      <c r="AC49" s="151">
        <f t="shared" si="2"/>
        <v>0.1491038806047367</v>
      </c>
      <c r="AD49" s="151">
        <f t="shared" si="2"/>
        <v>3.5085236549852431E-3</v>
      </c>
      <c r="AE49" s="151">
        <f t="shared" si="2"/>
        <v>6.9433523477041033E-6</v>
      </c>
      <c r="AF49" s="151">
        <f t="shared" si="2"/>
        <v>2.2312377244291281E-10</v>
      </c>
      <c r="AG49" s="151">
        <f t="shared" si="2"/>
        <v>1.7394104149672528E-2</v>
      </c>
      <c r="AH49" s="151">
        <f t="shared" si="2"/>
        <v>0.5604162921470347</v>
      </c>
      <c r="AI49" s="151">
        <f t="shared" si="2"/>
        <v>1.3187006331831194E-2</v>
      </c>
      <c r="AJ49" s="253">
        <f t="shared" si="2"/>
        <v>2.7075231430112703E-6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7.0957983453809463E-10</v>
      </c>
      <c r="E50" s="179">
        <f t="shared" si="3"/>
        <v>2.2497534673681908E-3</v>
      </c>
      <c r="F50" s="179">
        <f t="shared" si="3"/>
        <v>2.4019333040791635E-3</v>
      </c>
      <c r="G50" s="179">
        <f t="shared" si="3"/>
        <v>2.5449436203051561E-4</v>
      </c>
      <c r="H50" s="179">
        <f t="shared" si="3"/>
        <v>5.5170289288566607</v>
      </c>
      <c r="I50" s="179">
        <f t="shared" si="3"/>
        <v>0.59884389703523511</v>
      </c>
      <c r="J50" s="179">
        <f t="shared" si="3"/>
        <v>0.82003798155955621</v>
      </c>
      <c r="K50" s="179">
        <f t="shared" si="3"/>
        <v>2.2065624147001528</v>
      </c>
      <c r="L50" s="179">
        <f t="shared" si="3"/>
        <v>0.8200379815595561</v>
      </c>
      <c r="M50" s="179">
        <f t="shared" si="3"/>
        <v>2.2531781497517992E-11</v>
      </c>
      <c r="N50" s="179">
        <f t="shared" si="3"/>
        <v>2.430197972628207E-5</v>
      </c>
      <c r="O50" s="179">
        <f t="shared" si="3"/>
        <v>1.5277924731663554E-5</v>
      </c>
      <c r="P50" s="179">
        <f t="shared" si="3"/>
        <v>1.6827176479037957E-5</v>
      </c>
      <c r="Q50" s="179">
        <f t="shared" si="3"/>
        <v>3.5092045467847194E-2</v>
      </c>
      <c r="R50" s="179">
        <f t="shared" si="3"/>
        <v>3.9595580265147291E-2</v>
      </c>
      <c r="S50" s="179">
        <f t="shared" si="3"/>
        <v>2.9571299496682215E-2</v>
      </c>
      <c r="T50" s="179">
        <f t="shared" si="3"/>
        <v>1.624603030308738E-2</v>
      </c>
      <c r="U50" s="179">
        <f t="shared" si="3"/>
        <v>2.9571299496682222E-2</v>
      </c>
      <c r="V50" s="179">
        <f t="shared" si="3"/>
        <v>3.2061743132076053E-13</v>
      </c>
      <c r="W50" s="179">
        <f t="shared" si="3"/>
        <v>1.6817763341128363E-5</v>
      </c>
      <c r="X50" s="179">
        <f t="shared" si="3"/>
        <v>1.6817590679091734E-5</v>
      </c>
      <c r="Y50" s="179">
        <f t="shared" si="3"/>
        <v>3.9573024174905463E-2</v>
      </c>
      <c r="Z50" s="179">
        <f t="shared" si="3"/>
        <v>4.2679580207947195E-4</v>
      </c>
      <c r="AA50" s="179">
        <f t="shared" si="3"/>
        <v>2.5486538194283906E-14</v>
      </c>
      <c r="AB50" s="179">
        <f t="shared" si="3"/>
        <v>2.0491460609153399E-5</v>
      </c>
      <c r="AC50" s="179">
        <f t="shared" si="3"/>
        <v>1.6817394497209881E-5</v>
      </c>
      <c r="AD50" s="179">
        <f t="shared" si="3"/>
        <v>3.9572562544562706E-2</v>
      </c>
      <c r="AE50" s="179">
        <f t="shared" si="3"/>
        <v>7.0482529080925169E-5</v>
      </c>
      <c r="AF50" s="179">
        <f t="shared" si="3"/>
        <v>1.5099649268654707E-14</v>
      </c>
      <c r="AG50" s="179">
        <f t="shared" si="3"/>
        <v>1.6816090723796774E-5</v>
      </c>
      <c r="AH50" s="179">
        <f t="shared" si="3"/>
        <v>1.8059780737094865E-5</v>
      </c>
      <c r="AI50" s="179">
        <f t="shared" si="3"/>
        <v>4.2495988476557202E-2</v>
      </c>
      <c r="AJ50" s="380">
        <f t="shared" si="3"/>
        <v>1.221523802644735E-5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1.6813423221396697E-6</v>
      </c>
      <c r="E51" s="385">
        <f>E50*Kaw.R*8.314*TEMP.R</f>
        <v>2.0359240370411098E-20</v>
      </c>
      <c r="F51" s="385">
        <f>F50*Kaw.R*8.314*TEMP.R</f>
        <v>2.1736398321301167E-20</v>
      </c>
      <c r="G51" s="385">
        <f>G50*Kaw.R*8.314*TEMP.R</f>
        <v>2.303057630378896E-21</v>
      </c>
      <c r="H51" s="385">
        <f>H50*Kaw.R/Ksdw1.R*8.314*TEMP.R</f>
        <v>3.9915725625071501E-20</v>
      </c>
      <c r="I51" s="385">
        <f>I50*Kaw.R/Ksdw2.R*8.314*TEMP.R</f>
        <v>4.3326379097418812E-21</v>
      </c>
      <c r="J51" s="385">
        <f>J50*Kaw.R/Ks1w.R*8.314*TEMP.R</f>
        <v>4.9466530063892188E-21</v>
      </c>
      <c r="K51" s="385">
        <f>K50*Kaw.R/Ks2w.R*8.314*TEMP.R</f>
        <v>1.331047932890075E-20</v>
      </c>
      <c r="L51" s="385">
        <f>L50*Kaw.R/Ks3w.R*8.314*TEMP.R</f>
        <v>4.9466530063892188E-21</v>
      </c>
      <c r="M51" s="385">
        <f>M50*8.314*TEMP.C</f>
        <v>5.3388830940553909E-8</v>
      </c>
      <c r="N51" s="385">
        <f>N50*Kaw.C*8.314*TEMP.C</f>
        <v>2.199218065004368E-22</v>
      </c>
      <c r="O51" s="385">
        <f>O50*Kaw.C*8.314*TEMP.C</f>
        <v>1.3825823428415739E-22</v>
      </c>
      <c r="P51" s="385">
        <f>P50*Kaw.C*8.314*TEMP.C</f>
        <v>1.5227825433371993E-22</v>
      </c>
      <c r="Q51" s="385">
        <f>Q50*Kaw.C/Ksdw1.C*8.314*TEMP.C</f>
        <v>2.5389108460002331E-22</v>
      </c>
      <c r="R51" s="385">
        <f>R50*Kaw.C/Ksdw2.C*8.314*TEMP.C</f>
        <v>2.864741762658569E-22</v>
      </c>
      <c r="S51" s="385">
        <f>S50*Kaw.C/Ks1w.C*8.314*TEMP.C</f>
        <v>1.7838071022015879E-22</v>
      </c>
      <c r="T51" s="385">
        <f>T50*Kaw.C/Ks2w.C*8.314*TEMP.C</f>
        <v>9.7999698121081539E-23</v>
      </c>
      <c r="U51" s="385">
        <f>U50*Kaw.C/Ks3w.C*8.314*TEMP.C</f>
        <v>1.7838071022015882E-22</v>
      </c>
      <c r="V51" s="385">
        <f>V50*8.314*TEMP.M</f>
        <v>7.5969979734022877E-10</v>
      </c>
      <c r="W51" s="385">
        <f>W50*Kaw.M*8.314*TEMP.M</f>
        <v>1.5219306973899834E-22</v>
      </c>
      <c r="X51" s="385">
        <f>X50*Kaw.M*8.314*TEMP.M</f>
        <v>1.5219150722650194E-22</v>
      </c>
      <c r="Y51" s="385">
        <f>Y50*Kaw.M/Ksdw.M*8.314*TEMP.M</f>
        <v>2.86310982865772E-22</v>
      </c>
      <c r="Z51" s="372">
        <f>Z50*Kaw.M/Kslw.M*8.314*TEMP.M</f>
        <v>2.5745279913201057E-24</v>
      </c>
      <c r="AA51" s="385">
        <f>AA50*8.314*TEMP.A</f>
        <v>5.5728405657933696E-11</v>
      </c>
      <c r="AB51" s="385">
        <f>AB50*Kaw.A*8.314*TEMP.A</f>
        <v>2.6882961026338747E-23</v>
      </c>
      <c r="AC51" s="385">
        <f>AC50*Kaw.A*8.314*TEMP.A</f>
        <v>2.2062915350753781E-23</v>
      </c>
      <c r="AD51" s="385">
        <f>AD50*Kaw.A/Ksdw.A*8.314*TEMP.A</f>
        <v>4.1505962415888265E-23</v>
      </c>
      <c r="AE51" s="372">
        <f>AE50*Kaw.A/Kslw.A*8.314*TEMP.A</f>
        <v>6.1636292142217877E-26</v>
      </c>
      <c r="AF51" s="385">
        <f>AF50*8.314*TEMP.T</f>
        <v>3.7410468237839379E-11</v>
      </c>
      <c r="AG51" s="385">
        <f>AG50*Kaw.T*8.314*TEMP.T</f>
        <v>4.1663075526738617E-22</v>
      </c>
      <c r="AH51" s="385">
        <f>AH50*Kaw.T*8.314*TEMP.T</f>
        <v>4.4744407080365598E-22</v>
      </c>
      <c r="AI51" s="385">
        <f>AI50*Kaw.T/Ksdw.T*8.314*TEMP.T</f>
        <v>8.4175624529773599E-22</v>
      </c>
      <c r="AJ51" s="386">
        <f>AJ50*Kaw.T/Kslw.T*8.314*TEMP.T</f>
        <v>2.0173398018704977E-25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-2.6042267900016283</v>
      </c>
      <c r="E55" s="370">
        <f t="shared" ref="E55:AJ55" si="4">E9*E$45</f>
        <v>2.3232485030392438E-17</v>
      </c>
      <c r="F55" s="370">
        <f t="shared" si="4"/>
        <v>2.5444289271440985E-16</v>
      </c>
      <c r="G55" s="370">
        <f t="shared" si="4"/>
        <v>4.4982148437965899E-18</v>
      </c>
      <c r="H55" s="389">
        <f t="shared" si="4"/>
        <v>0</v>
      </c>
      <c r="I55" s="389">
        <f t="shared" si="4"/>
        <v>0</v>
      </c>
      <c r="J55" s="370">
        <f t="shared" si="4"/>
        <v>1.7153664729437244E-16</v>
      </c>
      <c r="K55" s="370">
        <f t="shared" si="4"/>
        <v>1.8670235796421942E-15</v>
      </c>
      <c r="L55" s="370">
        <f t="shared" si="4"/>
        <v>6.3532091590508296E-17</v>
      </c>
      <c r="M55" s="370">
        <f t="shared" si="4"/>
        <v>4.8726828896506487E-2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2.783892697056358E-3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2.4921465573137284E-2</v>
      </c>
      <c r="K56" s="376">
        <f t="shared" si="6"/>
        <v>0.27124794962583454</v>
      </c>
      <c r="L56" s="376">
        <f t="shared" si="6"/>
        <v>9.2301724344952887E-3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3.0622819667619944E-2</v>
      </c>
      <c r="E57" s="179">
        <f t="shared" ref="E57:E87" si="7">E11*E$45</f>
        <v>0.30818348033000265</v>
      </c>
      <c r="F57" s="378">
        <f>SUM(D57:E57,G57:AJ57)-SUM(F55:F56,F58:F87)</f>
        <v>-2.6042864638438203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0.27413612130451021</v>
      </c>
      <c r="K57" s="179">
        <f t="shared" si="8"/>
        <v>2.9837274458841803</v>
      </c>
      <c r="L57" s="179">
        <f t="shared" si="8"/>
        <v>0.10153189677944818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4.8718426688653125E-3</v>
      </c>
      <c r="E58" s="179">
        <f t="shared" si="7"/>
        <v>0</v>
      </c>
      <c r="F58" s="179">
        <f t="shared" ref="F58:F87" si="9">F12*F$45</f>
        <v>3.290299030131524</v>
      </c>
      <c r="G58" s="378">
        <f>SUM(D58:F58,H58:AJ58)-SUM(G55:G57,G59:G87)</f>
        <v>9.3258734068513149E-15</v>
      </c>
      <c r="H58" s="376">
        <f t="shared" ref="H58:N58" si="10">H12*H$45</f>
        <v>0</v>
      </c>
      <c r="I58" s="179">
        <f t="shared" si="10"/>
        <v>0.1700195322902488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0.20745704353789676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30.865219086809269</v>
      </c>
      <c r="G59" s="376">
        <f t="shared" ref="G59:G87" si="12">G13*G$45</f>
        <v>0</v>
      </c>
      <c r="H59" s="378">
        <f>SUM(D59:G59,I59:AJ59)-SUM(H55:H58,H60:H87)</f>
        <v>3.0121891976780617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0.18644510012506099</v>
      </c>
      <c r="H60" s="376">
        <f t="shared" ref="H60:H87" si="15">H14*H$45</f>
        <v>0</v>
      </c>
      <c r="I60" s="378">
        <f>SUM(D60:H60,J60:AJ60)-SUM(I55:I59,I61:I87)</f>
        <v>1.6425567834812194E-2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0.30066041126434945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1.6028243867017844E-3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0.66813424725410964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5.9422427547417556E-5</v>
      </c>
      <c r="N64" s="179">
        <f>N18*N$45</f>
        <v>3.8272833071137681E-18</v>
      </c>
      <c r="O64" s="179">
        <f>O18*O$45</f>
        <v>2.4682092033278926E-17</v>
      </c>
      <c r="P64" s="179">
        <f t="shared" ref="P64:AJ64" si="25">P18*P$45</f>
        <v>1.1044503086857881E-15</v>
      </c>
      <c r="Q64" s="376">
        <f t="shared" si="25"/>
        <v>0</v>
      </c>
      <c r="R64" s="376">
        <f t="shared" si="25"/>
        <v>0</v>
      </c>
      <c r="S64" s="179">
        <f t="shared" si="25"/>
        <v>9.4336895506539272E-17</v>
      </c>
      <c r="T64" s="179">
        <f t="shared" si="25"/>
        <v>2.096375455615064E-16</v>
      </c>
      <c r="U64" s="179">
        <f t="shared" si="25"/>
        <v>3.4939590928347876E-17</v>
      </c>
      <c r="V64" s="179">
        <f t="shared" si="25"/>
        <v>3.1894455015456192E-3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1.5310069224513101E-3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1.37056059490793E-2</v>
      </c>
      <c r="T65" s="376">
        <f t="shared" si="27"/>
        <v>3.0456902107818453E-2</v>
      </c>
      <c r="U65" s="376">
        <f t="shared" si="27"/>
        <v>5.0761503515108514E-3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1.6841076146964409E-2</v>
      </c>
      <c r="N66" s="179">
        <f t="shared" ref="N66:N87" si="28">N20*N$45</f>
        <v>5.0769665330774122E-2</v>
      </c>
      <c r="O66" s="378">
        <f>SUM(D66:N66,P66:AJ66)-SUM(O55:O65,O67:O87)</f>
        <v>1.6875389974302379E-14</v>
      </c>
      <c r="P66" s="376">
        <f t="shared" ref="P66:AJ66" si="29">P20*P$45</f>
        <v>0</v>
      </c>
      <c r="Q66" s="179">
        <f t="shared" si="29"/>
        <v>2.7040011538927238</v>
      </c>
      <c r="R66" s="376">
        <f t="shared" si="29"/>
        <v>0</v>
      </c>
      <c r="S66" s="179">
        <f t="shared" si="29"/>
        <v>0.15076166543987227</v>
      </c>
      <c r="T66" s="179">
        <f t="shared" si="29"/>
        <v>0.33502592318600294</v>
      </c>
      <c r="U66" s="179">
        <f t="shared" si="29"/>
        <v>5.5837653866619361E-2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3.4862023485034643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0.6523829453904848</v>
      </c>
      <c r="N67" s="179">
        <f t="shared" si="28"/>
        <v>0</v>
      </c>
      <c r="O67" s="179">
        <f t="shared" ref="O67:O87" si="30">O21*O$45</f>
        <v>0.31917363700886525</v>
      </c>
      <c r="P67" s="378">
        <f>SUM(D67:O67,Q67:AJ67)-SUM(P55:P66,P68:P87)</f>
        <v>4.9567461246624589E-11</v>
      </c>
      <c r="Q67" s="376">
        <f t="shared" ref="Q67:AJ67" si="31">Q21*Q$45</f>
        <v>0</v>
      </c>
      <c r="R67" s="179">
        <f t="shared" si="31"/>
        <v>41.749266708983448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395.83285405125855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2.9940635008540748</v>
      </c>
      <c r="P68" s="376">
        <f t="shared" ref="P68:P87" si="32">P22*P$45</f>
        <v>0</v>
      </c>
      <c r="Q68" s="378">
        <f>SUM(D68:P68,R68:AJ68)-SUM(Q55:Q67,Q69:Q87)</f>
        <v>0.29006234696135103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45.778015398721138</v>
      </c>
      <c r="Q69" s="376">
        <f t="shared" ref="Q69:Q87" si="34">Q23*Q$45</f>
        <v>0</v>
      </c>
      <c r="R69" s="378">
        <f>SUM(D69:Q69,S69:AJ69)-SUM(R55:R68,R70:R87)</f>
        <v>4.0287486897376894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0.16534874761615195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8.8147622720027852E-4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0.36744166136922651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1.9588360754049239E-3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6.1240276894871076E-2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3.264726767408313E-4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0.22414217730779465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9.1107710264992647E-6</v>
      </c>
      <c r="W73" s="179">
        <f t="shared" ref="W73:AJ73" si="43">W27*W$45</f>
        <v>1.152923968188499E-14</v>
      </c>
      <c r="X73" s="376">
        <f t="shared" si="43"/>
        <v>0</v>
      </c>
      <c r="Y73" s="376">
        <f t="shared" si="43"/>
        <v>0</v>
      </c>
      <c r="Z73" s="179">
        <f t="shared" si="43"/>
        <v>5.6108737707718152E-17</v>
      </c>
      <c r="AA73" s="179">
        <f t="shared" si="43"/>
        <v>7.4992937508225983E-4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7.6955028391638652E-4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396.05440724883618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9.8344443719015739E-2</v>
      </c>
      <c r="W74" s="378">
        <f>SUM(D74:V74,X74:AJ74)-SUM(W55:W73,W75:W87)</f>
        <v>2.6193447411060333E-10</v>
      </c>
      <c r="X74" s="376">
        <f t="shared" ref="X74:AJ74" si="45">X28*X$45</f>
        <v>16249.073300244938</v>
      </c>
      <c r="Y74" s="376">
        <f t="shared" si="45"/>
        <v>0</v>
      </c>
      <c r="Z74" s="179">
        <f t="shared" si="45"/>
        <v>9.7820168263085455E-2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2522.4136085695163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16249.240125454498</v>
      </c>
      <c r="X75" s="378">
        <f>SUM(D75:W75,Y75:AJ75)-SUM(X55:X74,X76:X87)</f>
        <v>7.7525328379124403E-9</v>
      </c>
      <c r="Y75" s="376">
        <f t="shared" ref="Y75:AJ75" si="47">Y29*Y$45</f>
        <v>477.72954543928694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2522.6091745814824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477.86694335881384</v>
      </c>
      <c r="Y76" s="378">
        <f>SUM(D76:X76,Z76:AJ76)-SUM(Y55:Y75,Y77:Y87)</f>
        <v>0.13739791952690439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9.8344443713978852E-2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5.2427545089334116E-4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9.4340168161709381E-3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3.967960895967515E-7</v>
      </c>
      <c r="AB78" s="179">
        <f t="shared" ref="AB78:AJ78" si="53">AB32*AB$45</f>
        <v>1.4509143736596276E-15</v>
      </c>
      <c r="AC78" s="376">
        <f t="shared" si="53"/>
        <v>0</v>
      </c>
      <c r="AD78" s="376">
        <f t="shared" si="53"/>
        <v>0</v>
      </c>
      <c r="AE78" s="179">
        <f t="shared" si="53"/>
        <v>6.3802516634330656E-19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2522.6645011692549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5.2102143870261311E-3</v>
      </c>
      <c r="AB79" s="378">
        <f>SUM(D79:AA79,AC79:AJ79)-SUM(AB55:AB78,AB80:AB87)</f>
        <v>4.1836756281554699E-11</v>
      </c>
      <c r="AC79" s="376">
        <f t="shared" ref="AC79:AJ79" si="55">AC33*AC$45</f>
        <v>11547.094858059007</v>
      </c>
      <c r="AD79" s="376">
        <f t="shared" si="55"/>
        <v>0</v>
      </c>
      <c r="AE79" s="179">
        <f t="shared" si="55"/>
        <v>3.4599230735118339E-3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14069.768029365679</v>
      </c>
      <c r="AC80" s="378">
        <f>SUM(D80:AB80,AD80:AJ80)-SUM(AC55:AC79,AC81:AC87)</f>
        <v>1.1095835361629725E-9</v>
      </c>
      <c r="AD80" s="376">
        <f t="shared" ref="AD80:AJ80" si="57">AD34*AD$45</f>
        <v>314.11105919611174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314.17505592019273</v>
      </c>
      <c r="AD81" s="378">
        <f>SUM(D81:AC81,AE81:AJ81)-SUM(AD55:AD80,AD82:AD87)</f>
        <v>6.3996724080993772E-2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3.4734762579743997E-3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1.3553184462565364E-5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1.6340196445067241E-2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7.0525252253775261E-7</v>
      </c>
      <c r="AG83" s="179">
        <f>AG37*AG$45</f>
        <v>6.9458201759418575E-14</v>
      </c>
      <c r="AH83" s="376">
        <f>AH37*AH$45</f>
        <v>0</v>
      </c>
      <c r="AI83" s="376">
        <f>AI37*AI$45</f>
        <v>0</v>
      </c>
      <c r="AJ83" s="380">
        <f>AJ37*AJ$45</f>
        <v>4.1466882864166632E-18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1.089895863634222E-2</v>
      </c>
      <c r="AG84" s="378">
        <f>SUM(D84:AF84,AH84:AJ84)-SUM(AG55:AG83,AG85:AG87)</f>
        <v>1.4624674804508686E-9</v>
      </c>
      <c r="AH84" s="376">
        <f>AH38*AH$45</f>
        <v>36628.062876256918</v>
      </c>
      <c r="AI84" s="179">
        <f>AI38*AI$45</f>
        <v>0</v>
      </c>
      <c r="AJ84" s="380">
        <f>AJ38*AJ$45</f>
        <v>4.6435003145908873E-3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2522.63860186376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34105.664810144895</v>
      </c>
      <c r="AH85" s="378">
        <f>SUM(D85:AG85,AI85:AJ85)-SUM(AH55:AH84,AH86:AH87)</f>
        <v>4.7177309170365334E-8</v>
      </c>
      <c r="AI85" s="376">
        <f>AI39*AI$45</f>
        <v>1180.60612777449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1180.8466634790482</v>
      </c>
      <c r="AI86" s="378">
        <f>SUM(D86:AH86,AJ86)-SUM(AI55:AI85,AI87)</f>
        <v>0.24053570455816953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4.670982272355558E-3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2.7481957764666394E-5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143845.21830429466</v>
      </c>
      <c r="D92" s="179">
        <f>SUM($D$55:$AJ$55)</f>
        <v>-2.5554999611051197</v>
      </c>
      <c r="E92" s="179">
        <f>SUM($D$56:$AJ$56)</f>
        <v>0.30818348033104437</v>
      </c>
      <c r="F92" s="179">
        <f>SUM($D$57:$AJ$57)</f>
        <v>28.94694518925315</v>
      </c>
      <c r="G92" s="179">
        <f>SUM($D$58:$AJ$58)</f>
        <v>3.6726474486285441</v>
      </c>
      <c r="H92" s="179">
        <f>SUM($D$59:$AJ$59)</f>
        <v>33.877408284487331</v>
      </c>
      <c r="I92" s="179">
        <f>SUM($D$60:$AJ$60)</f>
        <v>0.20287066795987319</v>
      </c>
      <c r="J92" s="179">
        <f>SUM($D$61:$AJ$61)</f>
        <v>0.30226323565105123</v>
      </c>
      <c r="K92" s="179">
        <f>SUM($D$62:$AJ$62)</f>
        <v>-1.9187069010017972</v>
      </c>
      <c r="L92" s="179">
        <f>SUM($D$63:$AJ$63)</f>
        <v>0.11194934653742637</v>
      </c>
      <c r="M92" s="179">
        <f>SUM($D$64:$AJ$64)</f>
        <v>1.5377735653995461</v>
      </c>
      <c r="N92" s="179">
        <f>SUM($D$65:$AJ$65)</f>
        <v>5.07696653309457E-2</v>
      </c>
      <c r="O92" s="179">
        <f>SUM($D$66:$AJ$66)</f>
        <v>3.3132371378629739</v>
      </c>
      <c r="P92" s="179">
        <f>SUM($D$67:$AJ$67)</f>
        <v>442.03987969119436</v>
      </c>
      <c r="Q92" s="179">
        <f>SUM($D$68:$AJ$68)</f>
        <v>3.2841258478154258</v>
      </c>
      <c r="R92" s="179">
        <f>SUM($D$69:$AJ$69)</f>
        <v>49.806764088458827</v>
      </c>
      <c r="S92" s="179">
        <f>SUM($D$70:$AJ$70)</f>
        <v>0.16623022384335223</v>
      </c>
      <c r="T92" s="179">
        <f>SUM($D$71:$AJ$71)</f>
        <v>0.36940049744463144</v>
      </c>
      <c r="U92" s="179">
        <f>SUM($D$72:$AJ$72)</f>
        <v>6.1566749571611908E-2</v>
      </c>
      <c r="V92" s="179">
        <f>SUM($D$73:$AJ$73)</f>
        <v>0.22567076773783137</v>
      </c>
      <c r="W92" s="179">
        <f>SUM($D$74:$AJ$74)</f>
        <v>19167.737480675536</v>
      </c>
      <c r="X92" s="179">
        <f>SUM($D$75:$AJ$75)</f>
        <v>19249.578845483018</v>
      </c>
      <c r="Y92" s="179">
        <f>SUM($D$76:$AJ$76)</f>
        <v>478.00434127834075</v>
      </c>
      <c r="Z92" s="179">
        <f>SUM($D$77:$AJ$77)</f>
        <v>9.8868719164872193E-2</v>
      </c>
      <c r="AA92" s="179">
        <f>SUM($D$78:$AJ$78)</f>
        <v>9.434413612261985E-3</v>
      </c>
      <c r="AB92" s="179">
        <f>SUM($D$79:$AJ$79)</f>
        <v>14069.768029365763</v>
      </c>
      <c r="AC92" s="179">
        <f>SUM($D$80:$AJ$80)</f>
        <v>14383.879088562901</v>
      </c>
      <c r="AD92" s="179">
        <f>SUM($D$81:$AJ$81)</f>
        <v>314.23905264427373</v>
      </c>
      <c r="AE92" s="179">
        <f>SUM($D$82:$AJ$82)</f>
        <v>3.4870294424369651E-3</v>
      </c>
      <c r="AF92" s="179">
        <f>SUM($D$83:$AJ$83)</f>
        <v>1.6340901697659241E-2</v>
      </c>
      <c r="AG92" s="179">
        <f>SUM($D$84:$AJ$84)</f>
        <v>36628.078418717334</v>
      </c>
      <c r="AH92" s="179">
        <f>SUM($D$85:$AJ$85)</f>
        <v>37808.909539830318</v>
      </c>
      <c r="AI92" s="179">
        <f>SUM($D$86:$AJ$86)</f>
        <v>1181.0871991836063</v>
      </c>
      <c r="AJ92" s="380">
        <f>SUM($D$87:$AJ$87)</f>
        <v>4.6984642301202244E-3</v>
      </c>
    </row>
    <row r="93" spans="2:36" ht="12.75" customHeight="1" x14ac:dyDescent="0.2">
      <c r="B93" s="146" t="s">
        <v>1212</v>
      </c>
      <c r="C93" s="150">
        <f>SUM(D93:AJ93)</f>
        <v>143845.21830429466</v>
      </c>
      <c r="D93" s="179">
        <f t="shared" ref="D93:AJ93" si="61">SUM(D55:D87)</f>
        <v>4.8726828896509478E-2</v>
      </c>
      <c r="E93" s="179">
        <f t="shared" si="61"/>
        <v>0.30818348033052351</v>
      </c>
      <c r="F93" s="179">
        <f t="shared" si="61"/>
        <v>31.551231653096973</v>
      </c>
      <c r="G93" s="179">
        <f t="shared" si="61"/>
        <v>3.6726474486285348</v>
      </c>
      <c r="H93" s="179">
        <f t="shared" si="61"/>
        <v>30.865219086809269</v>
      </c>
      <c r="I93" s="179">
        <f t="shared" si="61"/>
        <v>0.18644510012506099</v>
      </c>
      <c r="J93" s="179">
        <f t="shared" si="61"/>
        <v>0.30066041126434945</v>
      </c>
      <c r="K93" s="179">
        <f t="shared" si="61"/>
        <v>0.66813424725410986</v>
      </c>
      <c r="L93" s="179">
        <f t="shared" si="61"/>
        <v>0.11135570787568495</v>
      </c>
      <c r="M93" s="179">
        <f t="shared" si="61"/>
        <v>1.5377141429719987</v>
      </c>
      <c r="N93" s="179">
        <f t="shared" si="61"/>
        <v>5.0769665330859914E-2</v>
      </c>
      <c r="O93" s="179">
        <f t="shared" si="61"/>
        <v>3.313237137862957</v>
      </c>
      <c r="P93" s="179">
        <f t="shared" si="61"/>
        <v>442.03987969114479</v>
      </c>
      <c r="Q93" s="179">
        <f t="shared" si="61"/>
        <v>2.9940635008540748</v>
      </c>
      <c r="R93" s="179">
        <f t="shared" si="61"/>
        <v>45.778015398721138</v>
      </c>
      <c r="S93" s="179">
        <f t="shared" si="61"/>
        <v>0.16534874761615195</v>
      </c>
      <c r="T93" s="179">
        <f t="shared" si="61"/>
        <v>0.36744166136922651</v>
      </c>
      <c r="U93" s="179">
        <f t="shared" si="61"/>
        <v>6.1240276894871076E-2</v>
      </c>
      <c r="V93" s="179">
        <f t="shared" si="61"/>
        <v>0.22566165696680487</v>
      </c>
      <c r="W93" s="179">
        <f t="shared" si="61"/>
        <v>19167.737480675274</v>
      </c>
      <c r="X93" s="179">
        <f t="shared" si="61"/>
        <v>19249.578845475266</v>
      </c>
      <c r="Y93" s="179">
        <f t="shared" si="61"/>
        <v>477.86694335881384</v>
      </c>
      <c r="Z93" s="179">
        <f t="shared" si="61"/>
        <v>9.8344443713978852E-2</v>
      </c>
      <c r="AA93" s="179">
        <f t="shared" si="61"/>
        <v>9.4340168161723883E-3</v>
      </c>
      <c r="AB93" s="179">
        <f t="shared" si="61"/>
        <v>14069.768029365721</v>
      </c>
      <c r="AC93" s="179">
        <f t="shared" si="61"/>
        <v>14383.879088561791</v>
      </c>
      <c r="AD93" s="179">
        <f t="shared" si="61"/>
        <v>314.17505592019273</v>
      </c>
      <c r="AE93" s="179">
        <f t="shared" si="61"/>
        <v>3.4734762579743997E-3</v>
      </c>
      <c r="AF93" s="179">
        <f t="shared" si="61"/>
        <v>1.6340196445136703E-2</v>
      </c>
      <c r="AG93" s="179">
        <f t="shared" si="61"/>
        <v>36628.078418715872</v>
      </c>
      <c r="AH93" s="179">
        <f t="shared" si="61"/>
        <v>37808.909539783141</v>
      </c>
      <c r="AI93" s="179">
        <f t="shared" si="61"/>
        <v>1180.8466634790482</v>
      </c>
      <c r="AJ93" s="380">
        <f t="shared" si="61"/>
        <v>4.670982272355558E-3</v>
      </c>
    </row>
    <row r="94" spans="2:36" ht="12.75" customHeight="1" x14ac:dyDescent="0.2">
      <c r="B94" s="152" t="s">
        <v>1211</v>
      </c>
      <c r="C94" s="150">
        <f>SUM(D94:AJ94)</f>
        <v>7.812859391533002</v>
      </c>
      <c r="D94" s="179">
        <f>k.aR*D45</f>
        <v>5.967384237416237E-5</v>
      </c>
      <c r="E94" s="179">
        <f>k.w0R*E45</f>
        <v>5.2079903076755711E-13</v>
      </c>
      <c r="F94" s="179">
        <f>k.w1R*F45</f>
        <v>1.7111421150773008E-13</v>
      </c>
      <c r="G94" s="179">
        <f>k.w2R*G45</f>
        <v>1.0083578781042394E-14</v>
      </c>
      <c r="H94" s="179">
        <f>k.sd1R*H45</f>
        <v>3.0121891976780684</v>
      </c>
      <c r="I94" s="179">
        <f>k.sd2R*I45</f>
        <v>1.6425567834812159E-2</v>
      </c>
      <c r="J94" s="179">
        <f>k.s1R*J45</f>
        <v>1.6028243867017423E-3</v>
      </c>
      <c r="K94" s="179">
        <f>k.s2R*K45</f>
        <v>1.7445315588096949E-2</v>
      </c>
      <c r="L94" s="179">
        <f>k.s3R*L45</f>
        <v>5.9363866174138582E-4</v>
      </c>
      <c r="M94" s="179">
        <f>k.aC*M45</f>
        <v>5.9422427547864532E-5</v>
      </c>
      <c r="N94" s="179">
        <f>k.w0C*N45</f>
        <v>8.5795619117376505E-14</v>
      </c>
      <c r="O94" s="179">
        <f>k.w1C*O45</f>
        <v>1.6598839415712097E-14</v>
      </c>
      <c r="P94" s="179">
        <f>k.w2C*P45</f>
        <v>4.9516584174445644E-11</v>
      </c>
      <c r="Q94" s="179">
        <f>k.sd1C*Q45</f>
        <v>0.2900623469613508</v>
      </c>
      <c r="R94" s="179">
        <f>k.sd2C*R45</f>
        <v>4.0287486897376912</v>
      </c>
      <c r="S94" s="179">
        <f>k.s1C*S45</f>
        <v>8.8147622720020197E-4</v>
      </c>
      <c r="T94" s="179">
        <f>k.s2C*T45</f>
        <v>1.9588360754047977E-3</v>
      </c>
      <c r="U94" s="179">
        <f>k.s3C*U45</f>
        <v>3.2647267674081553E-4</v>
      </c>
      <c r="V94" s="179">
        <f>k.aM*V45</f>
        <v>9.1107710264737945E-6</v>
      </c>
      <c r="W94" s="179">
        <f>k.w2M*W45</f>
        <v>2.5844918629916947E-10</v>
      </c>
      <c r="X94" s="179">
        <f>k.w3M*X45</f>
        <v>7.7533959867795367E-9</v>
      </c>
      <c r="Y94" s="179">
        <f>k.sdM*Y45</f>
        <v>0.13739791952688615</v>
      </c>
      <c r="Z94" s="179">
        <f>k.sM*Z45</f>
        <v>5.2427545089330104E-4</v>
      </c>
      <c r="AA94" s="179">
        <f>k.aA*AA45</f>
        <v>3.9679608959763083E-7</v>
      </c>
      <c r="AB94" s="179">
        <f>k.w2A*AB45</f>
        <v>4.5059216478431189E-11</v>
      </c>
      <c r="AC94" s="179">
        <f>k.w3A*AC45</f>
        <v>1.1094064503842096E-9</v>
      </c>
      <c r="AD94" s="179">
        <f>k.sdA*AD45</f>
        <v>6.3996724080939579E-2</v>
      </c>
      <c r="AE94" s="179">
        <f>k.sA*AE45</f>
        <v>1.3553184462565398E-5</v>
      </c>
      <c r="AF94" s="179">
        <f>k.aT*AF45</f>
        <v>7.052525225385466E-7</v>
      </c>
      <c r="AG94" s="179">
        <f>k.w2T*AG45</f>
        <v>1.464228281570865E-9</v>
      </c>
      <c r="AH94" s="179">
        <f>k.w3T*AH45</f>
        <v>4.7175604868976088E-8</v>
      </c>
      <c r="AI94" s="179">
        <f>k.sdT*AI45</f>
        <v>0.2405357045582226</v>
      </c>
      <c r="AJ94" s="374">
        <f>k.sT*AJ45</f>
        <v>2.7481957764666679E-5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9.1333333333739474E-10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9.1429324159056462E-10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2024-07-23T11:13:28Z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