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as\Desktop\Store Data\"/>
    </mc:Choice>
  </mc:AlternateContent>
  <bookViews>
    <workbookView xWindow="0" yWindow="0" windowWidth="20490" windowHeight="7530"/>
  </bookViews>
  <sheets>
    <sheet name="Product List" sheetId="1" r:id="rId1"/>
  </sheets>
  <definedNames>
    <definedName name="_xlnm._FilterDatabase" localSheetId="0" hidden="1">'Product List'!$A$1:$J$550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0" i="1" l="1"/>
  <c r="F548" i="1"/>
  <c r="F547" i="1"/>
  <c r="F546" i="1"/>
  <c r="F545" i="1"/>
  <c r="F538" i="1"/>
  <c r="F537" i="1"/>
  <c r="F536" i="1"/>
  <c r="F535" i="1"/>
  <c r="F534" i="1"/>
  <c r="F533" i="1"/>
  <c r="F523" i="1"/>
  <c r="F517" i="1"/>
  <c r="H499" i="1"/>
  <c r="F499" i="1"/>
  <c r="H498" i="1"/>
  <c r="H497" i="1"/>
  <c r="H496" i="1"/>
  <c r="H495" i="1"/>
  <c r="H494" i="1"/>
  <c r="H493" i="1"/>
  <c r="H492" i="1"/>
  <c r="F492" i="1"/>
  <c r="H491" i="1"/>
  <c r="F490" i="1"/>
  <c r="H490" i="1" s="1"/>
  <c r="F489" i="1"/>
  <c r="H489" i="1" s="1"/>
  <c r="H488" i="1"/>
  <c r="F488" i="1"/>
  <c r="F487" i="1"/>
  <c r="H487" i="1" s="1"/>
  <c r="H486" i="1"/>
  <c r="F486" i="1"/>
  <c r="F485" i="1"/>
  <c r="H485" i="1" s="1"/>
  <c r="H484" i="1"/>
  <c r="F484" i="1"/>
  <c r="F483" i="1"/>
  <c r="H483" i="1" s="1"/>
  <c r="H482" i="1"/>
  <c r="F482" i="1"/>
  <c r="F481" i="1"/>
  <c r="H481" i="1" s="1"/>
  <c r="H480" i="1"/>
  <c r="F480" i="1"/>
  <c r="F479" i="1"/>
  <c r="H479" i="1" s="1"/>
  <c r="H478" i="1"/>
  <c r="F478" i="1"/>
  <c r="F477" i="1"/>
  <c r="H477" i="1" s="1"/>
  <c r="H476" i="1"/>
  <c r="F476" i="1"/>
  <c r="F475" i="1"/>
  <c r="H475" i="1" s="1"/>
  <c r="H474" i="1"/>
  <c r="F474" i="1"/>
  <c r="F473" i="1"/>
  <c r="H473" i="1" s="1"/>
  <c r="H472" i="1"/>
  <c r="F472" i="1"/>
  <c r="G471" i="1"/>
  <c r="H471" i="1" s="1"/>
  <c r="F471" i="1"/>
  <c r="H470" i="1"/>
  <c r="F470" i="1"/>
  <c r="F469" i="1"/>
  <c r="H469" i="1" s="1"/>
  <c r="H468" i="1"/>
  <c r="F468" i="1"/>
  <c r="F467" i="1"/>
  <c r="H467" i="1" s="1"/>
  <c r="H466" i="1"/>
  <c r="F466" i="1"/>
  <c r="F465" i="1"/>
  <c r="H465" i="1" s="1"/>
  <c r="H464" i="1"/>
  <c r="F464" i="1"/>
  <c r="F463" i="1"/>
  <c r="H463" i="1" s="1"/>
  <c r="H462" i="1"/>
  <c r="F462" i="1"/>
  <c r="F461" i="1"/>
  <c r="H461" i="1" s="1"/>
  <c r="H460" i="1"/>
  <c r="H459" i="1"/>
  <c r="F458" i="1"/>
  <c r="H458" i="1" s="1"/>
  <c r="H457" i="1"/>
  <c r="F457" i="1"/>
  <c r="F456" i="1"/>
  <c r="H456" i="1" s="1"/>
  <c r="H455" i="1"/>
  <c r="F455" i="1"/>
  <c r="F454" i="1"/>
  <c r="H454" i="1" s="1"/>
  <c r="H453" i="1"/>
  <c r="F453" i="1"/>
  <c r="F452" i="1"/>
  <c r="H452" i="1" s="1"/>
  <c r="H451" i="1"/>
  <c r="F451" i="1"/>
  <c r="F450" i="1"/>
  <c r="H450" i="1" s="1"/>
  <c r="H449" i="1"/>
  <c r="H448" i="1"/>
  <c r="H447" i="1"/>
  <c r="H446" i="1"/>
  <c r="H445" i="1"/>
  <c r="F445" i="1"/>
  <c r="F444" i="1"/>
  <c r="H444" i="1" s="1"/>
  <c r="H443" i="1"/>
  <c r="H442" i="1"/>
  <c r="H441" i="1"/>
  <c r="F440" i="1"/>
  <c r="H440" i="1" s="1"/>
  <c r="E440" i="1"/>
  <c r="H439" i="1"/>
  <c r="F438" i="1"/>
  <c r="H438" i="1" s="1"/>
  <c r="H437" i="1"/>
  <c r="F437" i="1"/>
  <c r="F436" i="1"/>
  <c r="H436" i="1" s="1"/>
  <c r="H435" i="1"/>
  <c r="F435" i="1"/>
  <c r="H434" i="1"/>
  <c r="H433" i="1"/>
  <c r="F433" i="1"/>
  <c r="F432" i="1"/>
  <c r="H432" i="1" s="1"/>
  <c r="H431" i="1"/>
  <c r="H430" i="1"/>
  <c r="F430" i="1"/>
  <c r="F429" i="1"/>
  <c r="H429" i="1" s="1"/>
  <c r="H428" i="1"/>
  <c r="F428" i="1"/>
  <c r="F427" i="1"/>
  <c r="H427" i="1" s="1"/>
  <c r="H426" i="1"/>
  <c r="F426" i="1"/>
  <c r="G425" i="1"/>
  <c r="H425" i="1" s="1"/>
  <c r="F425" i="1"/>
  <c r="G424" i="1"/>
  <c r="H424" i="1" s="1"/>
  <c r="F424" i="1"/>
  <c r="H423" i="1"/>
  <c r="F423" i="1"/>
  <c r="F422" i="1"/>
  <c r="H422" i="1" s="1"/>
  <c r="H421" i="1"/>
  <c r="F421" i="1"/>
  <c r="F420" i="1"/>
  <c r="H420" i="1" s="1"/>
  <c r="H419" i="1"/>
  <c r="F419" i="1"/>
  <c r="F418" i="1"/>
  <c r="H418" i="1" s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F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F390" i="1"/>
  <c r="E390" i="1"/>
  <c r="H389" i="1"/>
  <c r="F389" i="1"/>
  <c r="F388" i="1"/>
  <c r="H388" i="1" s="1"/>
  <c r="H387" i="1"/>
  <c r="F387" i="1"/>
  <c r="F386" i="1"/>
  <c r="H386" i="1" s="1"/>
  <c r="H385" i="1"/>
  <c r="F385" i="1"/>
  <c r="H384" i="1"/>
  <c r="F383" i="1"/>
  <c r="H383" i="1" s="1"/>
  <c r="H382" i="1"/>
  <c r="F381" i="1"/>
  <c r="H381" i="1" s="1"/>
  <c r="H380" i="1"/>
  <c r="G380" i="1"/>
  <c r="F380" i="1"/>
  <c r="F379" i="1"/>
  <c r="H379" i="1" s="1"/>
  <c r="H378" i="1"/>
  <c r="F378" i="1"/>
  <c r="H377" i="1"/>
  <c r="H376" i="1"/>
  <c r="H375" i="1"/>
  <c r="H374" i="1"/>
  <c r="H373" i="1"/>
  <c r="H372" i="1"/>
  <c r="F372" i="1"/>
  <c r="F371" i="1"/>
  <c r="H371" i="1" s="1"/>
  <c r="H370" i="1"/>
  <c r="H369" i="1"/>
  <c r="H368" i="1"/>
  <c r="H367" i="1"/>
  <c r="H366" i="1"/>
  <c r="G365" i="1"/>
  <c r="F365" i="1"/>
  <c r="H365" i="1" s="1"/>
  <c r="H364" i="1"/>
  <c r="H363" i="1"/>
  <c r="H362" i="1"/>
  <c r="H361" i="1"/>
  <c r="H360" i="1"/>
  <c r="F360" i="1"/>
  <c r="F359" i="1"/>
  <c r="H359" i="1" s="1"/>
  <c r="H358" i="1"/>
  <c r="F358" i="1"/>
  <c r="H357" i="1"/>
  <c r="H356" i="1"/>
  <c r="H355" i="1"/>
  <c r="F355" i="1"/>
  <c r="F354" i="1"/>
  <c r="H354" i="1" s="1"/>
  <c r="H353" i="1"/>
  <c r="H352" i="1"/>
  <c r="F352" i="1"/>
  <c r="F351" i="1"/>
  <c r="H351" i="1" s="1"/>
  <c r="H350" i="1"/>
  <c r="F350" i="1"/>
  <c r="H349" i="1"/>
  <c r="J348" i="1"/>
  <c r="H348" i="1"/>
  <c r="F347" i="1"/>
  <c r="H347" i="1" s="1"/>
  <c r="H346" i="1"/>
  <c r="H345" i="1"/>
  <c r="F344" i="1"/>
  <c r="H344" i="1" s="1"/>
  <c r="H343" i="1"/>
  <c r="G343" i="1"/>
  <c r="F343" i="1"/>
  <c r="F342" i="1"/>
  <c r="H342" i="1" s="1"/>
  <c r="H341" i="1"/>
  <c r="H340" i="1"/>
  <c r="F339" i="1"/>
  <c r="H339" i="1" s="1"/>
  <c r="H338" i="1"/>
  <c r="F338" i="1"/>
  <c r="H337" i="1"/>
  <c r="H336" i="1"/>
  <c r="H335" i="1"/>
  <c r="H334" i="1"/>
  <c r="F333" i="1"/>
  <c r="H333" i="1" s="1"/>
  <c r="H332" i="1"/>
  <c r="H331" i="1"/>
  <c r="H330" i="1"/>
  <c r="H329" i="1"/>
  <c r="F329" i="1"/>
  <c r="H328" i="1"/>
  <c r="H327" i="1"/>
  <c r="H326" i="1"/>
  <c r="F326" i="1"/>
  <c r="H325" i="1"/>
  <c r="H324" i="1"/>
  <c r="H323" i="1"/>
  <c r="F323" i="1"/>
  <c r="F322" i="1"/>
  <c r="H322" i="1" s="1"/>
  <c r="H321" i="1"/>
  <c r="F321" i="1"/>
  <c r="F320" i="1"/>
  <c r="H320" i="1" s="1"/>
  <c r="H319" i="1"/>
  <c r="F319" i="1"/>
  <c r="F318" i="1"/>
  <c r="H318" i="1" s="1"/>
  <c r="H317" i="1"/>
  <c r="F317" i="1"/>
  <c r="H316" i="1"/>
  <c r="H315" i="1"/>
  <c r="H314" i="1"/>
  <c r="H313" i="1"/>
  <c r="F312" i="1"/>
  <c r="H312" i="1" s="1"/>
  <c r="H311" i="1"/>
  <c r="H310" i="1"/>
  <c r="H309" i="1"/>
  <c r="H308" i="1"/>
  <c r="H307" i="1"/>
  <c r="H306" i="1"/>
  <c r="H305" i="1"/>
  <c r="H304" i="1"/>
  <c r="H303" i="1"/>
  <c r="H302" i="1"/>
  <c r="H301" i="1"/>
  <c r="H300" i="1"/>
  <c r="J299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F287" i="1"/>
  <c r="F286" i="1"/>
  <c r="H286" i="1" s="1"/>
  <c r="H285" i="1"/>
  <c r="F284" i="1"/>
  <c r="H284" i="1" s="1"/>
  <c r="H283" i="1"/>
  <c r="H282" i="1"/>
  <c r="F282" i="1"/>
  <c r="H281" i="1"/>
  <c r="H280" i="1"/>
  <c r="F280" i="1"/>
  <c r="F279" i="1"/>
  <c r="H279" i="1" s="1"/>
  <c r="H278" i="1"/>
  <c r="F278" i="1"/>
  <c r="F277" i="1"/>
  <c r="H277" i="1" s="1"/>
  <c r="H276" i="1"/>
  <c r="F276" i="1"/>
  <c r="F275" i="1"/>
  <c r="H275" i="1" s="1"/>
  <c r="H274" i="1"/>
  <c r="F274" i="1"/>
  <c r="F273" i="1"/>
  <c r="H273" i="1" s="1"/>
  <c r="H272" i="1"/>
  <c r="H271" i="1"/>
  <c r="F271" i="1"/>
  <c r="F270" i="1"/>
  <c r="H270" i="1" s="1"/>
  <c r="H269" i="1"/>
  <c r="F269" i="1"/>
  <c r="F268" i="1"/>
  <c r="H268" i="1" s="1"/>
  <c r="H267" i="1"/>
  <c r="F267" i="1"/>
  <c r="F266" i="1"/>
  <c r="H266" i="1" s="1"/>
  <c r="H265" i="1"/>
  <c r="F265" i="1"/>
  <c r="F264" i="1"/>
  <c r="H264" i="1" s="1"/>
  <c r="H263" i="1"/>
  <c r="F263" i="1"/>
  <c r="F262" i="1"/>
  <c r="H262" i="1" s="1"/>
  <c r="H261" i="1"/>
  <c r="F261" i="1"/>
  <c r="F260" i="1"/>
  <c r="H260" i="1" s="1"/>
  <c r="H259" i="1"/>
  <c r="F259" i="1"/>
  <c r="H258" i="1"/>
  <c r="H257" i="1"/>
  <c r="H256" i="1"/>
  <c r="F256" i="1"/>
  <c r="H255" i="1"/>
  <c r="H254" i="1"/>
  <c r="G254" i="1"/>
  <c r="F254" i="1"/>
  <c r="F253" i="1"/>
  <c r="H253" i="1" s="1"/>
  <c r="H252" i="1"/>
  <c r="F252" i="1"/>
  <c r="H251" i="1"/>
  <c r="H250" i="1"/>
  <c r="H249" i="1"/>
  <c r="F248" i="1"/>
  <c r="H248" i="1" s="1"/>
  <c r="H247" i="1"/>
  <c r="F247" i="1"/>
  <c r="F246" i="1"/>
  <c r="H246" i="1" s="1"/>
  <c r="H245" i="1"/>
  <c r="F245" i="1"/>
  <c r="F244" i="1"/>
  <c r="H244" i="1" s="1"/>
  <c r="H243" i="1"/>
  <c r="F243" i="1"/>
  <c r="F242" i="1"/>
  <c r="H242" i="1" s="1"/>
  <c r="H241" i="1"/>
  <c r="F241" i="1"/>
  <c r="H240" i="1"/>
  <c r="F239" i="1"/>
  <c r="H239" i="1" s="1"/>
  <c r="H238" i="1"/>
  <c r="F238" i="1"/>
  <c r="H237" i="1"/>
  <c r="H236" i="1"/>
  <c r="H235" i="1"/>
  <c r="F235" i="1"/>
  <c r="H234" i="1"/>
  <c r="H233" i="1"/>
  <c r="F233" i="1"/>
  <c r="H232" i="1"/>
  <c r="H231" i="1"/>
  <c r="H230" i="1"/>
  <c r="F230" i="1"/>
  <c r="H229" i="1"/>
  <c r="F228" i="1"/>
  <c r="H228" i="1" s="1"/>
  <c r="H227" i="1"/>
  <c r="H226" i="1"/>
  <c r="F225" i="1"/>
  <c r="H225" i="1" s="1"/>
  <c r="H224" i="1"/>
  <c r="H223" i="1"/>
  <c r="H222" i="1"/>
  <c r="H221" i="1"/>
  <c r="H220" i="1"/>
  <c r="F219" i="1"/>
  <c r="H219" i="1" s="1"/>
  <c r="H218" i="1"/>
  <c r="F218" i="1"/>
  <c r="F217" i="1"/>
  <c r="H217" i="1" s="1"/>
  <c r="H216" i="1"/>
  <c r="H215" i="1"/>
  <c r="J214" i="1"/>
  <c r="F214" i="1"/>
  <c r="H214" i="1" s="1"/>
  <c r="H213" i="1"/>
  <c r="H212" i="1"/>
  <c r="H211" i="1"/>
  <c r="H210" i="1"/>
  <c r="F210" i="1"/>
  <c r="I209" i="1"/>
  <c r="F209" i="1"/>
  <c r="H209" i="1" s="1"/>
  <c r="H208" i="1"/>
  <c r="H207" i="1"/>
  <c r="H206" i="1"/>
  <c r="H205" i="1"/>
  <c r="H204" i="1"/>
  <c r="H203" i="1"/>
  <c r="H202" i="1"/>
  <c r="H201" i="1"/>
  <c r="F201" i="1"/>
  <c r="H200" i="1"/>
  <c r="H199" i="1"/>
  <c r="H198" i="1"/>
  <c r="H197" i="1"/>
  <c r="H196" i="1"/>
  <c r="H195" i="1"/>
  <c r="H194" i="1"/>
  <c r="H193" i="1"/>
  <c r="H192" i="1"/>
  <c r="F191" i="1"/>
  <c r="H191" i="1" s="1"/>
  <c r="H190" i="1"/>
  <c r="H189" i="1"/>
  <c r="H188" i="1"/>
  <c r="H187" i="1"/>
  <c r="H186" i="1"/>
  <c r="H185" i="1"/>
  <c r="F184" i="1"/>
  <c r="H184" i="1" s="1"/>
  <c r="F183" i="1"/>
  <c r="H183" i="1" s="1"/>
  <c r="H182" i="1"/>
  <c r="H181" i="1"/>
  <c r="H180" i="1"/>
  <c r="G179" i="1"/>
  <c r="H179" i="1" s="1"/>
  <c r="H178" i="1"/>
  <c r="H177" i="1"/>
  <c r="F176" i="1"/>
  <c r="H176" i="1" s="1"/>
  <c r="H175" i="1"/>
  <c r="F175" i="1"/>
  <c r="F174" i="1"/>
  <c r="H174" i="1" s="1"/>
  <c r="H173" i="1"/>
  <c r="F173" i="1"/>
  <c r="H172" i="1"/>
  <c r="H171" i="1"/>
  <c r="H170" i="1"/>
  <c r="H169" i="1"/>
  <c r="H168" i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H161" i="1"/>
  <c r="H160" i="1"/>
  <c r="H159" i="1"/>
  <c r="F158" i="1"/>
  <c r="H158" i="1" s="1"/>
  <c r="H157" i="1"/>
  <c r="F157" i="1"/>
  <c r="F156" i="1"/>
  <c r="H156" i="1" s="1"/>
  <c r="H155" i="1"/>
  <c r="F155" i="1"/>
  <c r="F154" i="1"/>
  <c r="H154" i="1" s="1"/>
  <c r="H153" i="1"/>
  <c r="H152" i="1"/>
  <c r="F152" i="1"/>
  <c r="F151" i="1"/>
  <c r="H151" i="1" s="1"/>
  <c r="H150" i="1"/>
  <c r="H149" i="1"/>
  <c r="H148" i="1"/>
  <c r="H147" i="1"/>
  <c r="H146" i="1"/>
  <c r="H145" i="1"/>
  <c r="H144" i="1"/>
  <c r="H143" i="1"/>
  <c r="H142" i="1"/>
  <c r="H141" i="1"/>
  <c r="F140" i="1"/>
  <c r="H140" i="1" s="1"/>
  <c r="H139" i="1"/>
  <c r="F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F119" i="1"/>
  <c r="H119" i="1" s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F106" i="1"/>
  <c r="H105" i="1"/>
  <c r="H104" i="1"/>
  <c r="H103" i="1"/>
  <c r="H102" i="1"/>
  <c r="F102" i="1"/>
  <c r="H101" i="1"/>
  <c r="H100" i="1"/>
  <c r="H99" i="1"/>
  <c r="H98" i="1"/>
  <c r="H97" i="1"/>
  <c r="H96" i="1"/>
  <c r="H95" i="1"/>
  <c r="H94" i="1"/>
  <c r="F93" i="1"/>
  <c r="H93" i="1" s="1"/>
  <c r="H92" i="1"/>
  <c r="F92" i="1"/>
  <c r="H91" i="1"/>
  <c r="H90" i="1"/>
  <c r="F90" i="1"/>
  <c r="H89" i="1"/>
  <c r="H88" i="1"/>
  <c r="H87" i="1"/>
  <c r="F87" i="1"/>
  <c r="H86" i="1"/>
  <c r="H85" i="1"/>
  <c r="H84" i="1"/>
  <c r="F84" i="1"/>
  <c r="H83" i="1"/>
  <c r="H82" i="1"/>
  <c r="H81" i="1"/>
  <c r="H80" i="1"/>
  <c r="F80" i="1"/>
  <c r="H79" i="1"/>
  <c r="H78" i="1"/>
  <c r="F78" i="1"/>
  <c r="H77" i="1"/>
  <c r="F76" i="1"/>
  <c r="H76" i="1" s="1"/>
  <c r="E76" i="1"/>
  <c r="F75" i="1"/>
  <c r="H75" i="1" s="1"/>
  <c r="H74" i="1"/>
  <c r="F74" i="1"/>
  <c r="H73" i="1"/>
  <c r="F72" i="1"/>
  <c r="H72" i="1" s="1"/>
  <c r="H71" i="1"/>
  <c r="F70" i="1"/>
  <c r="H70" i="1" s="1"/>
  <c r="H69" i="1"/>
  <c r="H68" i="1"/>
  <c r="H67" i="1"/>
  <c r="H66" i="1"/>
  <c r="H65" i="1"/>
  <c r="H64" i="1"/>
  <c r="H63" i="1"/>
  <c r="H62" i="1"/>
  <c r="H61" i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H50" i="1"/>
  <c r="H49" i="1"/>
  <c r="H48" i="1"/>
  <c r="H47" i="1"/>
  <c r="H46" i="1"/>
  <c r="H45" i="1"/>
  <c r="F44" i="1"/>
  <c r="H44" i="1" s="1"/>
  <c r="H43" i="1"/>
  <c r="H42" i="1"/>
  <c r="H41" i="1"/>
  <c r="H40" i="1"/>
  <c r="H39" i="1"/>
  <c r="H38" i="1"/>
  <c r="H37" i="1"/>
  <c r="M36" i="1"/>
  <c r="H36" i="1"/>
  <c r="R35" i="1"/>
  <c r="Q35" i="1" s="1"/>
  <c r="T35" i="1" s="1"/>
  <c r="S35" i="1" s="1"/>
  <c r="O35" i="1"/>
  <c r="H35" i="1"/>
  <c r="T34" i="1"/>
  <c r="S34" i="1" s="1"/>
  <c r="R34" i="1"/>
  <c r="Q34" i="1"/>
  <c r="O34" i="1"/>
  <c r="H34" i="1"/>
  <c r="R33" i="1"/>
  <c r="Q33" i="1" s="1"/>
  <c r="T33" i="1" s="1"/>
  <c r="S33" i="1" s="1"/>
  <c r="O33" i="1"/>
  <c r="H33" i="1"/>
  <c r="R32" i="1"/>
  <c r="Q32" i="1"/>
  <c r="O32" i="1"/>
  <c r="T32" i="1" s="1"/>
  <c r="S32" i="1" s="1"/>
  <c r="H32" i="1"/>
  <c r="R31" i="1"/>
  <c r="Q31" i="1" s="1"/>
  <c r="T31" i="1" s="1"/>
  <c r="S31" i="1" s="1"/>
  <c r="O31" i="1"/>
  <c r="H31" i="1"/>
  <c r="R30" i="1"/>
  <c r="Q30" i="1"/>
  <c r="O30" i="1"/>
  <c r="T30" i="1" s="1"/>
  <c r="S30" i="1" s="1"/>
  <c r="H30" i="1"/>
  <c r="R29" i="1"/>
  <c r="Q29" i="1" s="1"/>
  <c r="T29" i="1" s="1"/>
  <c r="S29" i="1" s="1"/>
  <c r="O29" i="1"/>
  <c r="H29" i="1"/>
  <c r="T28" i="1"/>
  <c r="S28" i="1" s="1"/>
  <c r="Q28" i="1"/>
  <c r="O28" i="1"/>
  <c r="H28" i="1"/>
  <c r="Q27" i="1"/>
  <c r="T27" i="1" s="1"/>
  <c r="S27" i="1" s="1"/>
  <c r="O27" i="1"/>
  <c r="H27" i="1"/>
  <c r="Q26" i="1"/>
  <c r="T26" i="1" s="1"/>
  <c r="S26" i="1" s="1"/>
  <c r="O26" i="1"/>
  <c r="H26" i="1"/>
  <c r="T25" i="1"/>
  <c r="S25" i="1"/>
  <c r="Q25" i="1"/>
  <c r="O25" i="1"/>
  <c r="H25" i="1"/>
  <c r="T24" i="1"/>
  <c r="S24" i="1" s="1"/>
  <c r="Q24" i="1"/>
  <c r="O24" i="1"/>
  <c r="H24" i="1"/>
  <c r="Q23" i="1"/>
  <c r="T23" i="1" s="1"/>
  <c r="S23" i="1" s="1"/>
  <c r="O23" i="1"/>
  <c r="H23" i="1"/>
  <c r="Q22" i="1"/>
  <c r="T22" i="1" s="1"/>
  <c r="S22" i="1" s="1"/>
  <c r="O22" i="1"/>
  <c r="H22" i="1"/>
  <c r="T21" i="1"/>
  <c r="S21" i="1"/>
  <c r="Q21" i="1"/>
  <c r="O21" i="1"/>
  <c r="H21" i="1"/>
  <c r="T20" i="1"/>
  <c r="S20" i="1" s="1"/>
  <c r="Q20" i="1"/>
  <c r="O20" i="1"/>
  <c r="H20" i="1"/>
  <c r="F20" i="1"/>
  <c r="Q19" i="1"/>
  <c r="T19" i="1" s="1"/>
  <c r="S19" i="1" s="1"/>
  <c r="O19" i="1"/>
  <c r="H19" i="1"/>
  <c r="T18" i="1"/>
  <c r="S18" i="1"/>
  <c r="Q18" i="1"/>
  <c r="O18" i="1"/>
  <c r="H18" i="1"/>
  <c r="T17" i="1"/>
  <c r="S17" i="1" s="1"/>
  <c r="Q17" i="1"/>
  <c r="O17" i="1"/>
  <c r="H17" i="1"/>
  <c r="Q16" i="1"/>
  <c r="T16" i="1" s="1"/>
  <c r="S16" i="1" s="1"/>
  <c r="O16" i="1"/>
  <c r="H16" i="1"/>
  <c r="Q15" i="1"/>
  <c r="T15" i="1" s="1"/>
  <c r="S15" i="1" s="1"/>
  <c r="O15" i="1"/>
  <c r="H15" i="1"/>
  <c r="T14" i="1"/>
  <c r="S14" i="1"/>
  <c r="Q14" i="1"/>
  <c r="O14" i="1"/>
  <c r="H14" i="1"/>
  <c r="R13" i="1"/>
  <c r="Q13" i="1"/>
  <c r="O13" i="1"/>
  <c r="T13" i="1" s="1"/>
  <c r="S13" i="1" s="1"/>
  <c r="H13" i="1"/>
  <c r="R12" i="1"/>
  <c r="Q12" i="1" s="1"/>
  <c r="T12" i="1" s="1"/>
  <c r="S12" i="1" s="1"/>
  <c r="O12" i="1"/>
  <c r="H12" i="1"/>
  <c r="R11" i="1"/>
  <c r="Q11" i="1"/>
  <c r="O11" i="1"/>
  <c r="T11" i="1" s="1"/>
  <c r="S11" i="1" s="1"/>
  <c r="H11" i="1"/>
  <c r="R10" i="1"/>
  <c r="Q10" i="1" s="1"/>
  <c r="T10" i="1" s="1"/>
  <c r="S10" i="1" s="1"/>
  <c r="O10" i="1"/>
  <c r="H10" i="1"/>
  <c r="R9" i="1"/>
  <c r="Q9" i="1"/>
  <c r="O9" i="1"/>
  <c r="T9" i="1" s="1"/>
  <c r="S9" i="1" s="1"/>
  <c r="H9" i="1"/>
  <c r="R8" i="1"/>
  <c r="Q8" i="1" s="1"/>
  <c r="T8" i="1" s="1"/>
  <c r="S8" i="1" s="1"/>
  <c r="O8" i="1"/>
  <c r="H8" i="1"/>
  <c r="R7" i="1"/>
  <c r="R36" i="1" s="1"/>
  <c r="Q7" i="1"/>
  <c r="O7" i="1"/>
  <c r="T7" i="1" s="1"/>
  <c r="S7" i="1" s="1"/>
  <c r="H7" i="1"/>
  <c r="Q6" i="1"/>
  <c r="T6" i="1" s="1"/>
  <c r="S6" i="1" s="1"/>
  <c r="O6" i="1"/>
  <c r="H6" i="1"/>
  <c r="T5" i="1"/>
  <c r="S5" i="1"/>
  <c r="Q5" i="1"/>
  <c r="O5" i="1"/>
  <c r="O36" i="1" s="1"/>
  <c r="H5" i="1"/>
  <c r="H4" i="1"/>
  <c r="H3" i="1"/>
  <c r="H2" i="1"/>
  <c r="Q36" i="1" l="1"/>
  <c r="T36" i="1" s="1"/>
</calcChain>
</file>

<file path=xl/sharedStrings.xml><?xml version="1.0" encoding="utf-8"?>
<sst xmlns="http://schemas.openxmlformats.org/spreadsheetml/2006/main" count="2027" uniqueCount="945">
  <si>
    <t>Supplier</t>
  </si>
  <si>
    <t>Category</t>
  </si>
  <si>
    <t>Barcode</t>
  </si>
  <si>
    <t>Description</t>
  </si>
  <si>
    <t>Qty</t>
  </si>
  <si>
    <t>BP</t>
  </si>
  <si>
    <t>MRP</t>
  </si>
  <si>
    <t>Margin</t>
  </si>
  <si>
    <t>JJ Books</t>
  </si>
  <si>
    <t>Slates</t>
  </si>
  <si>
    <t>Magic Slate with Magnet/Pen/Eraser</t>
  </si>
  <si>
    <t>Scissors</t>
  </si>
  <si>
    <t>6953666702426</t>
  </si>
  <si>
    <t>Rocket Office Scissors 7 Inch</t>
  </si>
  <si>
    <t>6953666702570</t>
  </si>
  <si>
    <t>Rocket Office Scissors 4 Inch</t>
  </si>
  <si>
    <t>Cost</t>
  </si>
  <si>
    <t>Total</t>
  </si>
  <si>
    <t>Unit</t>
  </si>
  <si>
    <t>Total MRP</t>
  </si>
  <si>
    <t>Profit</t>
  </si>
  <si>
    <t>6945442200738</t>
  </si>
  <si>
    <t>Rocket Office Scissors 6.4 Inch</t>
  </si>
  <si>
    <t>CLASSMATE BOOK 40</t>
  </si>
  <si>
    <t>PCS</t>
  </si>
  <si>
    <t>Pens and Refills</t>
  </si>
  <si>
    <t>8904106820475</t>
  </si>
  <si>
    <t>Uniball Eye Pen 0.7mm</t>
  </si>
  <si>
    <t>CLASSMATE BOOK 45</t>
  </si>
  <si>
    <t>Pin Dispenser</t>
  </si>
  <si>
    <t>8901238200021</t>
  </si>
  <si>
    <t>Kangaro Pin Dispenser MPD R 50 Round</t>
  </si>
  <si>
    <t>V HOLDER</t>
  </si>
  <si>
    <t>6924691380040</t>
  </si>
  <si>
    <t>PAGE MARKER</t>
  </si>
  <si>
    <t>6953666702549</t>
  </si>
  <si>
    <t>Rocket Office Scissors 5 Inch</t>
  </si>
  <si>
    <t>PEN STAND 8009</t>
  </si>
  <si>
    <t>Pins</t>
  </si>
  <si>
    <t>Push Pin Infinity 50 Nos</t>
  </si>
  <si>
    <t>PEN STAND 314</t>
  </si>
  <si>
    <t>Battery</t>
  </si>
  <si>
    <t>4891199140136</t>
  </si>
  <si>
    <t>Godrej GP AA Battery</t>
  </si>
  <si>
    <t>KEY CHAIN</t>
  </si>
  <si>
    <t>PKT</t>
  </si>
  <si>
    <t>Lens</t>
  </si>
  <si>
    <t>Magnifying Glass - Lense 75mm</t>
  </si>
  <si>
    <t>MAGNET</t>
  </si>
  <si>
    <t>SHT</t>
  </si>
  <si>
    <t>Eraser</t>
  </si>
  <si>
    <t>Fancy Eraser</t>
  </si>
  <si>
    <t>GLITTER TAPE</t>
  </si>
  <si>
    <t>BOX</t>
  </si>
  <si>
    <t>Note Book</t>
  </si>
  <si>
    <t>8906028930782</t>
  </si>
  <si>
    <t>Papergrid Note Book 400 Pages A4</t>
  </si>
  <si>
    <t>PARKER 100</t>
  </si>
  <si>
    <t>AS</t>
  </si>
  <si>
    <t>Calculator</t>
  </si>
  <si>
    <t>4971850090359</t>
  </si>
  <si>
    <t>Casio fx-991ES Plus Scientific calculator</t>
  </si>
  <si>
    <t>PARKER 175</t>
  </si>
  <si>
    <t>4971850032885</t>
  </si>
  <si>
    <t>Casio MJ-12Da Calculator</t>
  </si>
  <si>
    <t>PARKER 400</t>
  </si>
  <si>
    <t>4971850137931</t>
  </si>
  <si>
    <t>Casio fx-82MS Scientific calculator</t>
  </si>
  <si>
    <t>PARKER 525</t>
  </si>
  <si>
    <t>4971850091387</t>
  </si>
  <si>
    <t>Casio HL-815L Calculator</t>
  </si>
  <si>
    <t>PARKER INK 60</t>
  </si>
  <si>
    <t>4971850094340</t>
  </si>
  <si>
    <t>Casio HL-820LV Calculator</t>
  </si>
  <si>
    <t>SUCCESS 15</t>
  </si>
  <si>
    <t>Key Chain</t>
  </si>
  <si>
    <t>CLASSMATE BOOK 15</t>
  </si>
  <si>
    <t>Rulers</t>
  </si>
  <si>
    <t>8902191050418</t>
  </si>
  <si>
    <t>Omega Roll n Draw 30 cm Ruler</t>
  </si>
  <si>
    <t>SUCCESS 20</t>
  </si>
  <si>
    <t>24" Steel Ruler</t>
  </si>
  <si>
    <t>PAPER GRID 20</t>
  </si>
  <si>
    <t>18" Steel Ruler</t>
  </si>
  <si>
    <t>BOOK DIAMOND</t>
  </si>
  <si>
    <t>1 Meter Steel Ruler</t>
  </si>
  <si>
    <t>BOOK CROWN</t>
  </si>
  <si>
    <t>Union Toys</t>
  </si>
  <si>
    <t>Pen Holder</t>
  </si>
  <si>
    <t>8906069833653</t>
  </si>
  <si>
    <t>Pen Holder Plastic</t>
  </si>
  <si>
    <t>A4 PAPER 100 DIAMOND</t>
  </si>
  <si>
    <t>6912345680400</t>
  </si>
  <si>
    <t>Pen Holder DG-8040</t>
  </si>
  <si>
    <t>A4 PAPER 50 DIAMOND</t>
  </si>
  <si>
    <t>6912345691390</t>
  </si>
  <si>
    <t>Pen Holder DG-9139</t>
  </si>
  <si>
    <t>A4 PAPER 25 DIAMOND</t>
  </si>
  <si>
    <t>Pen Holder DG-6901</t>
  </si>
  <si>
    <t>FANCY RUBBER</t>
  </si>
  <si>
    <t>Game</t>
  </si>
  <si>
    <t>Twinkle Exciting Game Cube</t>
  </si>
  <si>
    <t>CHINA W COLOUR MINI</t>
  </si>
  <si>
    <t>SET</t>
  </si>
  <si>
    <t>Clay</t>
  </si>
  <si>
    <t>6935539602507</t>
  </si>
  <si>
    <t>Clay TK-8388</t>
  </si>
  <si>
    <t>CHINA W COLOUR BIG</t>
  </si>
  <si>
    <t>Eraser Angry Birds</t>
  </si>
  <si>
    <t>METAL HOOK</t>
  </si>
  <si>
    <t>Box</t>
  </si>
  <si>
    <t>Pencil Box I Phone</t>
  </si>
  <si>
    <t>STICKER</t>
  </si>
  <si>
    <t>Book</t>
  </si>
  <si>
    <t>9788180061141</t>
  </si>
  <si>
    <t>Easy Colouring Book - Alka</t>
  </si>
  <si>
    <t>FABER PL CRAYON</t>
  </si>
  <si>
    <t>9788180068300</t>
  </si>
  <si>
    <t>My First Girls Colouring Book - Alka</t>
  </si>
  <si>
    <t>BRUSH</t>
  </si>
  <si>
    <t>9788180067488</t>
  </si>
  <si>
    <t>At the playground colouring book - Alka</t>
  </si>
  <si>
    <t>FABER CASTEL SET</t>
  </si>
  <si>
    <t>9788180067419</t>
  </si>
  <si>
    <t>Toys Colouring Book - Alka</t>
  </si>
  <si>
    <t>9788180067426</t>
  </si>
  <si>
    <t>Nursery Rhymes Colouring Book - Alka</t>
  </si>
  <si>
    <t>9788180067402</t>
  </si>
  <si>
    <t>Sports Colouring Book - Alka</t>
  </si>
  <si>
    <t>9788180067501</t>
  </si>
  <si>
    <t>At the beach colouring book - Alka</t>
  </si>
  <si>
    <t>9788180060656</t>
  </si>
  <si>
    <t>Vehicles Colouring book - Alka</t>
  </si>
  <si>
    <t>9788180060533</t>
  </si>
  <si>
    <t>Vegetables colouring book - Alka</t>
  </si>
  <si>
    <t>9788180060342</t>
  </si>
  <si>
    <t>Birds colouring book - Alka</t>
  </si>
  <si>
    <t>9788180060779</t>
  </si>
  <si>
    <t>Fruits colouring book - Alka</t>
  </si>
  <si>
    <t>Toys</t>
  </si>
  <si>
    <t>Smiley Ball</t>
  </si>
  <si>
    <t>Compass alone</t>
  </si>
  <si>
    <t>winner</t>
  </si>
  <si>
    <t>Bags</t>
  </si>
  <si>
    <t>American Traveller Bag</t>
  </si>
  <si>
    <t>BMW Motorsport Bag</t>
  </si>
  <si>
    <t>Sling Bag Jeans</t>
  </si>
  <si>
    <t>Girls Bag</t>
  </si>
  <si>
    <t>Sling Bag Rainbow</t>
  </si>
  <si>
    <t>Sling Bag Handmade</t>
  </si>
  <si>
    <t>Pencils</t>
  </si>
  <si>
    <t>8901425048511</t>
  </si>
  <si>
    <t>Camlin Klick Pen Pencil 0.5mm</t>
  </si>
  <si>
    <t>8901425058930</t>
  </si>
  <si>
    <t>Camlin Nouvel Pen Pencil 0.5mm</t>
  </si>
  <si>
    <t>8907234004304</t>
  </si>
  <si>
    <t>Cello Technotip Blue</t>
  </si>
  <si>
    <t>8907234004311</t>
  </si>
  <si>
    <t>Cello Technotip Black</t>
  </si>
  <si>
    <t>836449009621</t>
  </si>
  <si>
    <t>Lexi Jet Speed Pen Blue</t>
  </si>
  <si>
    <t>8901015269005</t>
  </si>
  <si>
    <t>Montex Monitor Ball Pen</t>
  </si>
  <si>
    <t>Elkos Colours Direct fill pen</t>
  </si>
  <si>
    <t>Markers</t>
  </si>
  <si>
    <t>8902532045448</t>
  </si>
  <si>
    <t>Rorito CD/DVD Marker</t>
  </si>
  <si>
    <t>8901425000625</t>
  </si>
  <si>
    <t>Camlin Klick Pen Pencil 0.7mm</t>
  </si>
  <si>
    <t>Infinity Lead Pencil</t>
  </si>
  <si>
    <t>8902635230185</t>
  </si>
  <si>
    <t>Kores Modelling Clay</t>
  </si>
  <si>
    <t>Stapler</t>
  </si>
  <si>
    <t>8901238310133</t>
  </si>
  <si>
    <t>Kangaro Stapler HP-45</t>
  </si>
  <si>
    <t>8908003615158</t>
  </si>
  <si>
    <t>Kangaro Mini Stapler Mini-10</t>
  </si>
  <si>
    <t>8903183100500</t>
  </si>
  <si>
    <t>Classmate Archimedes Box</t>
  </si>
  <si>
    <t>8901425031469</t>
  </si>
  <si>
    <t>Camlin Exam Box</t>
  </si>
  <si>
    <t>8903183100302</t>
  </si>
  <si>
    <t>Classmate Asteroid Box</t>
  </si>
  <si>
    <t>8903183100012</t>
  </si>
  <si>
    <t>Classmate Invento Box</t>
  </si>
  <si>
    <t>8901425056257</t>
  </si>
  <si>
    <t>Camlin Galaxy Box</t>
  </si>
  <si>
    <t>8901425037164</t>
  </si>
  <si>
    <t>Camlin Scholar Box</t>
  </si>
  <si>
    <t>8907234004069</t>
  </si>
  <si>
    <t>Cello Pinpoint Exam pen</t>
  </si>
  <si>
    <t>Stamp Pad</t>
  </si>
  <si>
    <t>8901180949382</t>
  </si>
  <si>
    <t>Faber Castell Stamp Pad 110mm x 69mm</t>
  </si>
  <si>
    <t>8902532045028</t>
  </si>
  <si>
    <t>Rorito Charmer Pen</t>
  </si>
  <si>
    <t>Correction Pen</t>
  </si>
  <si>
    <t>8902532045530</t>
  </si>
  <si>
    <t>Rorito Correction Pen 7.0</t>
  </si>
  <si>
    <t>Sharpner</t>
  </si>
  <si>
    <t>8901324003451</t>
  </si>
  <si>
    <t>Apsara Long point Sharpner</t>
  </si>
  <si>
    <t>8901425064122</t>
  </si>
  <si>
    <t>Camlin Supreme HD Pencil</t>
  </si>
  <si>
    <t>8904155970695</t>
  </si>
  <si>
    <t>Totem Delux Pen</t>
  </si>
  <si>
    <t>8901425064115</t>
  </si>
  <si>
    <t>Camlin Supreme HD Pencil (10 nos)</t>
  </si>
  <si>
    <t>8901324013849</t>
  </si>
  <si>
    <t>Apsara Platinum Extra Dark Pencil Pack of 10</t>
  </si>
  <si>
    <t>100 nos</t>
  </si>
  <si>
    <t>5 per pc</t>
  </si>
  <si>
    <t>8901324007862</t>
  </si>
  <si>
    <t>Apsara Beauty Dark Pencils pack of 10</t>
  </si>
  <si>
    <t>Glue</t>
  </si>
  <si>
    <t>8901860633396</t>
  </si>
  <si>
    <t>Fevi Gum Lime</t>
  </si>
  <si>
    <t>8902635580334</t>
  </si>
  <si>
    <t>Kores Gum Apple</t>
  </si>
  <si>
    <t>6933093002016</t>
  </si>
  <si>
    <t>Vivid Glue Stick 8gm</t>
  </si>
  <si>
    <t>8901324061239</t>
  </si>
  <si>
    <t>Apsara Non Dust Eraser Jumbo</t>
  </si>
  <si>
    <t>Staples</t>
  </si>
  <si>
    <t>8901238910036</t>
  </si>
  <si>
    <t>Kangaro Staples 24/6-1M</t>
  </si>
  <si>
    <t>Punch</t>
  </si>
  <si>
    <t>8901238510038</t>
  </si>
  <si>
    <t>Kangaro punch 52 8cm</t>
  </si>
  <si>
    <t>8901238311055</t>
  </si>
  <si>
    <t>Kangaro Punch SHP-30 Single</t>
  </si>
  <si>
    <t>8901324010664</t>
  </si>
  <si>
    <t>Apsara Non Dust Eraser Small</t>
  </si>
  <si>
    <t>Highlighter</t>
  </si>
  <si>
    <t>8901180548073</t>
  </si>
  <si>
    <t>Faber Castell Highlighter</t>
  </si>
  <si>
    <t>Remover</t>
  </si>
  <si>
    <t>8901238310300</t>
  </si>
  <si>
    <t>Kangaro Staple Remover SR-100</t>
  </si>
  <si>
    <t>8901238910005</t>
  </si>
  <si>
    <t>Kangaro Staples No.10-1M</t>
  </si>
  <si>
    <t>6930557913048</t>
  </si>
  <si>
    <t>Winshine Character Ruler with Game</t>
  </si>
  <si>
    <t>8901425030080</t>
  </si>
  <si>
    <t>Camlin Pencil Leads 0.5mm</t>
  </si>
  <si>
    <t>8901425030752</t>
  </si>
  <si>
    <t>Camlin Pencil Leads 0.7mm</t>
  </si>
  <si>
    <t>Binder Clips</t>
  </si>
  <si>
    <t>6949127300324</t>
  </si>
  <si>
    <t>Kent Binder Clips 25mm 1" Pack</t>
  </si>
  <si>
    <t>6924561101096</t>
  </si>
  <si>
    <t>Amkay Binder Clips 41mm Pack</t>
  </si>
  <si>
    <t>6949127300416</t>
  </si>
  <si>
    <t>Kent Binder Clips 19mm 3/4" Pack</t>
  </si>
  <si>
    <t>4806021316917</t>
  </si>
  <si>
    <t>Amkay Binder Clips 32mm Pack</t>
  </si>
  <si>
    <t>Info Binder Clips 15mm Pack</t>
  </si>
  <si>
    <t>Rubber Band</t>
  </si>
  <si>
    <t>Rubber Band Nylon 250 gm</t>
  </si>
  <si>
    <t>Stickers</t>
  </si>
  <si>
    <t>Room Décor Stickers</t>
  </si>
  <si>
    <t>6486635299868</t>
  </si>
  <si>
    <t>Key Chain Smiley</t>
  </si>
  <si>
    <t>Drawing</t>
  </si>
  <si>
    <t>6900557454681</t>
  </si>
  <si>
    <t>Artist Palette Mini</t>
  </si>
  <si>
    <t>6900557455909</t>
  </si>
  <si>
    <t>Artist Palette Big</t>
  </si>
  <si>
    <t>Hooks</t>
  </si>
  <si>
    <t>Metal Hook 18 Nos</t>
  </si>
  <si>
    <t>Metal Hook Single</t>
  </si>
  <si>
    <t>8901198425083</t>
  </si>
  <si>
    <t>Parker Vector Pen Pack</t>
  </si>
  <si>
    <t>8901198422761</t>
  </si>
  <si>
    <t>Parker Vector Steel</t>
  </si>
  <si>
    <t>8901198412649</t>
  </si>
  <si>
    <t>Parker Beta Pen</t>
  </si>
  <si>
    <t>8901198470908</t>
  </si>
  <si>
    <t>Parker Quink Roller Refiller</t>
  </si>
  <si>
    <t>8901198470885</t>
  </si>
  <si>
    <t>Magnet</t>
  </si>
  <si>
    <t>6958462875015</t>
  </si>
  <si>
    <t>Board Magnet 20mm</t>
  </si>
  <si>
    <t>6936304305463</t>
  </si>
  <si>
    <t>Artist Paint Brush Set</t>
  </si>
  <si>
    <t>Diamond Project Paper A4 100nos</t>
  </si>
  <si>
    <t>Diamond Project Paper A4 50nos</t>
  </si>
  <si>
    <t>Diamond Project Paper A4 25nos</t>
  </si>
  <si>
    <t>Sticky Notes</t>
  </si>
  <si>
    <t>6957990900190</t>
  </si>
  <si>
    <t>Sticky Notes Flag Set</t>
  </si>
  <si>
    <t>Crayons</t>
  </si>
  <si>
    <t>8901180228128</t>
  </si>
  <si>
    <t>Faber Castell Plastic Crayons 12+2</t>
  </si>
  <si>
    <t>Tape and Dispensers</t>
  </si>
  <si>
    <t xml:space="preserve">Glitter Tape </t>
  </si>
  <si>
    <t>Card Holders</t>
  </si>
  <si>
    <t>Business Card Holder 240 Cards</t>
  </si>
  <si>
    <t>Pen Holder YS-314A Wooden</t>
  </si>
  <si>
    <t>Pen Holder 8009 Wooden</t>
  </si>
  <si>
    <t>8901180530108</t>
  </si>
  <si>
    <t>Faber Castell Connecter Sketch Pens Set</t>
  </si>
  <si>
    <t>8901180105283</t>
  </si>
  <si>
    <t>Faber Castell Art Colour Kit Jumbo</t>
  </si>
  <si>
    <t>8901198471066</t>
  </si>
  <si>
    <t>Parker Ink Quink</t>
  </si>
  <si>
    <t>Diamond Note Book 172 Pages</t>
  </si>
  <si>
    <t>8902361011614</t>
  </si>
  <si>
    <t>Success Note Book 96 Pages</t>
  </si>
  <si>
    <t>8902519002082</t>
  </si>
  <si>
    <t>Classmate Note Book 92 Pages</t>
  </si>
  <si>
    <t>8902361042069</t>
  </si>
  <si>
    <t>Success Note Book 160 Pages</t>
  </si>
  <si>
    <t>8906028930812</t>
  </si>
  <si>
    <t>Papergrid Note Book 72 Pages</t>
  </si>
  <si>
    <t>1212313123324</t>
  </si>
  <si>
    <t>Nice Crown Note Book</t>
  </si>
  <si>
    <t>8902519002228</t>
  </si>
  <si>
    <t>Classmate Note Book 172 Pages</t>
  </si>
  <si>
    <t>8902519001993</t>
  </si>
  <si>
    <t>Classmate Note Book A4 140 Pages</t>
  </si>
  <si>
    <t>Files</t>
  </si>
  <si>
    <t>Laminated Office File 200</t>
  </si>
  <si>
    <t>Laminated Office File 416</t>
  </si>
  <si>
    <t>Tissue</t>
  </si>
  <si>
    <t>8906010750510</t>
  </si>
  <si>
    <t>Royal Soft Tissue Cutie</t>
  </si>
  <si>
    <t>8906010750190</t>
  </si>
  <si>
    <t>Royal Soft Tissue Napkins</t>
  </si>
  <si>
    <t>Chalk</t>
  </si>
  <si>
    <t>Chalk White</t>
  </si>
  <si>
    <t>Chalk Colour</t>
  </si>
  <si>
    <t>Lotus Box File Big</t>
  </si>
  <si>
    <t>Box File Small</t>
  </si>
  <si>
    <t>Registers</t>
  </si>
  <si>
    <t>Register Big 240 Pages</t>
  </si>
  <si>
    <t>Register Med 160 Pages</t>
  </si>
  <si>
    <t>Register Small 80 Pages Pages</t>
  </si>
  <si>
    <t>Account Book Small 80 Pages</t>
  </si>
  <si>
    <t>Account Book Big 240 Pages</t>
  </si>
  <si>
    <t>Ledger Book Big 240 Pages</t>
  </si>
  <si>
    <t>Ledger Book Med 160 Pages</t>
  </si>
  <si>
    <t>Ledger Book Small 80 Pages</t>
  </si>
  <si>
    <t>Silver Cello Tape 1/2 Inch</t>
  </si>
  <si>
    <t>Silver Cello Tape 2 Inches</t>
  </si>
  <si>
    <t>Silver Cello Tape 1 Inch</t>
  </si>
  <si>
    <t>Envelope</t>
  </si>
  <si>
    <t>Kraft Envelope 9x4</t>
  </si>
  <si>
    <t>Kraft Envelope 10x4 1/4</t>
  </si>
  <si>
    <t xml:space="preserve">Kraft Envelope White 10 1/2 x 4 1/2 </t>
  </si>
  <si>
    <t>Kraft Envelope 12x5</t>
  </si>
  <si>
    <t>Kraft Envelope 12x10</t>
  </si>
  <si>
    <t>Amul Raja Slate 20x25</t>
  </si>
  <si>
    <t>Janta Raja Slate 20x25</t>
  </si>
  <si>
    <t>King Raja Slate 20x25</t>
  </si>
  <si>
    <t>Frooti Pen</t>
  </si>
  <si>
    <t>Altis Gripper Pen</t>
  </si>
  <si>
    <t>3 in 1 Sharpner Fancy</t>
  </si>
  <si>
    <t>Blade</t>
  </si>
  <si>
    <t>Blade 9mm Small</t>
  </si>
  <si>
    <t>Blade 18mm Big</t>
  </si>
  <si>
    <t>8903183100081</t>
  </si>
  <si>
    <t>Classmate Victor Box</t>
  </si>
  <si>
    <t>5 Subject Book Small</t>
  </si>
  <si>
    <t>5 Subject Book Big</t>
  </si>
  <si>
    <t>Cash Memo Book</t>
  </si>
  <si>
    <t>Lexi Refill</t>
  </si>
  <si>
    <t>Cello Gripper Refill</t>
  </si>
  <si>
    <t>Cello Techno Tip Refill</t>
  </si>
  <si>
    <t>Cello Pinpoint Refill</t>
  </si>
  <si>
    <t>Binding</t>
  </si>
  <si>
    <t>Ceevees Binding Roll 5mtr Long</t>
  </si>
  <si>
    <t>8956235689560</t>
  </si>
  <si>
    <t>Excel Binding Roll 8mtr Small</t>
  </si>
  <si>
    <t>DVD</t>
  </si>
  <si>
    <t>8901124025813</t>
  </si>
  <si>
    <t>Mmore DVD R 16x 4.7 GB</t>
  </si>
  <si>
    <t>Duster</t>
  </si>
  <si>
    <t xml:space="preserve">Omega Duster </t>
  </si>
  <si>
    <t>8902191021210</t>
  </si>
  <si>
    <t>Omega Hexa Pen Stand</t>
  </si>
  <si>
    <t>8902191021111</t>
  </si>
  <si>
    <t>Omega Elite Pen Stand</t>
  </si>
  <si>
    <t>Shankar Small Diary No.131</t>
  </si>
  <si>
    <t>Shankar Small Diary No.121</t>
  </si>
  <si>
    <t>Damper</t>
  </si>
  <si>
    <t>Wonder Damper Round</t>
  </si>
  <si>
    <t>8901425000434</t>
  </si>
  <si>
    <t>Camel Poster Colours 12 Shades</t>
  </si>
  <si>
    <t>8901425000427</t>
  </si>
  <si>
    <t>Camel Poster Colours 6 Shades</t>
  </si>
  <si>
    <t>8901860512202</t>
  </si>
  <si>
    <t>Fevicryl Acrylic Colour 6 shades</t>
  </si>
  <si>
    <t>DXB</t>
  </si>
  <si>
    <t>3760005420889</t>
  </si>
  <si>
    <t>Best Art Set 68 Pieces Jumbo</t>
  </si>
  <si>
    <t>Containers</t>
  </si>
  <si>
    <t>Plastic Container Small</t>
  </si>
  <si>
    <t>6922686403750</t>
  </si>
  <si>
    <t>Darkblue Pen</t>
  </si>
  <si>
    <t>Run Eggs Drawing Set</t>
  </si>
  <si>
    <t>Balloon Set Happy Birthday</t>
  </si>
  <si>
    <t>2253400802509</t>
  </si>
  <si>
    <t>Fancy Pen</t>
  </si>
  <si>
    <t>Ruler Big 20cm</t>
  </si>
  <si>
    <t>Gift Set</t>
  </si>
  <si>
    <t>2253400308018</t>
  </si>
  <si>
    <t>Kids Gift Set</t>
  </si>
  <si>
    <t>7903281128759</t>
  </si>
  <si>
    <t>Eva Puzzle Mat Series</t>
  </si>
  <si>
    <t>4571829171265</t>
  </si>
  <si>
    <t>Super Glue 3g</t>
  </si>
  <si>
    <t>6939540599467</t>
  </si>
  <si>
    <t>Fancy Pencils Long Assorted Set 5 Nos</t>
  </si>
  <si>
    <t>6939733401188</t>
  </si>
  <si>
    <t>Roller Pen RC-118</t>
  </si>
  <si>
    <t>2253400824624</t>
  </si>
  <si>
    <t>Clips and Pins Set</t>
  </si>
  <si>
    <t>PVC Tape Small</t>
  </si>
  <si>
    <t>Clips and Pins</t>
  </si>
  <si>
    <t>U Clips Office Box</t>
  </si>
  <si>
    <t>Decorative</t>
  </si>
  <si>
    <t>80228612345</t>
  </si>
  <si>
    <t>Decorative Ribbon Roll</t>
  </si>
  <si>
    <t>Tape 2 Inches Blue Colour</t>
  </si>
  <si>
    <t>Tape 3/4 Inches Red Colour</t>
  </si>
  <si>
    <t>Numeric Stickers Golden</t>
  </si>
  <si>
    <t>6000986910052</t>
  </si>
  <si>
    <t>Fancy Pencil with Eraser</t>
  </si>
  <si>
    <t>6958149000068</t>
  </si>
  <si>
    <t>Darkblue Pen Gel Pen</t>
  </si>
  <si>
    <t>6925644700052</t>
  </si>
  <si>
    <t>Glue Stick</t>
  </si>
  <si>
    <t>Glue Stick Big</t>
  </si>
  <si>
    <t>Wire Tie</t>
  </si>
  <si>
    <t>4521006105558</t>
  </si>
  <si>
    <t>Vinyl Wire Tie Pack</t>
  </si>
  <si>
    <t>Colour Pen Flourescent</t>
  </si>
  <si>
    <t>Binder Clips Set</t>
  </si>
  <si>
    <t>6932033503729</t>
  </si>
  <si>
    <t>Instrument Box</t>
  </si>
  <si>
    <t xml:space="preserve">Pencil  </t>
  </si>
  <si>
    <t>Multi Point Pencil</t>
  </si>
  <si>
    <t>6922227301026</t>
  </si>
  <si>
    <t>Styno Gen Pen</t>
  </si>
  <si>
    <t>8901425021712</t>
  </si>
  <si>
    <t>Camel Water Colour Tubes 6 Shades</t>
  </si>
  <si>
    <t>8901425006221</t>
  </si>
  <si>
    <t>Camel Water Colour Tubes 12 Shades</t>
  </si>
  <si>
    <t>8901425052556</t>
  </si>
  <si>
    <t>Camel Oil Pastels 25 Shades</t>
  </si>
  <si>
    <t>8901425031636</t>
  </si>
  <si>
    <t>Camel Oil Pastels 12 Shades</t>
  </si>
  <si>
    <t>8901425028698</t>
  </si>
  <si>
    <t>Camlin Colour Pencils 10 Shades</t>
  </si>
  <si>
    <t>8901057202800</t>
  </si>
  <si>
    <t>Kangaro Punch DP-280</t>
  </si>
  <si>
    <t>8901057205405</t>
  </si>
  <si>
    <t>Kangaro Punch DP-540</t>
  </si>
  <si>
    <t>8901425030158</t>
  </si>
  <si>
    <t>Camlin Exam Compass</t>
  </si>
  <si>
    <t>8901860512196</t>
  </si>
  <si>
    <t>Fevicryl Acrylic Colour 10 shades</t>
  </si>
  <si>
    <t>Slate Pencils</t>
  </si>
  <si>
    <t>8901860544968</t>
  </si>
  <si>
    <t>Fevicryl Glass Colour 6 shades</t>
  </si>
  <si>
    <t>8901057400107</t>
  </si>
  <si>
    <t>Kangaro SR-45 Remover</t>
  </si>
  <si>
    <t>8901860010296</t>
  </si>
  <si>
    <t>Fevi Kwik 1gm small</t>
  </si>
  <si>
    <t>Rubber Bank Nylon Small Packet</t>
  </si>
  <si>
    <t>Aaacee's Drawing Brush</t>
  </si>
  <si>
    <t>8901057310420</t>
  </si>
  <si>
    <t>Kangaro HP-10 Stapler</t>
  </si>
  <si>
    <t>8901180544518</t>
  </si>
  <si>
    <t>Faber Castel Board Marker</t>
  </si>
  <si>
    <t>8901425030011</t>
  </si>
  <si>
    <t>Camlin Permanent Marker</t>
  </si>
  <si>
    <t>8901860544975</t>
  </si>
  <si>
    <t>Fevicryl Glass Colour 10 shades</t>
  </si>
  <si>
    <t>Kores Kool Toolz Glue 20 ml</t>
  </si>
  <si>
    <t>Paper</t>
  </si>
  <si>
    <t>A4 Colour Paper</t>
  </si>
  <si>
    <t>Dolly Clip No.04</t>
  </si>
  <si>
    <t>Dolly Clip No.02</t>
  </si>
  <si>
    <t>Exam Board</t>
  </si>
  <si>
    <t>Clip Board 24cm x 36cm</t>
  </si>
  <si>
    <t>8901425006559</t>
  </si>
  <si>
    <t>Camlin Colour Pencils 12 Shades</t>
  </si>
  <si>
    <t>Diary</t>
  </si>
  <si>
    <t>Shankar Diary No.172</t>
  </si>
  <si>
    <t>Shankar Diary No.151</t>
  </si>
  <si>
    <t>Shankar Diary No.162</t>
  </si>
  <si>
    <t>Shankar Diary No.7</t>
  </si>
  <si>
    <t>Shankar Diary No.2</t>
  </si>
  <si>
    <t>Double Sided Tape Small 3/4"</t>
  </si>
  <si>
    <t>Other Acc</t>
  </si>
  <si>
    <t>Paper Weight Round</t>
  </si>
  <si>
    <t>Excellent Math. Drawing Set</t>
  </si>
  <si>
    <t>6970221725249</t>
  </si>
  <si>
    <t>Sticky Note Pad 3x3</t>
  </si>
  <si>
    <t>Sticky Note Pad 2x3</t>
  </si>
  <si>
    <t>8901324000146</t>
  </si>
  <si>
    <t>Apsara Drawing Pencils</t>
  </si>
  <si>
    <t>4902778913963</t>
  </si>
  <si>
    <t>8904155900166</t>
  </si>
  <si>
    <t>Win Bee Gel Pen 0.5mm</t>
  </si>
  <si>
    <t>8901765304278</t>
  </si>
  <si>
    <t>Flair Silkina Pen</t>
  </si>
  <si>
    <t>8907234002577</t>
  </si>
  <si>
    <t>Cello Papersoft Pen</t>
  </si>
  <si>
    <t>Mikado Eraser</t>
  </si>
  <si>
    <t>8901765140685</t>
  </si>
  <si>
    <t>Flair Pen</t>
  </si>
  <si>
    <t>8901324460179</t>
  </si>
  <si>
    <t>Nataraj Eraser Small</t>
  </si>
  <si>
    <t>Apsara Eraser Small</t>
  </si>
  <si>
    <t>Apsara Eraser Big</t>
  </si>
  <si>
    <t>8901860633518</t>
  </si>
  <si>
    <t>Fevi Stick Glue 15gm</t>
  </si>
  <si>
    <t>8901860633648</t>
  </si>
  <si>
    <t>Fevi Stick Glue 10gm</t>
  </si>
  <si>
    <t>Steel Cutter Small</t>
  </si>
  <si>
    <t>Steel Cutter Big</t>
  </si>
  <si>
    <t>Rubber Band Nylon 1.5inch</t>
  </si>
  <si>
    <t>8908002615074</t>
  </si>
  <si>
    <t>Easi Grow Pen</t>
  </si>
  <si>
    <t>Fevi Kwik 500mg small</t>
  </si>
  <si>
    <t>8902532045356</t>
  </si>
  <si>
    <t>Rorito Flymax Gel pen</t>
  </si>
  <si>
    <t>Nylon Tag 6"</t>
  </si>
  <si>
    <t>Pencil Knife Small</t>
  </si>
  <si>
    <t>8901425044575</t>
  </si>
  <si>
    <t>Camel Water Colour 12 Shades</t>
  </si>
  <si>
    <t>Scout Fountain Pen</t>
  </si>
  <si>
    <t>Paper Clip U shape</t>
  </si>
  <si>
    <t>Executive Binding Roll 55x5mtr Long</t>
  </si>
  <si>
    <t>Executive Binding Roll 33x5mtr Small</t>
  </si>
  <si>
    <t>Diary Small A7 168 pages</t>
  </si>
  <si>
    <t>F/C 202 Display File 10 Pockets</t>
  </si>
  <si>
    <t>F/C 204 Display File 10 Pockets</t>
  </si>
  <si>
    <t>Certificate File Plastic Normal IO</t>
  </si>
  <si>
    <t>Certificate Clear File Plastic Normal DS</t>
  </si>
  <si>
    <t>My Clear Bag Plastic IL</t>
  </si>
  <si>
    <t>Executive Bag Plastic</t>
  </si>
  <si>
    <t>My Clear Bag Plastic OA/SR</t>
  </si>
  <si>
    <t>My Clear Bag Plastic DO/SR</t>
  </si>
  <si>
    <t>My Clear Bag Plastic DR/SR</t>
  </si>
  <si>
    <t>2 Ring Binder D Ring F/C 404</t>
  </si>
  <si>
    <t>Spine Bar/Stick File A4 Thick</t>
  </si>
  <si>
    <t>My Clear Bag Plastic Thick</t>
  </si>
  <si>
    <t>Executive Bag 6 Folders</t>
  </si>
  <si>
    <t>Executive Bag 12 Folders</t>
  </si>
  <si>
    <t>Executive Bag 18 Folders</t>
  </si>
  <si>
    <t xml:space="preserve">Executive Bag 6 Folder Aristocrat </t>
  </si>
  <si>
    <t xml:space="preserve">Executive Bag 12 Folder Aristocrat </t>
  </si>
  <si>
    <t xml:space="preserve">Executive Bag 18 Folder Aristocrat </t>
  </si>
  <si>
    <t>Spine Bar/Stick Rainbow File A4 Thick</t>
  </si>
  <si>
    <t>Boards</t>
  </si>
  <si>
    <t>Black Board Roll 18x23 Small</t>
  </si>
  <si>
    <t>Black Board Roll 18x23 Small 24x36</t>
  </si>
  <si>
    <t>8901425058916</t>
  </si>
  <si>
    <t>Camlin Sketch Pens 12 Shades</t>
  </si>
  <si>
    <t>Estimate Book 00</t>
  </si>
  <si>
    <t>Estimate Order Form</t>
  </si>
  <si>
    <t>8904165505672</t>
  </si>
  <si>
    <t>Drawing Book 100 Pages Big</t>
  </si>
  <si>
    <t>9788187460671</t>
  </si>
  <si>
    <t>Atlas Map Book</t>
  </si>
  <si>
    <t>Carbon</t>
  </si>
  <si>
    <t>8902635404005</t>
  </si>
  <si>
    <t>Kores Double  Sided Carbon Paper</t>
  </si>
  <si>
    <t>Muster Roll Register</t>
  </si>
  <si>
    <t>6920714022768</t>
  </si>
  <si>
    <t>Monomax Glossy Inkjet Photo paper A4 130 gsm</t>
  </si>
  <si>
    <t>Nips High Glossy Photo Paper A4 180 Gsm</t>
  </si>
  <si>
    <t xml:space="preserve">Camlin Carbon Paper </t>
  </si>
  <si>
    <t>Bell Nail Cutter</t>
  </si>
  <si>
    <t>8902635404906</t>
  </si>
  <si>
    <t>Kores Carbon Paper</t>
  </si>
  <si>
    <t>8901324023138</t>
  </si>
  <si>
    <t>Nataraj Pencil</t>
  </si>
  <si>
    <t>8901324006971</t>
  </si>
  <si>
    <t>Nataraj Pencil Picture</t>
  </si>
  <si>
    <t>Double Sided Tape 3/4"</t>
  </si>
  <si>
    <t>Sharp Cash Voucher</t>
  </si>
  <si>
    <t>Cello Techno Tip Pen</t>
  </si>
  <si>
    <t>6937630156521</t>
  </si>
  <si>
    <t>Makeup Set Brushes</t>
  </si>
  <si>
    <t>Tape Dispenser Tip Top</t>
  </si>
  <si>
    <t>6932092602821</t>
  </si>
  <si>
    <t>Transparent Hook</t>
  </si>
  <si>
    <t>2253400456535</t>
  </si>
  <si>
    <t>Geometry Set</t>
  </si>
  <si>
    <t>Sisman Stapler</t>
  </si>
  <si>
    <t>8906035935053</t>
  </si>
  <si>
    <t>Kool Stainless Steel Ruler 12"</t>
  </si>
  <si>
    <t>Clark's Table Science Data Book</t>
  </si>
  <si>
    <t>Exal Sketch Pens Small</t>
  </si>
  <si>
    <t>Sharp Drawing Book</t>
  </si>
  <si>
    <t>Sharp A4 Graph Book</t>
  </si>
  <si>
    <t>8907234001228</t>
  </si>
  <si>
    <t>Cello Gripper Pen</t>
  </si>
  <si>
    <t>Soko Hook</t>
  </si>
  <si>
    <t>8901198115465</t>
  </si>
  <si>
    <t>Chisel Permanent Marker Packet 10 Nos</t>
  </si>
  <si>
    <t>Chisel Permanent Marker</t>
  </si>
  <si>
    <t>Bell U Clip Steel 26mm</t>
  </si>
  <si>
    <t>Safety Pin Box</t>
  </si>
  <si>
    <t>Artist Blade Big</t>
  </si>
  <si>
    <t>U Clips Office Packet</t>
  </si>
  <si>
    <t>8904101235045</t>
  </si>
  <si>
    <t>Stic Sketch Pens 15+1 shades</t>
  </si>
  <si>
    <t>8904101235038</t>
  </si>
  <si>
    <t>Stic Sketch Pens 20+1 shades</t>
  </si>
  <si>
    <t>Cello Pin Point Pen</t>
  </si>
  <si>
    <t>8901425006283</t>
  </si>
  <si>
    <t>Camel Wax Crayon 12 Shades</t>
  </si>
  <si>
    <t>8901057510028</t>
  </si>
  <si>
    <t>Bimal Tape Dispenser 3"</t>
  </si>
  <si>
    <t>Price Labels 22x12</t>
  </si>
  <si>
    <t>Pouches &amp; Tags</t>
  </si>
  <si>
    <t xml:space="preserve">ID Pouch </t>
  </si>
  <si>
    <t>ID Tag</t>
  </si>
  <si>
    <t>8902191037815</t>
  </si>
  <si>
    <t>Omega Cello Tape Dispenser 25/75mm</t>
  </si>
  <si>
    <t>Kay Pins 36mm</t>
  </si>
  <si>
    <t>Kay Pins 26mm</t>
  </si>
  <si>
    <t>Kay Pins 25gm</t>
  </si>
  <si>
    <t>Ink</t>
  </si>
  <si>
    <t>8901425044971</t>
  </si>
  <si>
    <t>Camlin Rubber Stamp Ink 100ml</t>
  </si>
  <si>
    <t>8901180960387</t>
  </si>
  <si>
    <t>Faber Castell Stamp Ink 60ml</t>
  </si>
  <si>
    <t>8901425044957</t>
  </si>
  <si>
    <t>Faber Castell Stamp Ink 25ml</t>
  </si>
  <si>
    <t>8901057310062</t>
  </si>
  <si>
    <t>Kangaro Stapler No.10</t>
  </si>
  <si>
    <t>Camel Glue 50ml Blue</t>
  </si>
  <si>
    <t>Camel Glue 150ml Blue</t>
  </si>
  <si>
    <t>Camel Glue 300ml Blue</t>
  </si>
  <si>
    <t>Camel Glue 700ml Blue</t>
  </si>
  <si>
    <t>8901860630432</t>
  </si>
  <si>
    <t>Fevicol Glue 50gm white</t>
  </si>
  <si>
    <t>Twine</t>
  </si>
  <si>
    <t>Geetha Thread Twine 400</t>
  </si>
  <si>
    <t>Geetha Thread Twine 100</t>
  </si>
  <si>
    <t>Fevicol Glue 100gm white</t>
  </si>
  <si>
    <t>Sharp Wages Register</t>
  </si>
  <si>
    <t>Service Record Register</t>
  </si>
  <si>
    <t>Pupil's Attendence Register</t>
  </si>
  <si>
    <t>A4 Graph Paper</t>
  </si>
  <si>
    <t>Cello Tape 36 Yard</t>
  </si>
  <si>
    <t>Plus OHP Sheet Transp Film</t>
  </si>
  <si>
    <t>Note Pad No.03 Active Pad</t>
  </si>
  <si>
    <t>Wall Hook Metal</t>
  </si>
  <si>
    <t>8906035935015</t>
  </si>
  <si>
    <t>Kool Stainless Steel Ruler 6"</t>
  </si>
  <si>
    <t>8901198109136</t>
  </si>
  <si>
    <t>Luxar Pilot Pen Hi-Tecpoint</t>
  </si>
  <si>
    <t>Aero Masking Tape 1"</t>
  </si>
  <si>
    <t>Aero Masking Tape 2"</t>
  </si>
  <si>
    <t>Pencil Pouch Big</t>
  </si>
  <si>
    <t>Pencil Pouch Small</t>
  </si>
  <si>
    <t>Writing Paper Ruled</t>
  </si>
  <si>
    <t>Record Sheet</t>
  </si>
  <si>
    <t>8902519002457</t>
  </si>
  <si>
    <t>Classmate Graph Book Small</t>
  </si>
  <si>
    <t>8902519002464</t>
  </si>
  <si>
    <t>Classmate Graph Book Big</t>
  </si>
  <si>
    <t>8902519001931</t>
  </si>
  <si>
    <t>Classmate Drawing Book</t>
  </si>
  <si>
    <t>Sunil</t>
  </si>
  <si>
    <t>8902519010049</t>
  </si>
  <si>
    <t>Classmate Note Book 2 lines 92 pages</t>
  </si>
  <si>
    <t>8902519010063</t>
  </si>
  <si>
    <t>Classmate Note Book 4 lines 172 pages</t>
  </si>
  <si>
    <t>8902519002075</t>
  </si>
  <si>
    <t>Classmate Note Book Ruled 92 pages</t>
  </si>
  <si>
    <t>8902519310309</t>
  </si>
  <si>
    <t>ITC Saathi Note Book Unruled 160 pages</t>
  </si>
  <si>
    <t>8902519010032</t>
  </si>
  <si>
    <t>Classmate Note Book 4 lines 92 pages</t>
  </si>
  <si>
    <t>Classmate Graph Book 32 pages</t>
  </si>
  <si>
    <t>8904029724171</t>
  </si>
  <si>
    <t>Orpat Calculator OT-512T</t>
  </si>
  <si>
    <t>8902519011411</t>
  </si>
  <si>
    <t>Classmate Maths Book 172 pages</t>
  </si>
  <si>
    <t>8903183500010</t>
  </si>
  <si>
    <t>Classmate Wax Crayons12 shades</t>
  </si>
  <si>
    <t>8906035936043</t>
  </si>
  <si>
    <t>Khyat Pen Holder</t>
  </si>
  <si>
    <t>8903183301754</t>
  </si>
  <si>
    <t>Classmate Octane Gel Pen</t>
  </si>
  <si>
    <t>Fancy Store</t>
  </si>
  <si>
    <t>Bottles</t>
  </si>
  <si>
    <t>Vinpet Water Bottle</t>
  </si>
  <si>
    <t>Easy Fresh Water Bottle</t>
  </si>
  <si>
    <t>8904216506139</t>
  </si>
  <si>
    <t>Pigeon Water Bottle Steel</t>
  </si>
  <si>
    <t>CK</t>
  </si>
  <si>
    <t>Bags and Vallets</t>
  </si>
  <si>
    <t>24651</t>
  </si>
  <si>
    <t xml:space="preserve">Virat Jute Bag </t>
  </si>
  <si>
    <t>24981</t>
  </si>
  <si>
    <t>11382</t>
  </si>
  <si>
    <t>Campus Leather Mens Vallet</t>
  </si>
  <si>
    <t>11442</t>
  </si>
  <si>
    <t>Woodland Leather Mens Vallet</t>
  </si>
  <si>
    <t>11652</t>
  </si>
  <si>
    <t>Mont Blanc Leather Mens Vallet</t>
  </si>
  <si>
    <t>Skylook Bag</t>
  </si>
  <si>
    <t>SY Teddy Bag</t>
  </si>
  <si>
    <t>Boss Bag</t>
  </si>
  <si>
    <t>A Jute Bag</t>
  </si>
  <si>
    <t>Baby Doll</t>
  </si>
  <si>
    <t>6955636183815</t>
  </si>
  <si>
    <t>Photoframe Sticker Room Décor</t>
  </si>
  <si>
    <t>6945217735304</t>
  </si>
  <si>
    <t>Aluminium Ruler 12 Inches</t>
  </si>
  <si>
    <t>6945217735151</t>
  </si>
  <si>
    <t>Aluminium Ruler 6 Inches</t>
  </si>
  <si>
    <t>Fancy Plastic Scale 12 Inches</t>
  </si>
  <si>
    <t>6938684603443</t>
  </si>
  <si>
    <t>Fancy Diary</t>
  </si>
  <si>
    <t>Sticky Notes Set Fancy</t>
  </si>
  <si>
    <t>Fancy Tape Glitter</t>
  </si>
  <si>
    <t>Fancy Tape</t>
  </si>
  <si>
    <t>Ribbons</t>
  </si>
  <si>
    <t>Ribbon Roll</t>
  </si>
  <si>
    <t>Fancy</t>
  </si>
  <si>
    <t>8680152455532</t>
  </si>
  <si>
    <t>Fancy Comb Character</t>
  </si>
  <si>
    <t>8902442211148</t>
  </si>
  <si>
    <t>Craft Paper 25 Sheet Small</t>
  </si>
  <si>
    <t>6923655508919</t>
  </si>
  <si>
    <t>Wooden Mechanical Pencil</t>
  </si>
  <si>
    <t>Tray</t>
  </si>
  <si>
    <t>Plastic Tray</t>
  </si>
  <si>
    <t>Envy</t>
  </si>
  <si>
    <t>A3 Lamination Pouch</t>
  </si>
  <si>
    <t>Legal Lamination Pouch</t>
  </si>
  <si>
    <t>6927972112040</t>
  </si>
  <si>
    <t>ID Card Lamination Pouch</t>
  </si>
  <si>
    <t>ID Card Lanyard</t>
  </si>
  <si>
    <t>ID Card Holder Plastic Landscape</t>
  </si>
  <si>
    <t>ID Card Holder Plastic Portrait</t>
  </si>
  <si>
    <t>ID Card Holder Plastic Portrait B3</t>
  </si>
  <si>
    <t>PVC ID Card Blank</t>
  </si>
  <si>
    <t>Machines</t>
  </si>
  <si>
    <t>Bright Office A4 Paper Cutter</t>
  </si>
  <si>
    <t>Chart Paper</t>
  </si>
  <si>
    <t>Valavi</t>
  </si>
  <si>
    <t>Spiral Springs</t>
  </si>
  <si>
    <t>Spiral Spring Small</t>
  </si>
  <si>
    <t>Spiral Spring Medium</t>
  </si>
  <si>
    <t>Spiral Spring Large</t>
  </si>
  <si>
    <t>Binding Pouch Sheet Clear</t>
  </si>
  <si>
    <t>Binding Pouch Sheet White</t>
  </si>
  <si>
    <t>Anthoonsons</t>
  </si>
  <si>
    <t>8906061466828</t>
  </si>
  <si>
    <t>Chrome 2 Tier Document Tray Metal</t>
  </si>
  <si>
    <t>8906061466835</t>
  </si>
  <si>
    <t>Chrome 3 Tier Document Tray Metal</t>
  </si>
  <si>
    <t>6921734975065</t>
  </si>
  <si>
    <t>Deli Automatic Numbering Machine</t>
  </si>
  <si>
    <t>6921734991386</t>
  </si>
  <si>
    <t>Deli Pen Holder Home</t>
  </si>
  <si>
    <t>6921734991522</t>
  </si>
  <si>
    <t>Deli Pen Holder Point Colour</t>
  </si>
  <si>
    <t>Dust Bins</t>
  </si>
  <si>
    <t>8906061466880</t>
  </si>
  <si>
    <t>Wire Dustbin Chrome</t>
  </si>
  <si>
    <t>8906028939433</t>
  </si>
  <si>
    <t>Papergrid Short Note Book 84 Pages Ruled</t>
  </si>
  <si>
    <t>8906028939440</t>
  </si>
  <si>
    <t>Papergrid Short Note Book 84 Pages</t>
  </si>
  <si>
    <t>8906028939501</t>
  </si>
  <si>
    <t>Papergrid Short Note Book 196 Pages Ruled</t>
  </si>
  <si>
    <t>8906028930720</t>
  </si>
  <si>
    <t>Papergrid Short Note Book 136 Pages A4</t>
  </si>
  <si>
    <t>8906028930874</t>
  </si>
  <si>
    <t>Papergrid Short Note Book 172 Pages A4</t>
  </si>
  <si>
    <t>Mani Mark Binding Roll 4 Meter</t>
  </si>
  <si>
    <t>H M PVC Roll 4 Meter</t>
  </si>
  <si>
    <t>Ladies Sling Pouch Bag</t>
  </si>
  <si>
    <t>6935257000142</t>
  </si>
  <si>
    <t>Craft Scissors set of 2pcs</t>
  </si>
  <si>
    <t>D &amp; V Enterprises Artline</t>
  </si>
  <si>
    <t>Artline Whiteboard Marker 157RI Black</t>
  </si>
  <si>
    <t>Artline Whiteboard Marker 157RI Blue</t>
  </si>
  <si>
    <t>Artline Whiteboard Marker 157RI Red</t>
  </si>
  <si>
    <t>Artline Permanent Marker 107RI Black</t>
  </si>
  <si>
    <t>Artline Permanent Marker 107RI Blue</t>
  </si>
  <si>
    <t>Artline Permanent Marker 107RI Red</t>
  </si>
  <si>
    <t>8902982002138</t>
  </si>
  <si>
    <t>Artline Stamp Pad Small</t>
  </si>
  <si>
    <t>8902982001391</t>
  </si>
  <si>
    <t>Artline Glue Stick</t>
  </si>
  <si>
    <t>8902982001513</t>
  </si>
  <si>
    <t>Artline Correction Pen 7ml</t>
  </si>
  <si>
    <t>8902982004965</t>
  </si>
  <si>
    <t>Artline Box Osum</t>
  </si>
  <si>
    <t>8902982001827</t>
  </si>
  <si>
    <t>Artline Pencil Examate Ultra Dark</t>
  </si>
  <si>
    <t>8902982001988</t>
  </si>
  <si>
    <t>Artline Mechanical Pencil 0.7mm</t>
  </si>
  <si>
    <t>8902982500122</t>
  </si>
  <si>
    <t>Artline Wax Crayons 12 Shades</t>
  </si>
  <si>
    <t>8902982300067</t>
  </si>
  <si>
    <t>Artline Poster Colour Set 6 shades</t>
  </si>
  <si>
    <t>8902982701802</t>
  </si>
  <si>
    <t>Artline Modeling Clay Kidoh Soft</t>
  </si>
  <si>
    <t>8902982702403</t>
  </si>
  <si>
    <t>Artline Modeling Clay Square Kidoh</t>
  </si>
  <si>
    <t>8902982504120</t>
  </si>
  <si>
    <t>Artline Junior Jumbo Wax Crayons 12 Shades</t>
  </si>
  <si>
    <t>8902982503123</t>
  </si>
  <si>
    <t>Artline Jumbo Wax Crayons 12 Shades</t>
  </si>
  <si>
    <t>8902982101060</t>
  </si>
  <si>
    <t>Artline Triart 6 Duo Colour Pencils set of 6</t>
  </si>
  <si>
    <t>8902982101107</t>
  </si>
  <si>
    <t>Artline Triart 10 Duo Colour Pencils set of 10</t>
  </si>
  <si>
    <t>8902982101152</t>
  </si>
  <si>
    <t>Artline Triart 15 Duo Colour Pencils set of 15</t>
  </si>
  <si>
    <t>8902982101206</t>
  </si>
  <si>
    <t>Artline Triart 20 Duo Colour Pencils set of 20</t>
  </si>
  <si>
    <t>8902982200121</t>
  </si>
  <si>
    <t>Artline Classic Sketch Pens 12 Shades</t>
  </si>
  <si>
    <t>8902982350123</t>
  </si>
  <si>
    <t>Artline Water Colour Cakes 12 Shades</t>
  </si>
  <si>
    <t>Artline Permanent Marker Ink</t>
  </si>
  <si>
    <t>PCM Books</t>
  </si>
  <si>
    <t>9788183859080</t>
  </si>
  <si>
    <t>Looney Lion Drawing Book</t>
  </si>
  <si>
    <t>9788183859066</t>
  </si>
  <si>
    <t>Honey Horse Drawing Book</t>
  </si>
  <si>
    <t>9789385175732</t>
  </si>
  <si>
    <t>Learn to Write Number Book</t>
  </si>
  <si>
    <t>Progressive Cursive Method</t>
  </si>
  <si>
    <t>Malayala Balapadam</t>
  </si>
  <si>
    <t>PSC Last Grade Super Rank File Brilliant</t>
  </si>
  <si>
    <t>Co-operative Bank Clerk/Cashier Rank File Anand</t>
  </si>
  <si>
    <t>KTET Rank File Paper 1 &amp; 2 Anand</t>
  </si>
  <si>
    <t>PSC Last Grade Rank File Talent</t>
  </si>
  <si>
    <t>PSC Last Grade Question Bank 60</t>
  </si>
  <si>
    <t>LDC Question Bank</t>
  </si>
  <si>
    <t>PSC/LDC Question Bank</t>
  </si>
  <si>
    <t>PSC Previous Year Question &amp; Answers</t>
  </si>
  <si>
    <t>9789383760206</t>
  </si>
  <si>
    <t>English Malayalam Pocket Dictionary</t>
  </si>
  <si>
    <t>9789383760619</t>
  </si>
  <si>
    <t>Arabikkadhakal Kuttikalk Malayalam</t>
  </si>
  <si>
    <t>Pakshikal Chirakulla Sevakar</t>
  </si>
  <si>
    <t>9789383876228</t>
  </si>
  <si>
    <t>Kittunnathil Paathi</t>
  </si>
  <si>
    <t>9789384321611</t>
  </si>
  <si>
    <t>Gulliver's Travels</t>
  </si>
  <si>
    <t>9789382515661</t>
  </si>
  <si>
    <t>Lokathbhuthangal</t>
  </si>
  <si>
    <t>9789385554582</t>
  </si>
  <si>
    <t>Sathyathinu Sammanam</t>
  </si>
  <si>
    <t>9789382776413</t>
  </si>
  <si>
    <t>Sindrella Malayalam</t>
  </si>
  <si>
    <t>9789385175114</t>
  </si>
  <si>
    <t>My First Book</t>
  </si>
  <si>
    <t>9789384736415</t>
  </si>
  <si>
    <t>Nursery Rhymes</t>
  </si>
  <si>
    <t>9789385554384</t>
  </si>
  <si>
    <t>Puzzles and Riddles</t>
  </si>
  <si>
    <t>Mini Colouring Book</t>
  </si>
  <si>
    <t>9789383760107</t>
  </si>
  <si>
    <t>Draw and Colour Cartoons from Alphabets</t>
  </si>
  <si>
    <t>9789382116417</t>
  </si>
  <si>
    <t>Kunjikkadhakalum Kavithakalum</t>
  </si>
  <si>
    <t>9789382515654</t>
  </si>
  <si>
    <t>Sudoku Puzzles</t>
  </si>
  <si>
    <t>9789384736088</t>
  </si>
  <si>
    <t>My Big ABC</t>
  </si>
  <si>
    <t>9789385554858</t>
  </si>
  <si>
    <t>Kids Colouring Book</t>
  </si>
  <si>
    <t>9789382116820</t>
  </si>
  <si>
    <t>Easy to Draw</t>
  </si>
  <si>
    <t>9788183851220</t>
  </si>
  <si>
    <t>Colour Fun</t>
  </si>
  <si>
    <t>9789382515203</t>
  </si>
  <si>
    <t>Balapaadam Kadhakalum kavithakalum</t>
  </si>
  <si>
    <t>9789382515753</t>
  </si>
  <si>
    <t>English Malayalam Hindi Aksharamala</t>
  </si>
  <si>
    <t>9789382515326</t>
  </si>
  <si>
    <t>Read and Write ABC</t>
  </si>
  <si>
    <t>Pre School Aksharamala</t>
  </si>
  <si>
    <t>9789386531285</t>
  </si>
  <si>
    <t>Aamayum Muyalum Stories</t>
  </si>
  <si>
    <t>9789386531292</t>
  </si>
  <si>
    <t>The Hare and the Tortoise</t>
  </si>
  <si>
    <t>9789383760626</t>
  </si>
  <si>
    <t>Ever Loved Arabian Stories</t>
  </si>
  <si>
    <t>9789382515777</t>
  </si>
  <si>
    <t>A Good Friend Illustrated</t>
  </si>
  <si>
    <t>9789383760039</t>
  </si>
  <si>
    <t>Drawing and Colouring Books</t>
  </si>
  <si>
    <t>9789382776949</t>
  </si>
  <si>
    <t>Rasakaramaya Bala Kadhakal</t>
  </si>
  <si>
    <t>9789384736767</t>
  </si>
  <si>
    <t>Cindrella English</t>
  </si>
  <si>
    <t>9789385175008</t>
  </si>
  <si>
    <t>Manappadam Enjuvadi</t>
  </si>
  <si>
    <t>9789382515548</t>
  </si>
  <si>
    <t>Table Book</t>
  </si>
  <si>
    <t>New Way ABC</t>
  </si>
  <si>
    <t>9789385175879</t>
  </si>
  <si>
    <t>Athbhutha Kadhakal</t>
  </si>
  <si>
    <t>9789383876020</t>
  </si>
  <si>
    <t>Pick Stick Draw Colour Birds and Animals</t>
  </si>
  <si>
    <t>9789385175893</t>
  </si>
  <si>
    <t>School Atlas</t>
  </si>
  <si>
    <t>9789380679419</t>
  </si>
  <si>
    <t>Play with Crayons</t>
  </si>
  <si>
    <t>9788187782285</t>
  </si>
  <si>
    <t>Play with Crayons Readwell's</t>
  </si>
  <si>
    <t>9789380679402</t>
  </si>
  <si>
    <t>9789380679341</t>
  </si>
  <si>
    <t>Play with Colours</t>
  </si>
  <si>
    <t>9788178130385</t>
  </si>
  <si>
    <t>Dot to Dot Fun 1 to 100</t>
  </si>
  <si>
    <t>9789350893982</t>
  </si>
  <si>
    <t>My Book of Art and Craft</t>
  </si>
  <si>
    <t>Shabdh Rachna</t>
  </si>
  <si>
    <t>9789350330746</t>
  </si>
  <si>
    <t>Colouring Book Transport</t>
  </si>
  <si>
    <t>9788179201497</t>
  </si>
  <si>
    <t>Pencil Shadiing</t>
  </si>
  <si>
    <t>8001 GK Question</t>
  </si>
  <si>
    <t>9789386360694</t>
  </si>
  <si>
    <t>Copy Colour Flowers</t>
  </si>
  <si>
    <t>9789386360663</t>
  </si>
  <si>
    <t>Copy Colour Cartoons</t>
  </si>
  <si>
    <t>9789386360656</t>
  </si>
  <si>
    <t>Copy Colour Animals</t>
  </si>
  <si>
    <t>9789386360649</t>
  </si>
  <si>
    <t>Copy Colour Birds</t>
  </si>
  <si>
    <t>9789385172434</t>
  </si>
  <si>
    <t>Chart</t>
  </si>
  <si>
    <t>Synthetic Chart World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</si>
</sst>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9" fontId="2" fillId="0" borderId="0" xfId="2" applyFont="1" applyAlignment="1">
      <alignment horizontal="center"/>
    </xf>
    <xf numFmtId="164" fontId="0" fillId="0" borderId="0" xfId="1" applyFont="1"/>
    <xf numFmtId="9" fontId="0" fillId="0" borderId="0" xfId="2" applyFont="1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9" fontId="0" fillId="0" borderId="1" xfId="2" applyFont="1" applyBorder="1"/>
    <xf numFmtId="0" fontId="0" fillId="0" borderId="0" xfId="0" applyFont="1"/>
    <xf numFmtId="0" fontId="0" fillId="2" borderId="0" xfId="0" applyFont="1" applyFill="1"/>
    <xf numFmtId="164" fontId="2" fillId="0" borderId="1" xfId="1" applyFont="1" applyBorder="1"/>
    <xf numFmtId="164" fontId="0" fillId="0" borderId="0" xfId="0" applyNumberFormat="1"/>
    <xf numFmtId="164" fontId="2" fillId="0" borderId="0" xfId="1" applyFont="1"/>
    <xf numFmtId="49" fontId="3" fillId="0" borderId="0" xfId="0" applyNumberFormat="1" applyFont="1"/>
    <xf numFmtId="49" fontId="0" fillId="0" borderId="0" xfId="0" applyNumberFormat="1"/>
    <xf numFmtId="43" fontId="0" fillId="0" borderId="0" xfId="0" applyNumberForma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9.140625" style="19" bestFit="1" customWidth="1"/>
    <col min="4" max="4" width="39.85546875" customWidth="1"/>
    <col min="5" max="5" width="8.7109375" customWidth="1"/>
    <col min="6" max="6" width="9.140625" style="6"/>
    <col min="7" max="7" width="10.140625" style="6" bestFit="1" customWidth="1"/>
    <col min="8" max="8" width="9.140625" style="7"/>
    <col min="12" max="12" width="22.7109375" bestFit="1" customWidth="1"/>
    <col min="13" max="13" width="10.140625" style="6" bestFit="1" customWidth="1"/>
    <col min="14" max="14" width="9.140625" style="6"/>
    <col min="15" max="15" width="11.140625" style="6" bestFit="1" customWidth="1"/>
    <col min="16" max="16" width="9.140625" style="6"/>
    <col min="17" max="17" width="11.140625" style="6" bestFit="1" customWidth="1"/>
    <col min="18" max="18" width="10.140625" style="6" bestFit="1" customWidth="1"/>
    <col min="19" max="19" width="9.140625" style="6"/>
    <col min="20" max="20" width="10.140625" bestFit="1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20" ht="15" customHeight="1" x14ac:dyDescent="0.25">
      <c r="A2" t="s">
        <v>8</v>
      </c>
      <c r="B2" t="s">
        <v>9</v>
      </c>
      <c r="C2" s="2"/>
      <c r="D2" t="s">
        <v>10</v>
      </c>
      <c r="E2">
        <v>1</v>
      </c>
      <c r="F2" s="6">
        <v>72</v>
      </c>
      <c r="G2" s="6">
        <v>95</v>
      </c>
      <c r="H2" s="7">
        <f>(G2-F2)/MAX(F2,G2)</f>
        <v>0.24210526315789474</v>
      </c>
    </row>
    <row r="3" spans="1:20" ht="15" customHeight="1" x14ac:dyDescent="0.25">
      <c r="A3" t="s">
        <v>8</v>
      </c>
      <c r="B3" t="s">
        <v>11</v>
      </c>
      <c r="C3" s="2" t="s">
        <v>12</v>
      </c>
      <c r="D3" t="s">
        <v>13</v>
      </c>
      <c r="E3">
        <v>4</v>
      </c>
      <c r="F3" s="6">
        <v>30</v>
      </c>
      <c r="G3" s="6">
        <v>40</v>
      </c>
      <c r="H3" s="7">
        <f t="shared" ref="H3:H66" si="0">(G3-F3)/MAX(F3,G3)</f>
        <v>0.25</v>
      </c>
    </row>
    <row r="4" spans="1:20" ht="15" customHeight="1" x14ac:dyDescent="0.25">
      <c r="A4" t="s">
        <v>8</v>
      </c>
      <c r="B4" t="s">
        <v>11</v>
      </c>
      <c r="C4" s="2" t="s">
        <v>14</v>
      </c>
      <c r="D4" t="s">
        <v>15</v>
      </c>
      <c r="E4">
        <v>2</v>
      </c>
      <c r="F4" s="6">
        <v>15</v>
      </c>
      <c r="G4" s="6">
        <v>20</v>
      </c>
      <c r="H4" s="7">
        <f t="shared" si="0"/>
        <v>0.25</v>
      </c>
      <c r="L4" s="8" t="s">
        <v>3</v>
      </c>
      <c r="M4" s="9" t="s">
        <v>16</v>
      </c>
      <c r="N4" s="9" t="s">
        <v>4</v>
      </c>
      <c r="O4" s="9" t="s">
        <v>17</v>
      </c>
      <c r="P4" s="9" t="s">
        <v>18</v>
      </c>
      <c r="Q4" s="9" t="s">
        <v>19</v>
      </c>
      <c r="R4" s="9" t="s">
        <v>6</v>
      </c>
      <c r="S4" s="9" t="s">
        <v>7</v>
      </c>
      <c r="T4" s="9" t="s">
        <v>20</v>
      </c>
    </row>
    <row r="5" spans="1:20" ht="15" customHeight="1" x14ac:dyDescent="0.25">
      <c r="A5" t="s">
        <v>8</v>
      </c>
      <c r="B5" t="s">
        <v>11</v>
      </c>
      <c r="C5" s="2" t="s">
        <v>21</v>
      </c>
      <c r="D5" t="s">
        <v>22</v>
      </c>
      <c r="E5">
        <v>1</v>
      </c>
      <c r="F5" s="6">
        <v>17.5</v>
      </c>
      <c r="G5" s="6">
        <v>25</v>
      </c>
      <c r="H5" s="7">
        <f t="shared" si="0"/>
        <v>0.3</v>
      </c>
      <c r="L5" s="10" t="s">
        <v>23</v>
      </c>
      <c r="M5" s="11">
        <v>28</v>
      </c>
      <c r="N5" s="11">
        <v>240</v>
      </c>
      <c r="O5" s="11">
        <f>M5*N5</f>
        <v>6720</v>
      </c>
      <c r="P5" s="11" t="s">
        <v>24</v>
      </c>
      <c r="Q5" s="11">
        <f>R5*N5</f>
        <v>9600</v>
      </c>
      <c r="R5" s="11">
        <v>40</v>
      </c>
      <c r="S5" s="12">
        <f>T5/R5</f>
        <v>72</v>
      </c>
      <c r="T5" s="11">
        <f>Q5-O5</f>
        <v>2880</v>
      </c>
    </row>
    <row r="6" spans="1:20" ht="15" customHeight="1" x14ac:dyDescent="0.25">
      <c r="A6" t="s">
        <v>8</v>
      </c>
      <c r="B6" t="s">
        <v>25</v>
      </c>
      <c r="C6" s="2" t="s">
        <v>26</v>
      </c>
      <c r="D6" t="s">
        <v>27</v>
      </c>
      <c r="E6">
        <v>16</v>
      </c>
      <c r="F6" s="6">
        <v>46</v>
      </c>
      <c r="G6" s="6">
        <v>60</v>
      </c>
      <c r="H6" s="7">
        <f t="shared" si="0"/>
        <v>0.23333333333333334</v>
      </c>
      <c r="L6" s="10" t="s">
        <v>28</v>
      </c>
      <c r="M6" s="11">
        <v>31.5</v>
      </c>
      <c r="N6" s="11">
        <v>192</v>
      </c>
      <c r="O6" s="11">
        <f t="shared" ref="O6:O35" si="1">M6*N6</f>
        <v>6048</v>
      </c>
      <c r="P6" s="11" t="s">
        <v>24</v>
      </c>
      <c r="Q6" s="11">
        <f t="shared" ref="Q6:Q35" si="2">R6*N6</f>
        <v>8640</v>
      </c>
      <c r="R6" s="11">
        <v>45</v>
      </c>
      <c r="S6" s="12">
        <f t="shared" ref="S6:S35" si="3">T6/R6</f>
        <v>57.6</v>
      </c>
      <c r="T6" s="11">
        <f t="shared" ref="T6:T35" si="4">Q6-O6</f>
        <v>2592</v>
      </c>
    </row>
    <row r="7" spans="1:20" ht="15" customHeight="1" x14ac:dyDescent="0.25">
      <c r="A7" t="s">
        <v>8</v>
      </c>
      <c r="B7" t="s">
        <v>29</v>
      </c>
      <c r="C7" s="2" t="s">
        <v>30</v>
      </c>
      <c r="D7" t="s">
        <v>31</v>
      </c>
      <c r="E7">
        <v>3</v>
      </c>
      <c r="F7" s="6">
        <v>45</v>
      </c>
      <c r="G7" s="6">
        <v>60</v>
      </c>
      <c r="H7" s="7">
        <f t="shared" si="0"/>
        <v>0.25</v>
      </c>
      <c r="L7" s="10" t="s">
        <v>32</v>
      </c>
      <c r="M7" s="11">
        <v>65</v>
      </c>
      <c r="N7" s="11">
        <v>1</v>
      </c>
      <c r="O7" s="11">
        <f t="shared" si="1"/>
        <v>65</v>
      </c>
      <c r="P7" s="11" t="s">
        <v>24</v>
      </c>
      <c r="Q7" s="11">
        <f t="shared" si="2"/>
        <v>81.25</v>
      </c>
      <c r="R7" s="11">
        <f t="shared" ref="R7:R13" si="5">M7*125%</f>
        <v>81.25</v>
      </c>
      <c r="S7" s="12">
        <f t="shared" si="3"/>
        <v>0.2</v>
      </c>
      <c r="T7" s="11">
        <f t="shared" si="4"/>
        <v>16.25</v>
      </c>
    </row>
    <row r="8" spans="1:20" ht="15" customHeight="1" x14ac:dyDescent="0.25">
      <c r="A8" t="s">
        <v>8</v>
      </c>
      <c r="B8" t="s">
        <v>11</v>
      </c>
      <c r="C8" s="2" t="s">
        <v>33</v>
      </c>
      <c r="D8" t="s">
        <v>15</v>
      </c>
      <c r="E8" s="13">
        <v>1</v>
      </c>
      <c r="F8" s="6">
        <v>13.5</v>
      </c>
      <c r="G8" s="6">
        <v>20</v>
      </c>
      <c r="H8" s="7">
        <f t="shared" si="0"/>
        <v>0.32500000000000001</v>
      </c>
      <c r="L8" s="10" t="s">
        <v>34</v>
      </c>
      <c r="M8" s="11">
        <v>24</v>
      </c>
      <c r="N8" s="11">
        <v>5</v>
      </c>
      <c r="O8" s="11">
        <f t="shared" si="1"/>
        <v>120</v>
      </c>
      <c r="P8" s="11" t="s">
        <v>24</v>
      </c>
      <c r="Q8" s="11">
        <f t="shared" si="2"/>
        <v>150</v>
      </c>
      <c r="R8" s="11">
        <f t="shared" si="5"/>
        <v>30</v>
      </c>
      <c r="S8" s="12">
        <f t="shared" si="3"/>
        <v>1</v>
      </c>
      <c r="T8" s="11">
        <f t="shared" si="4"/>
        <v>30</v>
      </c>
    </row>
    <row r="9" spans="1:20" ht="15" customHeight="1" x14ac:dyDescent="0.25">
      <c r="A9" t="s">
        <v>8</v>
      </c>
      <c r="B9" t="s">
        <v>11</v>
      </c>
      <c r="C9" s="2" t="s">
        <v>35</v>
      </c>
      <c r="D9" t="s">
        <v>36</v>
      </c>
      <c r="E9" s="13">
        <v>1</v>
      </c>
      <c r="F9" s="6">
        <v>16.5</v>
      </c>
      <c r="G9" s="6">
        <v>25</v>
      </c>
      <c r="H9" s="7">
        <f t="shared" si="0"/>
        <v>0.34</v>
      </c>
      <c r="L9" s="10" t="s">
        <v>37</v>
      </c>
      <c r="M9" s="11">
        <v>190</v>
      </c>
      <c r="N9" s="11">
        <v>1</v>
      </c>
      <c r="O9" s="11">
        <f t="shared" si="1"/>
        <v>190</v>
      </c>
      <c r="P9" s="11" t="s">
        <v>24</v>
      </c>
      <c r="Q9" s="11">
        <f t="shared" si="2"/>
        <v>237.5</v>
      </c>
      <c r="R9" s="11">
        <f t="shared" si="5"/>
        <v>237.5</v>
      </c>
      <c r="S9" s="12">
        <f t="shared" si="3"/>
        <v>0.2</v>
      </c>
      <c r="T9" s="11">
        <f t="shared" si="4"/>
        <v>47.5</v>
      </c>
    </row>
    <row r="10" spans="1:20" ht="15" customHeight="1" x14ac:dyDescent="0.25">
      <c r="A10" t="s">
        <v>8</v>
      </c>
      <c r="B10" t="s">
        <v>38</v>
      </c>
      <c r="C10" s="2"/>
      <c r="D10" t="s">
        <v>39</v>
      </c>
      <c r="E10" s="13">
        <v>6</v>
      </c>
      <c r="F10" s="6">
        <v>21.5</v>
      </c>
      <c r="G10" s="6">
        <v>35</v>
      </c>
      <c r="H10" s="7">
        <f t="shared" si="0"/>
        <v>0.38571428571428573</v>
      </c>
      <c r="L10" s="10" t="s">
        <v>40</v>
      </c>
      <c r="M10" s="11">
        <v>190</v>
      </c>
      <c r="N10" s="11">
        <v>1</v>
      </c>
      <c r="O10" s="11">
        <f t="shared" si="1"/>
        <v>190</v>
      </c>
      <c r="P10" s="11" t="s">
        <v>24</v>
      </c>
      <c r="Q10" s="11">
        <f t="shared" si="2"/>
        <v>237.5</v>
      </c>
      <c r="R10" s="11">
        <f t="shared" si="5"/>
        <v>237.5</v>
      </c>
      <c r="S10" s="12">
        <f t="shared" si="3"/>
        <v>0.2</v>
      </c>
      <c r="T10" s="11">
        <f t="shared" si="4"/>
        <v>47.5</v>
      </c>
    </row>
    <row r="11" spans="1:20" ht="15" customHeight="1" x14ac:dyDescent="0.25">
      <c r="A11" t="s">
        <v>8</v>
      </c>
      <c r="B11" t="s">
        <v>41</v>
      </c>
      <c r="C11" s="2" t="s">
        <v>42</v>
      </c>
      <c r="D11" t="s">
        <v>43</v>
      </c>
      <c r="E11" s="13">
        <v>10</v>
      </c>
      <c r="F11" s="6">
        <v>6.5</v>
      </c>
      <c r="G11" s="6">
        <v>10</v>
      </c>
      <c r="H11" s="7">
        <f t="shared" si="0"/>
        <v>0.35</v>
      </c>
      <c r="L11" s="10" t="s">
        <v>44</v>
      </c>
      <c r="M11" s="11">
        <v>78</v>
      </c>
      <c r="N11" s="11">
        <v>1</v>
      </c>
      <c r="O11" s="11">
        <f t="shared" si="1"/>
        <v>78</v>
      </c>
      <c r="P11" s="11" t="s">
        <v>45</v>
      </c>
      <c r="Q11" s="11">
        <f t="shared" si="2"/>
        <v>97.5</v>
      </c>
      <c r="R11" s="11">
        <f t="shared" si="5"/>
        <v>97.5</v>
      </c>
      <c r="S11" s="12">
        <f t="shared" si="3"/>
        <v>0.2</v>
      </c>
      <c r="T11" s="11">
        <f t="shared" si="4"/>
        <v>19.5</v>
      </c>
    </row>
    <row r="12" spans="1:20" ht="15" customHeight="1" x14ac:dyDescent="0.25">
      <c r="A12" t="s">
        <v>8</v>
      </c>
      <c r="B12" t="s">
        <v>46</v>
      </c>
      <c r="C12" s="2"/>
      <c r="D12" t="s">
        <v>47</v>
      </c>
      <c r="E12" s="13">
        <v>2</v>
      </c>
      <c r="F12" s="6">
        <v>65</v>
      </c>
      <c r="G12" s="6">
        <v>90</v>
      </c>
      <c r="H12" s="7">
        <f t="shared" si="0"/>
        <v>0.27777777777777779</v>
      </c>
      <c r="L12" s="10" t="s">
        <v>48</v>
      </c>
      <c r="M12" s="11">
        <v>24</v>
      </c>
      <c r="N12" s="11">
        <v>1</v>
      </c>
      <c r="O12" s="11">
        <f t="shared" si="1"/>
        <v>24</v>
      </c>
      <c r="P12" s="11" t="s">
        <v>49</v>
      </c>
      <c r="Q12" s="11">
        <f t="shared" si="2"/>
        <v>30</v>
      </c>
      <c r="R12" s="11">
        <f t="shared" si="5"/>
        <v>30</v>
      </c>
      <c r="S12" s="12">
        <f t="shared" si="3"/>
        <v>0.2</v>
      </c>
      <c r="T12" s="11">
        <f t="shared" si="4"/>
        <v>6</v>
      </c>
    </row>
    <row r="13" spans="1:20" ht="15" customHeight="1" x14ac:dyDescent="0.25">
      <c r="A13" t="s">
        <v>8</v>
      </c>
      <c r="B13" t="s">
        <v>50</v>
      </c>
      <c r="C13" s="2"/>
      <c r="D13" t="s">
        <v>51</v>
      </c>
      <c r="E13" s="13">
        <v>5</v>
      </c>
      <c r="F13" s="6">
        <v>7.5</v>
      </c>
      <c r="G13" s="6">
        <v>10</v>
      </c>
      <c r="H13" s="7">
        <f t="shared" si="0"/>
        <v>0.25</v>
      </c>
      <c r="L13" s="10" t="s">
        <v>52</v>
      </c>
      <c r="M13" s="11">
        <v>45</v>
      </c>
      <c r="N13" s="11">
        <v>3</v>
      </c>
      <c r="O13" s="11">
        <f t="shared" si="1"/>
        <v>135</v>
      </c>
      <c r="P13" s="11" t="s">
        <v>53</v>
      </c>
      <c r="Q13" s="11">
        <f t="shared" si="2"/>
        <v>168.75</v>
      </c>
      <c r="R13" s="11">
        <f t="shared" si="5"/>
        <v>56.25</v>
      </c>
      <c r="S13" s="12">
        <f t="shared" si="3"/>
        <v>0.6</v>
      </c>
      <c r="T13" s="11">
        <f t="shared" si="4"/>
        <v>33.75</v>
      </c>
    </row>
    <row r="14" spans="1:20" ht="15" customHeight="1" x14ac:dyDescent="0.25">
      <c r="A14" t="s">
        <v>8</v>
      </c>
      <c r="B14" t="s">
        <v>54</v>
      </c>
      <c r="C14" s="2" t="s">
        <v>55</v>
      </c>
      <c r="D14" s="13" t="s">
        <v>56</v>
      </c>
      <c r="E14" s="13">
        <v>6</v>
      </c>
      <c r="F14" s="6">
        <v>97.5</v>
      </c>
      <c r="G14" s="6">
        <v>130</v>
      </c>
      <c r="H14" s="7">
        <f t="shared" si="0"/>
        <v>0.25</v>
      </c>
      <c r="L14" s="10" t="s">
        <v>57</v>
      </c>
      <c r="M14" s="11">
        <v>80</v>
      </c>
      <c r="N14" s="11">
        <v>2</v>
      </c>
      <c r="O14" s="11">
        <f t="shared" si="1"/>
        <v>160</v>
      </c>
      <c r="P14" s="11" t="s">
        <v>24</v>
      </c>
      <c r="Q14" s="11">
        <f t="shared" si="2"/>
        <v>200</v>
      </c>
      <c r="R14" s="11">
        <v>100</v>
      </c>
      <c r="S14" s="12">
        <f t="shared" si="3"/>
        <v>0.4</v>
      </c>
      <c r="T14" s="11">
        <f t="shared" si="4"/>
        <v>40</v>
      </c>
    </row>
    <row r="15" spans="1:20" ht="15" customHeight="1" x14ac:dyDescent="0.25">
      <c r="A15" t="s">
        <v>58</v>
      </c>
      <c r="B15" t="s">
        <v>59</v>
      </c>
      <c r="C15" s="2" t="s">
        <v>60</v>
      </c>
      <c r="D15" s="13" t="s">
        <v>61</v>
      </c>
      <c r="E15" s="13">
        <v>2</v>
      </c>
      <c r="F15" s="6">
        <v>806</v>
      </c>
      <c r="G15" s="6">
        <v>995</v>
      </c>
      <c r="H15" s="7">
        <f t="shared" si="0"/>
        <v>0.18994974874371859</v>
      </c>
      <c r="L15" s="10" t="s">
        <v>62</v>
      </c>
      <c r="M15" s="11">
        <v>140</v>
      </c>
      <c r="N15" s="11">
        <v>1</v>
      </c>
      <c r="O15" s="11">
        <f t="shared" si="1"/>
        <v>140</v>
      </c>
      <c r="P15" s="11" t="s">
        <v>24</v>
      </c>
      <c r="Q15" s="11">
        <f t="shared" si="2"/>
        <v>175</v>
      </c>
      <c r="R15" s="11">
        <v>175</v>
      </c>
      <c r="S15" s="12">
        <f t="shared" si="3"/>
        <v>0.2</v>
      </c>
      <c r="T15" s="11">
        <f t="shared" si="4"/>
        <v>35</v>
      </c>
    </row>
    <row r="16" spans="1:20" ht="15" customHeight="1" x14ac:dyDescent="0.25">
      <c r="A16" t="s">
        <v>58</v>
      </c>
      <c r="B16" t="s">
        <v>59</v>
      </c>
      <c r="C16" s="2" t="s">
        <v>63</v>
      </c>
      <c r="D16" s="13" t="s">
        <v>64</v>
      </c>
      <c r="E16" s="13">
        <v>2</v>
      </c>
      <c r="F16" s="6">
        <v>265</v>
      </c>
      <c r="G16" s="6">
        <v>340</v>
      </c>
      <c r="H16" s="7">
        <f t="shared" si="0"/>
        <v>0.22058823529411764</v>
      </c>
      <c r="L16" s="10" t="s">
        <v>65</v>
      </c>
      <c r="M16" s="11">
        <v>320</v>
      </c>
      <c r="N16" s="11">
        <v>1</v>
      </c>
      <c r="O16" s="11">
        <f t="shared" si="1"/>
        <v>320</v>
      </c>
      <c r="P16" s="11" t="s">
        <v>24</v>
      </c>
      <c r="Q16" s="11">
        <f t="shared" si="2"/>
        <v>400</v>
      </c>
      <c r="R16" s="11">
        <v>400</v>
      </c>
      <c r="S16" s="12">
        <f t="shared" si="3"/>
        <v>0.2</v>
      </c>
      <c r="T16" s="11">
        <f t="shared" si="4"/>
        <v>80</v>
      </c>
    </row>
    <row r="17" spans="1:20" ht="15" customHeight="1" x14ac:dyDescent="0.25">
      <c r="A17" t="s">
        <v>58</v>
      </c>
      <c r="B17" t="s">
        <v>59</v>
      </c>
      <c r="C17" s="2" t="s">
        <v>66</v>
      </c>
      <c r="D17" s="13" t="s">
        <v>67</v>
      </c>
      <c r="E17" s="13">
        <v>1</v>
      </c>
      <c r="F17" s="6">
        <v>345</v>
      </c>
      <c r="G17" s="6">
        <v>425</v>
      </c>
      <c r="H17" s="7">
        <f t="shared" si="0"/>
        <v>0.18823529411764706</v>
      </c>
      <c r="L17" s="10" t="s">
        <v>68</v>
      </c>
      <c r="M17" s="11">
        <v>420</v>
      </c>
      <c r="N17" s="11">
        <v>1</v>
      </c>
      <c r="O17" s="11">
        <f t="shared" si="1"/>
        <v>420</v>
      </c>
      <c r="P17" s="11" t="s">
        <v>24</v>
      </c>
      <c r="Q17" s="11">
        <f t="shared" si="2"/>
        <v>525</v>
      </c>
      <c r="R17" s="11">
        <v>525</v>
      </c>
      <c r="S17" s="12">
        <f t="shared" si="3"/>
        <v>0.2</v>
      </c>
      <c r="T17" s="11">
        <f t="shared" si="4"/>
        <v>105</v>
      </c>
    </row>
    <row r="18" spans="1:20" ht="15" customHeight="1" x14ac:dyDescent="0.25">
      <c r="A18" t="s">
        <v>58</v>
      </c>
      <c r="B18" t="s">
        <v>59</v>
      </c>
      <c r="C18" s="2" t="s">
        <v>69</v>
      </c>
      <c r="D18" s="13" t="s">
        <v>70</v>
      </c>
      <c r="E18" s="13">
        <v>1</v>
      </c>
      <c r="F18" s="6">
        <v>105</v>
      </c>
      <c r="G18" s="6">
        <v>135</v>
      </c>
      <c r="H18" s="7">
        <f t="shared" si="0"/>
        <v>0.22222222222222221</v>
      </c>
      <c r="L18" s="10" t="s">
        <v>71</v>
      </c>
      <c r="M18" s="11">
        <v>48</v>
      </c>
      <c r="N18" s="11">
        <v>2</v>
      </c>
      <c r="O18" s="11">
        <f t="shared" si="1"/>
        <v>96</v>
      </c>
      <c r="P18" s="11" t="s">
        <v>24</v>
      </c>
      <c r="Q18" s="11">
        <f t="shared" si="2"/>
        <v>120</v>
      </c>
      <c r="R18" s="11">
        <v>60</v>
      </c>
      <c r="S18" s="12">
        <f t="shared" si="3"/>
        <v>0.4</v>
      </c>
      <c r="T18" s="11">
        <f t="shared" si="4"/>
        <v>24</v>
      </c>
    </row>
    <row r="19" spans="1:20" ht="15" customHeight="1" x14ac:dyDescent="0.25">
      <c r="A19" t="s">
        <v>58</v>
      </c>
      <c r="B19" t="s">
        <v>59</v>
      </c>
      <c r="C19" s="2" t="s">
        <v>72</v>
      </c>
      <c r="D19" s="13" t="s">
        <v>73</v>
      </c>
      <c r="E19" s="13">
        <v>2</v>
      </c>
      <c r="F19" s="6">
        <v>105</v>
      </c>
      <c r="G19" s="6">
        <v>135</v>
      </c>
      <c r="H19" s="7">
        <f t="shared" si="0"/>
        <v>0.22222222222222221</v>
      </c>
      <c r="L19" s="10" t="s">
        <v>74</v>
      </c>
      <c r="M19" s="11">
        <v>10.5</v>
      </c>
      <c r="N19" s="11">
        <v>24</v>
      </c>
      <c r="O19" s="11">
        <f t="shared" si="1"/>
        <v>252</v>
      </c>
      <c r="P19" s="11" t="s">
        <v>24</v>
      </c>
      <c r="Q19" s="11">
        <f t="shared" si="2"/>
        <v>360</v>
      </c>
      <c r="R19" s="11">
        <v>15</v>
      </c>
      <c r="S19" s="12">
        <f t="shared" si="3"/>
        <v>7.2</v>
      </c>
      <c r="T19" s="11">
        <f t="shared" si="4"/>
        <v>108</v>
      </c>
    </row>
    <row r="20" spans="1:20" ht="15" customHeight="1" x14ac:dyDescent="0.25">
      <c r="A20" t="s">
        <v>58</v>
      </c>
      <c r="B20" t="s">
        <v>75</v>
      </c>
      <c r="C20" s="2"/>
      <c r="D20" s="14" t="s">
        <v>75</v>
      </c>
      <c r="E20" s="13">
        <v>50</v>
      </c>
      <c r="F20" s="6">
        <f>82/50</f>
        <v>1.64</v>
      </c>
      <c r="G20" s="6">
        <v>3</v>
      </c>
      <c r="H20" s="7">
        <f t="shared" si="0"/>
        <v>0.45333333333333337</v>
      </c>
      <c r="L20" s="10" t="s">
        <v>76</v>
      </c>
      <c r="M20" s="11">
        <v>11.25</v>
      </c>
      <c r="N20" s="11">
        <v>48</v>
      </c>
      <c r="O20" s="11">
        <f t="shared" si="1"/>
        <v>540</v>
      </c>
      <c r="P20" s="11" t="s">
        <v>24</v>
      </c>
      <c r="Q20" s="11">
        <f t="shared" si="2"/>
        <v>720</v>
      </c>
      <c r="R20" s="11">
        <v>15</v>
      </c>
      <c r="S20" s="12">
        <f t="shared" si="3"/>
        <v>12</v>
      </c>
      <c r="T20" s="11">
        <f t="shared" si="4"/>
        <v>180</v>
      </c>
    </row>
    <row r="21" spans="1:20" ht="15" customHeight="1" x14ac:dyDescent="0.25">
      <c r="A21" t="s">
        <v>58</v>
      </c>
      <c r="B21" t="s">
        <v>77</v>
      </c>
      <c r="C21" s="2" t="s">
        <v>78</v>
      </c>
      <c r="D21" s="13" t="s">
        <v>79</v>
      </c>
      <c r="E21" s="13">
        <v>3</v>
      </c>
      <c r="F21" s="6">
        <v>42</v>
      </c>
      <c r="G21" s="6">
        <v>59</v>
      </c>
      <c r="H21" s="7">
        <f t="shared" si="0"/>
        <v>0.28813559322033899</v>
      </c>
      <c r="L21" s="10" t="s">
        <v>80</v>
      </c>
      <c r="M21" s="11">
        <v>14</v>
      </c>
      <c r="N21" s="11">
        <v>10</v>
      </c>
      <c r="O21" s="11">
        <f t="shared" si="1"/>
        <v>140</v>
      </c>
      <c r="P21" s="11" t="s">
        <v>24</v>
      </c>
      <c r="Q21" s="11">
        <f t="shared" si="2"/>
        <v>200</v>
      </c>
      <c r="R21" s="11">
        <v>20</v>
      </c>
      <c r="S21" s="12">
        <f t="shared" si="3"/>
        <v>3</v>
      </c>
      <c r="T21" s="11">
        <f t="shared" si="4"/>
        <v>60</v>
      </c>
    </row>
    <row r="22" spans="1:20" ht="15" customHeight="1" x14ac:dyDescent="0.25">
      <c r="A22" t="s">
        <v>58</v>
      </c>
      <c r="B22" t="s">
        <v>77</v>
      </c>
      <c r="C22" s="2"/>
      <c r="D22" s="13" t="s">
        <v>81</v>
      </c>
      <c r="E22" s="13">
        <v>2</v>
      </c>
      <c r="F22" s="6">
        <v>45</v>
      </c>
      <c r="G22" s="6">
        <v>75</v>
      </c>
      <c r="H22" s="7">
        <f t="shared" si="0"/>
        <v>0.4</v>
      </c>
      <c r="L22" s="10" t="s">
        <v>82</v>
      </c>
      <c r="M22" s="11">
        <v>14</v>
      </c>
      <c r="N22" s="11">
        <v>52</v>
      </c>
      <c r="O22" s="11">
        <f t="shared" si="1"/>
        <v>728</v>
      </c>
      <c r="P22" s="11" t="s">
        <v>24</v>
      </c>
      <c r="Q22" s="11">
        <f t="shared" si="2"/>
        <v>1040</v>
      </c>
      <c r="R22" s="11">
        <v>20</v>
      </c>
      <c r="S22" s="12">
        <f t="shared" si="3"/>
        <v>15.6</v>
      </c>
      <c r="T22" s="11">
        <f t="shared" si="4"/>
        <v>312</v>
      </c>
    </row>
    <row r="23" spans="1:20" ht="15" customHeight="1" x14ac:dyDescent="0.25">
      <c r="A23" t="s">
        <v>58</v>
      </c>
      <c r="B23" t="s">
        <v>77</v>
      </c>
      <c r="C23" s="2"/>
      <c r="D23" s="13" t="s">
        <v>83</v>
      </c>
      <c r="E23" s="13">
        <v>2</v>
      </c>
      <c r="F23" s="6">
        <v>39</v>
      </c>
      <c r="G23" s="6">
        <v>60</v>
      </c>
      <c r="H23" s="7">
        <f t="shared" si="0"/>
        <v>0.35</v>
      </c>
      <c r="L23" s="10" t="s">
        <v>84</v>
      </c>
      <c r="M23" s="11">
        <v>11.5</v>
      </c>
      <c r="N23" s="11">
        <v>50</v>
      </c>
      <c r="O23" s="11">
        <f t="shared" si="1"/>
        <v>575</v>
      </c>
      <c r="P23" s="11" t="s">
        <v>24</v>
      </c>
      <c r="Q23" s="11">
        <f t="shared" si="2"/>
        <v>750</v>
      </c>
      <c r="R23" s="11">
        <v>15</v>
      </c>
      <c r="S23" s="12">
        <f t="shared" si="3"/>
        <v>11.666666666666666</v>
      </c>
      <c r="T23" s="11">
        <f t="shared" si="4"/>
        <v>175</v>
      </c>
    </row>
    <row r="24" spans="1:20" ht="15" customHeight="1" x14ac:dyDescent="0.25">
      <c r="A24" t="s">
        <v>58</v>
      </c>
      <c r="B24" t="s">
        <v>77</v>
      </c>
      <c r="C24" s="2"/>
      <c r="D24" s="13" t="s">
        <v>85</v>
      </c>
      <c r="E24" s="13">
        <v>1</v>
      </c>
      <c r="F24" s="6">
        <v>140</v>
      </c>
      <c r="G24" s="6">
        <v>225</v>
      </c>
      <c r="H24" s="7">
        <f t="shared" si="0"/>
        <v>0.37777777777777777</v>
      </c>
      <c r="L24" s="10" t="s">
        <v>86</v>
      </c>
      <c r="M24" s="11">
        <v>14.5</v>
      </c>
      <c r="N24" s="11">
        <v>50</v>
      </c>
      <c r="O24" s="11">
        <f t="shared" si="1"/>
        <v>725</v>
      </c>
      <c r="P24" s="11" t="s">
        <v>24</v>
      </c>
      <c r="Q24" s="11">
        <f t="shared" si="2"/>
        <v>1000</v>
      </c>
      <c r="R24" s="11">
        <v>20</v>
      </c>
      <c r="S24" s="12">
        <f t="shared" si="3"/>
        <v>13.75</v>
      </c>
      <c r="T24" s="11">
        <f t="shared" si="4"/>
        <v>275</v>
      </c>
    </row>
    <row r="25" spans="1:20" ht="15" customHeight="1" x14ac:dyDescent="0.25">
      <c r="A25" t="s">
        <v>87</v>
      </c>
      <c r="B25" t="s">
        <v>88</v>
      </c>
      <c r="C25" s="2" t="s">
        <v>89</v>
      </c>
      <c r="D25" s="13" t="s">
        <v>90</v>
      </c>
      <c r="E25" s="13">
        <v>5</v>
      </c>
      <c r="F25" s="6">
        <v>20.5</v>
      </c>
      <c r="G25" s="6">
        <v>36</v>
      </c>
      <c r="H25" s="7">
        <f t="shared" si="0"/>
        <v>0.43055555555555558</v>
      </c>
      <c r="L25" s="10" t="s">
        <v>91</v>
      </c>
      <c r="M25" s="11">
        <v>36.5</v>
      </c>
      <c r="N25" s="11">
        <v>1</v>
      </c>
      <c r="O25" s="11">
        <f t="shared" si="1"/>
        <v>36.5</v>
      </c>
      <c r="P25" s="11" t="s">
        <v>45</v>
      </c>
      <c r="Q25" s="11">
        <f t="shared" si="2"/>
        <v>50</v>
      </c>
      <c r="R25" s="15">
        <v>50</v>
      </c>
      <c r="S25" s="12">
        <f t="shared" si="3"/>
        <v>0.27</v>
      </c>
      <c r="T25" s="11">
        <f t="shared" si="4"/>
        <v>13.5</v>
      </c>
    </row>
    <row r="26" spans="1:20" ht="15" customHeight="1" x14ac:dyDescent="0.25">
      <c r="A26" t="s">
        <v>87</v>
      </c>
      <c r="B26" t="s">
        <v>88</v>
      </c>
      <c r="C26" s="2" t="s">
        <v>92</v>
      </c>
      <c r="D26" s="13" t="s">
        <v>93</v>
      </c>
      <c r="E26" s="13">
        <v>4</v>
      </c>
      <c r="F26" s="6">
        <v>52</v>
      </c>
      <c r="G26" s="6">
        <v>80</v>
      </c>
      <c r="H26" s="7">
        <f t="shared" si="0"/>
        <v>0.35</v>
      </c>
      <c r="L26" s="10" t="s">
        <v>94</v>
      </c>
      <c r="M26" s="11">
        <v>21</v>
      </c>
      <c r="N26" s="11">
        <v>2</v>
      </c>
      <c r="O26" s="11">
        <f t="shared" si="1"/>
        <v>42</v>
      </c>
      <c r="P26" s="11" t="s">
        <v>45</v>
      </c>
      <c r="Q26" s="11">
        <f t="shared" si="2"/>
        <v>50</v>
      </c>
      <c r="R26" s="15">
        <v>25</v>
      </c>
      <c r="S26" s="12">
        <f t="shared" si="3"/>
        <v>0.32</v>
      </c>
      <c r="T26" s="11">
        <f t="shared" si="4"/>
        <v>8</v>
      </c>
    </row>
    <row r="27" spans="1:20" ht="15" customHeight="1" x14ac:dyDescent="0.25">
      <c r="A27" t="s">
        <v>87</v>
      </c>
      <c r="B27" t="s">
        <v>88</v>
      </c>
      <c r="C27" s="2" t="s">
        <v>95</v>
      </c>
      <c r="D27" s="13" t="s">
        <v>96</v>
      </c>
      <c r="E27" s="13">
        <v>3</v>
      </c>
      <c r="F27" s="6">
        <v>46</v>
      </c>
      <c r="G27" s="6">
        <v>70</v>
      </c>
      <c r="H27" s="7">
        <f t="shared" si="0"/>
        <v>0.34285714285714286</v>
      </c>
      <c r="L27" s="10" t="s">
        <v>97</v>
      </c>
      <c r="M27" s="11">
        <v>10.5</v>
      </c>
      <c r="N27" s="11">
        <v>3</v>
      </c>
      <c r="O27" s="11">
        <f t="shared" si="1"/>
        <v>31.5</v>
      </c>
      <c r="P27" s="11" t="s">
        <v>45</v>
      </c>
      <c r="Q27" s="11">
        <f t="shared" si="2"/>
        <v>45</v>
      </c>
      <c r="R27" s="15">
        <v>15</v>
      </c>
      <c r="S27" s="12">
        <f t="shared" si="3"/>
        <v>0.9</v>
      </c>
      <c r="T27" s="11">
        <f t="shared" si="4"/>
        <v>13.5</v>
      </c>
    </row>
    <row r="28" spans="1:20" ht="15" customHeight="1" x14ac:dyDescent="0.25">
      <c r="A28" t="s">
        <v>87</v>
      </c>
      <c r="B28" t="s">
        <v>88</v>
      </c>
      <c r="C28" s="2"/>
      <c r="D28" s="13" t="s">
        <v>98</v>
      </c>
      <c r="E28" s="13">
        <v>3</v>
      </c>
      <c r="F28" s="6">
        <v>69</v>
      </c>
      <c r="G28" s="6">
        <v>110</v>
      </c>
      <c r="H28" s="7">
        <f t="shared" si="0"/>
        <v>0.37272727272727274</v>
      </c>
      <c r="L28" s="10" t="s">
        <v>99</v>
      </c>
      <c r="M28" s="11">
        <v>7.5</v>
      </c>
      <c r="N28" s="11">
        <v>10</v>
      </c>
      <c r="O28" s="11">
        <f t="shared" si="1"/>
        <v>75</v>
      </c>
      <c r="P28" s="11" t="s">
        <v>24</v>
      </c>
      <c r="Q28" s="11">
        <f t="shared" si="2"/>
        <v>100</v>
      </c>
      <c r="R28" s="11">
        <v>10</v>
      </c>
      <c r="S28" s="12">
        <f t="shared" si="3"/>
        <v>2.5</v>
      </c>
      <c r="T28" s="11">
        <f t="shared" si="4"/>
        <v>25</v>
      </c>
    </row>
    <row r="29" spans="1:20" ht="15" customHeight="1" x14ac:dyDescent="0.25">
      <c r="A29" t="s">
        <v>87</v>
      </c>
      <c r="B29" t="s">
        <v>100</v>
      </c>
      <c r="C29" s="2"/>
      <c r="D29" s="13" t="s">
        <v>101</v>
      </c>
      <c r="E29" s="13">
        <v>3</v>
      </c>
      <c r="F29" s="6">
        <v>90</v>
      </c>
      <c r="G29" s="6">
        <v>160</v>
      </c>
      <c r="H29" s="7">
        <f t="shared" si="0"/>
        <v>0.4375</v>
      </c>
      <c r="L29" s="10" t="s">
        <v>102</v>
      </c>
      <c r="M29" s="11">
        <v>27</v>
      </c>
      <c r="N29" s="11">
        <v>2</v>
      </c>
      <c r="O29" s="11">
        <f t="shared" si="1"/>
        <v>54</v>
      </c>
      <c r="P29" s="11" t="s">
        <v>103</v>
      </c>
      <c r="Q29" s="11">
        <f t="shared" si="2"/>
        <v>67.5</v>
      </c>
      <c r="R29" s="11">
        <f t="shared" ref="R29:R35" si="6">M29*125%</f>
        <v>33.75</v>
      </c>
      <c r="S29" s="12">
        <f t="shared" si="3"/>
        <v>0.4</v>
      </c>
      <c r="T29" s="11">
        <f t="shared" si="4"/>
        <v>13.5</v>
      </c>
    </row>
    <row r="30" spans="1:20" ht="15" customHeight="1" x14ac:dyDescent="0.25">
      <c r="A30" t="s">
        <v>87</v>
      </c>
      <c r="B30" t="s">
        <v>104</v>
      </c>
      <c r="C30" s="2" t="s">
        <v>105</v>
      </c>
      <c r="D30" s="13" t="s">
        <v>106</v>
      </c>
      <c r="E30" s="13">
        <v>2</v>
      </c>
      <c r="F30" s="6">
        <v>54</v>
      </c>
      <c r="G30" s="6">
        <v>70</v>
      </c>
      <c r="H30" s="7">
        <f t="shared" si="0"/>
        <v>0.22857142857142856</v>
      </c>
      <c r="L30" s="10" t="s">
        <v>107</v>
      </c>
      <c r="M30" s="11">
        <v>45</v>
      </c>
      <c r="N30" s="11">
        <v>1</v>
      </c>
      <c r="O30" s="11">
        <f t="shared" si="1"/>
        <v>45</v>
      </c>
      <c r="P30" s="11" t="s">
        <v>103</v>
      </c>
      <c r="Q30" s="11">
        <f t="shared" si="2"/>
        <v>56.25</v>
      </c>
      <c r="R30" s="11">
        <f t="shared" si="6"/>
        <v>56.25</v>
      </c>
      <c r="S30" s="12">
        <f t="shared" si="3"/>
        <v>0.2</v>
      </c>
      <c r="T30" s="11">
        <f t="shared" si="4"/>
        <v>11.25</v>
      </c>
    </row>
    <row r="31" spans="1:20" ht="15" customHeight="1" x14ac:dyDescent="0.25">
      <c r="A31" t="s">
        <v>87</v>
      </c>
      <c r="B31" t="s">
        <v>50</v>
      </c>
      <c r="C31" s="2"/>
      <c r="D31" s="13" t="s">
        <v>108</v>
      </c>
      <c r="E31" s="13">
        <v>18</v>
      </c>
      <c r="F31" s="6">
        <v>6.67</v>
      </c>
      <c r="G31" s="6">
        <v>10</v>
      </c>
      <c r="H31" s="7">
        <f t="shared" si="0"/>
        <v>0.33300000000000002</v>
      </c>
      <c r="L31" s="10" t="s">
        <v>109</v>
      </c>
      <c r="M31" s="11">
        <v>69</v>
      </c>
      <c r="N31" s="11">
        <v>1</v>
      </c>
      <c r="O31" s="11">
        <f t="shared" si="1"/>
        <v>69</v>
      </c>
      <c r="P31" s="11" t="s">
        <v>49</v>
      </c>
      <c r="Q31" s="11">
        <f t="shared" si="2"/>
        <v>86.25</v>
      </c>
      <c r="R31" s="11">
        <f t="shared" si="6"/>
        <v>86.25</v>
      </c>
      <c r="S31" s="12">
        <f t="shared" si="3"/>
        <v>0.2</v>
      </c>
      <c r="T31" s="11">
        <f t="shared" si="4"/>
        <v>17.25</v>
      </c>
    </row>
    <row r="32" spans="1:20" ht="15" customHeight="1" x14ac:dyDescent="0.25">
      <c r="A32" t="s">
        <v>87</v>
      </c>
      <c r="B32" t="s">
        <v>110</v>
      </c>
      <c r="C32" s="2"/>
      <c r="D32" s="13" t="s">
        <v>111</v>
      </c>
      <c r="E32" s="13">
        <v>3</v>
      </c>
      <c r="F32" s="6">
        <v>33</v>
      </c>
      <c r="G32" s="6">
        <v>66</v>
      </c>
      <c r="H32" s="7">
        <f t="shared" si="0"/>
        <v>0.5</v>
      </c>
      <c r="L32" s="10" t="s">
        <v>112</v>
      </c>
      <c r="M32" s="11">
        <v>16.5</v>
      </c>
      <c r="N32" s="11">
        <v>15</v>
      </c>
      <c r="O32" s="11">
        <f t="shared" si="1"/>
        <v>247.5</v>
      </c>
      <c r="P32" s="11" t="s">
        <v>24</v>
      </c>
      <c r="Q32" s="11">
        <f t="shared" si="2"/>
        <v>309.375</v>
      </c>
      <c r="R32" s="11">
        <f t="shared" si="6"/>
        <v>20.625</v>
      </c>
      <c r="S32" s="12">
        <f t="shared" si="3"/>
        <v>3</v>
      </c>
      <c r="T32" s="11">
        <f t="shared" si="4"/>
        <v>61.875</v>
      </c>
    </row>
    <row r="33" spans="1:20" ht="15" customHeight="1" x14ac:dyDescent="0.25">
      <c r="A33" t="s">
        <v>87</v>
      </c>
      <c r="B33" t="s">
        <v>113</v>
      </c>
      <c r="C33" s="2" t="s">
        <v>114</v>
      </c>
      <c r="D33" s="13" t="s">
        <v>115</v>
      </c>
      <c r="E33" s="13">
        <v>12</v>
      </c>
      <c r="F33" s="6">
        <v>17.5</v>
      </c>
      <c r="G33" s="6">
        <v>25</v>
      </c>
      <c r="H33" s="7">
        <f t="shared" si="0"/>
        <v>0.3</v>
      </c>
      <c r="L33" s="10" t="s">
        <v>116</v>
      </c>
      <c r="M33" s="11">
        <v>48</v>
      </c>
      <c r="N33" s="11">
        <v>4</v>
      </c>
      <c r="O33" s="11">
        <f t="shared" si="1"/>
        <v>192</v>
      </c>
      <c r="P33" s="11" t="s">
        <v>24</v>
      </c>
      <c r="Q33" s="11">
        <f t="shared" si="2"/>
        <v>240</v>
      </c>
      <c r="R33" s="11">
        <f t="shared" si="6"/>
        <v>60</v>
      </c>
      <c r="S33" s="12">
        <f t="shared" si="3"/>
        <v>0.8</v>
      </c>
      <c r="T33" s="11">
        <f t="shared" si="4"/>
        <v>48</v>
      </c>
    </row>
    <row r="34" spans="1:20" ht="15" customHeight="1" x14ac:dyDescent="0.25">
      <c r="A34" t="s">
        <v>87</v>
      </c>
      <c r="B34" t="s">
        <v>113</v>
      </c>
      <c r="C34" s="2" t="s">
        <v>117</v>
      </c>
      <c r="D34" s="13" t="s">
        <v>118</v>
      </c>
      <c r="E34" s="13">
        <v>8</v>
      </c>
      <c r="F34" s="6">
        <v>31.5</v>
      </c>
      <c r="G34" s="6">
        <v>45</v>
      </c>
      <c r="H34" s="7">
        <f t="shared" si="0"/>
        <v>0.3</v>
      </c>
      <c r="L34" s="10" t="s">
        <v>119</v>
      </c>
      <c r="M34" s="11">
        <v>120</v>
      </c>
      <c r="N34" s="11">
        <v>1</v>
      </c>
      <c r="O34" s="11">
        <f t="shared" si="1"/>
        <v>120</v>
      </c>
      <c r="P34" s="11" t="s">
        <v>45</v>
      </c>
      <c r="Q34" s="11">
        <f t="shared" si="2"/>
        <v>150</v>
      </c>
      <c r="R34" s="11">
        <f t="shared" si="6"/>
        <v>150</v>
      </c>
      <c r="S34" s="12">
        <f t="shared" si="3"/>
        <v>0.2</v>
      </c>
      <c r="T34" s="11">
        <f t="shared" si="4"/>
        <v>30</v>
      </c>
    </row>
    <row r="35" spans="1:20" ht="15" customHeight="1" x14ac:dyDescent="0.25">
      <c r="A35" t="s">
        <v>87</v>
      </c>
      <c r="B35" t="s">
        <v>113</v>
      </c>
      <c r="C35" s="2" t="s">
        <v>120</v>
      </c>
      <c r="D35" s="13" t="s">
        <v>121</v>
      </c>
      <c r="E35" s="13">
        <v>2</v>
      </c>
      <c r="F35" s="6">
        <v>21</v>
      </c>
      <c r="G35" s="6">
        <v>30</v>
      </c>
      <c r="H35" s="7">
        <f t="shared" si="0"/>
        <v>0.3</v>
      </c>
      <c r="L35" s="10" t="s">
        <v>122</v>
      </c>
      <c r="M35" s="11">
        <v>176</v>
      </c>
      <c r="N35" s="11">
        <v>3</v>
      </c>
      <c r="O35" s="11">
        <f t="shared" si="1"/>
        <v>528</v>
      </c>
      <c r="P35" s="11" t="s">
        <v>103</v>
      </c>
      <c r="Q35" s="11">
        <f t="shared" si="2"/>
        <v>660</v>
      </c>
      <c r="R35" s="11">
        <f t="shared" si="6"/>
        <v>220</v>
      </c>
      <c r="S35" s="12">
        <f t="shared" si="3"/>
        <v>0.6</v>
      </c>
      <c r="T35" s="11">
        <f t="shared" si="4"/>
        <v>132</v>
      </c>
    </row>
    <row r="36" spans="1:20" ht="15" customHeight="1" x14ac:dyDescent="0.25">
      <c r="A36" t="s">
        <v>87</v>
      </c>
      <c r="B36" t="s">
        <v>113</v>
      </c>
      <c r="C36" s="2" t="s">
        <v>123</v>
      </c>
      <c r="D36" s="13" t="s">
        <v>124</v>
      </c>
      <c r="E36" s="13">
        <v>2</v>
      </c>
      <c r="F36" s="6">
        <v>21</v>
      </c>
      <c r="G36" s="6">
        <v>30</v>
      </c>
      <c r="H36" s="7">
        <f t="shared" si="0"/>
        <v>0.3</v>
      </c>
      <c r="M36" s="6">
        <f>SUM(M5:M35)</f>
        <v>2336.25</v>
      </c>
      <c r="O36" s="6">
        <f>SUM(O5:O35)</f>
        <v>19106.5</v>
      </c>
      <c r="Q36" s="6">
        <f>SUM(Q5:Q35)</f>
        <v>26546.875</v>
      </c>
      <c r="R36" s="6">
        <f>SUM(R5:R35)</f>
        <v>2946.875</v>
      </c>
      <c r="T36" s="16">
        <f>Q36-O36</f>
        <v>7440.375</v>
      </c>
    </row>
    <row r="37" spans="1:20" ht="15" customHeight="1" x14ac:dyDescent="0.25">
      <c r="A37" t="s">
        <v>87</v>
      </c>
      <c r="B37" t="s">
        <v>113</v>
      </c>
      <c r="C37" s="2" t="s">
        <v>125</v>
      </c>
      <c r="D37" s="13" t="s">
        <v>126</v>
      </c>
      <c r="E37" s="13">
        <v>2</v>
      </c>
      <c r="F37" s="6">
        <v>21</v>
      </c>
      <c r="G37" s="6">
        <v>30</v>
      </c>
      <c r="H37" s="7">
        <f t="shared" si="0"/>
        <v>0.3</v>
      </c>
    </row>
    <row r="38" spans="1:20" ht="15" customHeight="1" x14ac:dyDescent="0.25">
      <c r="A38" t="s">
        <v>87</v>
      </c>
      <c r="B38" t="s">
        <v>113</v>
      </c>
      <c r="C38" s="2" t="s">
        <v>127</v>
      </c>
      <c r="D38" s="13" t="s">
        <v>128</v>
      </c>
      <c r="E38" s="13">
        <v>3</v>
      </c>
      <c r="F38" s="6">
        <v>21</v>
      </c>
      <c r="G38" s="6">
        <v>30</v>
      </c>
      <c r="H38" s="7">
        <f t="shared" si="0"/>
        <v>0.3</v>
      </c>
    </row>
    <row r="39" spans="1:20" ht="15" customHeight="1" x14ac:dyDescent="0.25">
      <c r="A39" t="s">
        <v>87</v>
      </c>
      <c r="B39" t="s">
        <v>113</v>
      </c>
      <c r="C39" s="2" t="s">
        <v>129</v>
      </c>
      <c r="D39" s="13" t="s">
        <v>130</v>
      </c>
      <c r="E39" s="13">
        <v>3</v>
      </c>
      <c r="F39" s="6">
        <v>21</v>
      </c>
      <c r="G39" s="6">
        <v>30</v>
      </c>
      <c r="H39" s="7">
        <f t="shared" si="0"/>
        <v>0.3</v>
      </c>
    </row>
    <row r="40" spans="1:20" ht="15" customHeight="1" x14ac:dyDescent="0.25">
      <c r="A40" t="s">
        <v>87</v>
      </c>
      <c r="B40" t="s">
        <v>113</v>
      </c>
      <c r="C40" s="2" t="s">
        <v>131</v>
      </c>
      <c r="D40" s="13" t="s">
        <v>132</v>
      </c>
      <c r="E40" s="13">
        <v>3</v>
      </c>
      <c r="F40" s="6">
        <v>17.5</v>
      </c>
      <c r="G40" s="6">
        <v>25</v>
      </c>
      <c r="H40" s="7">
        <f t="shared" si="0"/>
        <v>0.3</v>
      </c>
    </row>
    <row r="41" spans="1:20" ht="15" customHeight="1" x14ac:dyDescent="0.25">
      <c r="A41" t="s">
        <v>87</v>
      </c>
      <c r="B41" t="s">
        <v>113</v>
      </c>
      <c r="C41" s="2" t="s">
        <v>133</v>
      </c>
      <c r="D41" s="13" t="s">
        <v>134</v>
      </c>
      <c r="E41" s="13">
        <v>3</v>
      </c>
      <c r="F41" s="6">
        <v>17.5</v>
      </c>
      <c r="G41" s="6">
        <v>25</v>
      </c>
      <c r="H41" s="7">
        <f t="shared" si="0"/>
        <v>0.3</v>
      </c>
    </row>
    <row r="42" spans="1:20" ht="15" customHeight="1" x14ac:dyDescent="0.25">
      <c r="A42" t="s">
        <v>87</v>
      </c>
      <c r="B42" t="s">
        <v>113</v>
      </c>
      <c r="C42" s="2" t="s">
        <v>135</v>
      </c>
      <c r="D42" s="13" t="s">
        <v>136</v>
      </c>
      <c r="E42" s="13">
        <v>3</v>
      </c>
      <c r="F42" s="6">
        <v>17.5</v>
      </c>
      <c r="G42" s="6">
        <v>25</v>
      </c>
      <c r="H42" s="7">
        <f t="shared" si="0"/>
        <v>0.3</v>
      </c>
    </row>
    <row r="43" spans="1:20" ht="15" customHeight="1" x14ac:dyDescent="0.25">
      <c r="A43" t="s">
        <v>87</v>
      </c>
      <c r="B43" t="s">
        <v>113</v>
      </c>
      <c r="C43" s="2" t="s">
        <v>137</v>
      </c>
      <c r="D43" s="13" t="s">
        <v>138</v>
      </c>
      <c r="E43" s="13">
        <v>3</v>
      </c>
      <c r="F43" s="6">
        <v>17.5</v>
      </c>
      <c r="G43" s="6">
        <v>25</v>
      </c>
      <c r="H43" s="7">
        <f t="shared" si="0"/>
        <v>0.3</v>
      </c>
    </row>
    <row r="44" spans="1:20" ht="15" customHeight="1" x14ac:dyDescent="0.25">
      <c r="A44" t="s">
        <v>87</v>
      </c>
      <c r="B44" t="s">
        <v>139</v>
      </c>
      <c r="C44" s="2"/>
      <c r="D44" s="14" t="s">
        <v>140</v>
      </c>
      <c r="E44" s="13">
        <v>12</v>
      </c>
      <c r="F44" s="6">
        <f>138/12</f>
        <v>11.5</v>
      </c>
      <c r="G44" s="6">
        <v>15</v>
      </c>
      <c r="H44" s="7">
        <f t="shared" si="0"/>
        <v>0.23333333333333334</v>
      </c>
      <c r="J44" t="s">
        <v>141</v>
      </c>
    </row>
    <row r="45" spans="1:20" ht="15" customHeight="1" x14ac:dyDescent="0.25">
      <c r="A45" t="s">
        <v>142</v>
      </c>
      <c r="B45" t="s">
        <v>143</v>
      </c>
      <c r="C45" s="2"/>
      <c r="D45" s="13" t="s">
        <v>144</v>
      </c>
      <c r="E45" s="13">
        <v>2</v>
      </c>
      <c r="F45" s="6">
        <v>120</v>
      </c>
      <c r="G45" s="6">
        <v>235</v>
      </c>
      <c r="H45" s="7">
        <f t="shared" si="0"/>
        <v>0.48936170212765956</v>
      </c>
    </row>
    <row r="46" spans="1:20" ht="15" customHeight="1" x14ac:dyDescent="0.25">
      <c r="A46" t="s">
        <v>142</v>
      </c>
      <c r="B46" t="s">
        <v>143</v>
      </c>
      <c r="C46" s="2"/>
      <c r="D46" s="13" t="s">
        <v>145</v>
      </c>
      <c r="E46" s="13">
        <v>1</v>
      </c>
      <c r="F46" s="6">
        <v>285</v>
      </c>
      <c r="G46" s="6">
        <v>515</v>
      </c>
      <c r="H46" s="7">
        <f t="shared" si="0"/>
        <v>0.44660194174757284</v>
      </c>
    </row>
    <row r="47" spans="1:20" ht="15" customHeight="1" x14ac:dyDescent="0.25">
      <c r="A47" t="s">
        <v>142</v>
      </c>
      <c r="B47" t="s">
        <v>143</v>
      </c>
      <c r="C47" s="2"/>
      <c r="D47" s="13" t="s">
        <v>146</v>
      </c>
      <c r="E47" s="13">
        <v>4</v>
      </c>
      <c r="F47" s="6">
        <v>115</v>
      </c>
      <c r="G47" s="6">
        <v>220</v>
      </c>
      <c r="H47" s="7">
        <f t="shared" si="0"/>
        <v>0.47727272727272729</v>
      </c>
    </row>
    <row r="48" spans="1:20" ht="15" customHeight="1" x14ac:dyDescent="0.25">
      <c r="A48" t="s">
        <v>142</v>
      </c>
      <c r="B48" t="s">
        <v>143</v>
      </c>
      <c r="C48" s="2"/>
      <c r="D48" s="14" t="s">
        <v>147</v>
      </c>
      <c r="E48" s="13">
        <v>3</v>
      </c>
      <c r="F48" s="6">
        <v>170</v>
      </c>
      <c r="G48" s="6">
        <v>285</v>
      </c>
      <c r="H48" s="7">
        <f t="shared" si="0"/>
        <v>0.40350877192982454</v>
      </c>
    </row>
    <row r="49" spans="1:8" ht="15" customHeight="1" x14ac:dyDescent="0.25">
      <c r="A49" t="s">
        <v>142</v>
      </c>
      <c r="B49" t="s">
        <v>143</v>
      </c>
      <c r="C49" s="2"/>
      <c r="D49" s="14" t="s">
        <v>148</v>
      </c>
      <c r="E49" s="13">
        <v>3</v>
      </c>
      <c r="F49" s="6">
        <v>48</v>
      </c>
      <c r="G49" s="6">
        <v>85</v>
      </c>
      <c r="H49" s="7">
        <f t="shared" si="0"/>
        <v>0.43529411764705883</v>
      </c>
    </row>
    <row r="50" spans="1:8" ht="15" customHeight="1" x14ac:dyDescent="0.25">
      <c r="A50" t="s">
        <v>142</v>
      </c>
      <c r="B50" t="s">
        <v>143</v>
      </c>
      <c r="C50" s="2"/>
      <c r="D50" s="13" t="s">
        <v>149</v>
      </c>
      <c r="E50" s="13">
        <v>3</v>
      </c>
      <c r="F50" s="6">
        <v>47</v>
      </c>
      <c r="G50" s="6">
        <v>70</v>
      </c>
      <c r="H50" s="7">
        <f t="shared" si="0"/>
        <v>0.32857142857142857</v>
      </c>
    </row>
    <row r="51" spans="1:8" ht="15" customHeight="1" x14ac:dyDescent="0.25">
      <c r="A51" t="s">
        <v>8</v>
      </c>
      <c r="B51" t="s">
        <v>150</v>
      </c>
      <c r="C51" s="2" t="s">
        <v>151</v>
      </c>
      <c r="D51" s="13" t="s">
        <v>152</v>
      </c>
      <c r="E51" s="13">
        <v>10</v>
      </c>
      <c r="F51" s="6">
        <f>78/E51</f>
        <v>7.8</v>
      </c>
      <c r="G51" s="6">
        <v>10</v>
      </c>
      <c r="H51" s="7">
        <f t="shared" si="0"/>
        <v>0.22000000000000003</v>
      </c>
    </row>
    <row r="52" spans="1:8" ht="15" customHeight="1" x14ac:dyDescent="0.25">
      <c r="A52" t="s">
        <v>8</v>
      </c>
      <c r="B52" t="s">
        <v>150</v>
      </c>
      <c r="C52" s="2" t="s">
        <v>153</v>
      </c>
      <c r="D52" s="13" t="s">
        <v>154</v>
      </c>
      <c r="E52" s="13">
        <v>10</v>
      </c>
      <c r="F52" s="6">
        <f>195/E52</f>
        <v>19.5</v>
      </c>
      <c r="G52" s="6">
        <v>25</v>
      </c>
      <c r="H52" s="7">
        <f t="shared" si="0"/>
        <v>0.22</v>
      </c>
    </row>
    <row r="53" spans="1:8" ht="15" customHeight="1" x14ac:dyDescent="0.25">
      <c r="A53" t="s">
        <v>8</v>
      </c>
      <c r="B53" t="s">
        <v>25</v>
      </c>
      <c r="C53" s="2" t="s">
        <v>155</v>
      </c>
      <c r="D53" s="13" t="s">
        <v>156</v>
      </c>
      <c r="E53" s="13">
        <v>40</v>
      </c>
      <c r="F53" s="6">
        <f>58/10</f>
        <v>5.8</v>
      </c>
      <c r="G53" s="6">
        <v>10</v>
      </c>
      <c r="H53" s="7">
        <f t="shared" si="0"/>
        <v>0.42000000000000004</v>
      </c>
    </row>
    <row r="54" spans="1:8" ht="15" customHeight="1" x14ac:dyDescent="0.25">
      <c r="A54" t="s">
        <v>8</v>
      </c>
      <c r="B54" t="s">
        <v>25</v>
      </c>
      <c r="C54" s="2" t="s">
        <v>157</v>
      </c>
      <c r="D54" s="13" t="s">
        <v>158</v>
      </c>
      <c r="E54" s="13">
        <v>40</v>
      </c>
      <c r="F54" s="6">
        <f>58/10</f>
        <v>5.8</v>
      </c>
      <c r="G54" s="6">
        <v>10</v>
      </c>
      <c r="H54" s="7">
        <f t="shared" si="0"/>
        <v>0.42000000000000004</v>
      </c>
    </row>
    <row r="55" spans="1:8" ht="15" customHeight="1" x14ac:dyDescent="0.25">
      <c r="A55" t="s">
        <v>8</v>
      </c>
      <c r="B55" t="s">
        <v>25</v>
      </c>
      <c r="C55" s="2" t="s">
        <v>159</v>
      </c>
      <c r="D55" s="13" t="s">
        <v>160</v>
      </c>
      <c r="E55" s="13">
        <v>60</v>
      </c>
      <c r="F55" s="6">
        <f>36/10</f>
        <v>3.6</v>
      </c>
      <c r="G55" s="6">
        <v>7</v>
      </c>
      <c r="H55" s="7">
        <f t="shared" si="0"/>
        <v>0.48571428571428571</v>
      </c>
    </row>
    <row r="56" spans="1:8" ht="15" customHeight="1" x14ac:dyDescent="0.25">
      <c r="A56" t="s">
        <v>8</v>
      </c>
      <c r="B56" t="s">
        <v>25</v>
      </c>
      <c r="C56" s="2" t="s">
        <v>161</v>
      </c>
      <c r="D56" s="13" t="s">
        <v>162</v>
      </c>
      <c r="E56" s="13">
        <v>10</v>
      </c>
      <c r="F56" s="6">
        <f>72/10</f>
        <v>7.2</v>
      </c>
      <c r="G56" s="6">
        <v>10</v>
      </c>
      <c r="H56" s="7">
        <f t="shared" si="0"/>
        <v>0.27999999999999997</v>
      </c>
    </row>
    <row r="57" spans="1:8" ht="15" customHeight="1" x14ac:dyDescent="0.25">
      <c r="A57" t="s">
        <v>8</v>
      </c>
      <c r="B57" t="s">
        <v>25</v>
      </c>
      <c r="C57" s="2"/>
      <c r="D57" s="13" t="s">
        <v>163</v>
      </c>
      <c r="E57" s="13">
        <v>20</v>
      </c>
      <c r="F57" s="6">
        <f>45/E57</f>
        <v>2.25</v>
      </c>
      <c r="G57" s="6">
        <v>4</v>
      </c>
      <c r="H57" s="7">
        <f t="shared" si="0"/>
        <v>0.4375</v>
      </c>
    </row>
    <row r="58" spans="1:8" ht="15" customHeight="1" x14ac:dyDescent="0.25">
      <c r="A58" t="s">
        <v>8</v>
      </c>
      <c r="B58" t="s">
        <v>164</v>
      </c>
      <c r="C58" s="2" t="s">
        <v>165</v>
      </c>
      <c r="D58" s="13" t="s">
        <v>166</v>
      </c>
      <c r="E58" s="13">
        <v>30</v>
      </c>
      <c r="F58" s="6">
        <f>74/10</f>
        <v>7.4</v>
      </c>
      <c r="G58" s="6">
        <v>10</v>
      </c>
      <c r="H58" s="7">
        <f t="shared" si="0"/>
        <v>0.25999999999999995</v>
      </c>
    </row>
    <row r="59" spans="1:8" ht="15" customHeight="1" x14ac:dyDescent="0.25">
      <c r="A59" t="s">
        <v>8</v>
      </c>
      <c r="B59" t="s">
        <v>150</v>
      </c>
      <c r="C59" s="2" t="s">
        <v>167</v>
      </c>
      <c r="D59" s="13" t="s">
        <v>168</v>
      </c>
      <c r="E59" s="13">
        <v>20</v>
      </c>
      <c r="F59" s="6">
        <f>78/10</f>
        <v>7.8</v>
      </c>
      <c r="G59" s="6">
        <v>10</v>
      </c>
      <c r="H59" s="7">
        <f t="shared" si="0"/>
        <v>0.22000000000000003</v>
      </c>
    </row>
    <row r="60" spans="1:8" ht="15" customHeight="1" x14ac:dyDescent="0.25">
      <c r="A60" t="s">
        <v>8</v>
      </c>
      <c r="B60" t="s">
        <v>150</v>
      </c>
      <c r="C60" s="2"/>
      <c r="D60" s="13" t="s">
        <v>169</v>
      </c>
      <c r="E60" s="13">
        <v>25</v>
      </c>
      <c r="F60" s="6">
        <f>24.5/5</f>
        <v>4.9000000000000004</v>
      </c>
      <c r="G60" s="6">
        <v>7</v>
      </c>
      <c r="H60" s="7">
        <f t="shared" si="0"/>
        <v>0.29999999999999993</v>
      </c>
    </row>
    <row r="61" spans="1:8" ht="15" customHeight="1" x14ac:dyDescent="0.25">
      <c r="A61" t="s">
        <v>8</v>
      </c>
      <c r="B61" t="s">
        <v>104</v>
      </c>
      <c r="C61" s="2" t="s">
        <v>170</v>
      </c>
      <c r="D61" s="13" t="s">
        <v>171</v>
      </c>
      <c r="E61" s="13">
        <v>4</v>
      </c>
      <c r="F61" s="6">
        <v>90</v>
      </c>
      <c r="G61" s="6">
        <v>135</v>
      </c>
      <c r="H61" s="7">
        <f t="shared" si="0"/>
        <v>0.33333333333333331</v>
      </c>
    </row>
    <row r="62" spans="1:8" ht="15" customHeight="1" x14ac:dyDescent="0.25">
      <c r="A62" t="s">
        <v>8</v>
      </c>
      <c r="B62" t="s">
        <v>172</v>
      </c>
      <c r="C62" s="2" t="s">
        <v>173</v>
      </c>
      <c r="D62" s="13" t="s">
        <v>174</v>
      </c>
      <c r="E62" s="13">
        <v>4</v>
      </c>
      <c r="F62" s="6">
        <v>165</v>
      </c>
      <c r="G62" s="6">
        <v>210</v>
      </c>
      <c r="H62" s="7">
        <f t="shared" si="0"/>
        <v>0.21428571428571427</v>
      </c>
    </row>
    <row r="63" spans="1:8" ht="15" customHeight="1" x14ac:dyDescent="0.25">
      <c r="A63" t="s">
        <v>8</v>
      </c>
      <c r="B63" t="s">
        <v>172</v>
      </c>
      <c r="C63" s="2" t="s">
        <v>175</v>
      </c>
      <c r="D63" s="13" t="s">
        <v>176</v>
      </c>
      <c r="E63" s="13">
        <v>10</v>
      </c>
      <c r="F63" s="6">
        <v>32.5</v>
      </c>
      <c r="G63" s="6">
        <v>48</v>
      </c>
      <c r="H63" s="7">
        <f t="shared" si="0"/>
        <v>0.32291666666666669</v>
      </c>
    </row>
    <row r="64" spans="1:8" ht="15" customHeight="1" x14ac:dyDescent="0.25">
      <c r="A64" t="s">
        <v>8</v>
      </c>
      <c r="B64" t="s">
        <v>110</v>
      </c>
      <c r="C64" s="2" t="s">
        <v>177</v>
      </c>
      <c r="D64" s="13" t="s">
        <v>178</v>
      </c>
      <c r="E64" s="13">
        <v>5</v>
      </c>
      <c r="F64" s="6">
        <v>108</v>
      </c>
      <c r="G64" s="6">
        <v>150</v>
      </c>
      <c r="H64" s="7">
        <f t="shared" si="0"/>
        <v>0.28000000000000003</v>
      </c>
    </row>
    <row r="65" spans="1:10" ht="15" customHeight="1" x14ac:dyDescent="0.25">
      <c r="A65" t="s">
        <v>8</v>
      </c>
      <c r="B65" t="s">
        <v>110</v>
      </c>
      <c r="C65" s="2" t="s">
        <v>179</v>
      </c>
      <c r="D65" s="13" t="s">
        <v>180</v>
      </c>
      <c r="E65" s="13">
        <v>3</v>
      </c>
      <c r="F65" s="6">
        <v>84</v>
      </c>
      <c r="G65" s="6">
        <v>115</v>
      </c>
      <c r="H65" s="7">
        <f t="shared" si="0"/>
        <v>0.26956521739130435</v>
      </c>
    </row>
    <row r="66" spans="1:10" ht="15" customHeight="1" x14ac:dyDescent="0.25">
      <c r="A66" t="s">
        <v>8</v>
      </c>
      <c r="B66" t="s">
        <v>110</v>
      </c>
      <c r="C66" s="2" t="s">
        <v>181</v>
      </c>
      <c r="D66" s="13" t="s">
        <v>182</v>
      </c>
      <c r="E66" s="13">
        <v>1</v>
      </c>
      <c r="F66" s="6">
        <v>195</v>
      </c>
      <c r="G66" s="6">
        <v>250</v>
      </c>
      <c r="H66" s="7">
        <f t="shared" si="0"/>
        <v>0.22</v>
      </c>
    </row>
    <row r="67" spans="1:10" ht="15" customHeight="1" x14ac:dyDescent="0.25">
      <c r="A67" t="s">
        <v>8</v>
      </c>
      <c r="B67" t="s">
        <v>110</v>
      </c>
      <c r="C67" s="2" t="s">
        <v>183</v>
      </c>
      <c r="D67" s="13" t="s">
        <v>184</v>
      </c>
      <c r="E67" s="13">
        <v>5</v>
      </c>
      <c r="F67" s="6">
        <v>69</v>
      </c>
      <c r="G67" s="6">
        <v>100</v>
      </c>
      <c r="H67" s="7">
        <f t="shared" ref="H67:H150" si="7">(G67-F67)/MAX(F67,G67)</f>
        <v>0.31</v>
      </c>
    </row>
    <row r="68" spans="1:10" ht="15" customHeight="1" x14ac:dyDescent="0.25">
      <c r="A68" t="s">
        <v>8</v>
      </c>
      <c r="B68" t="s">
        <v>110</v>
      </c>
      <c r="C68" s="2" t="s">
        <v>185</v>
      </c>
      <c r="D68" s="13" t="s">
        <v>186</v>
      </c>
      <c r="E68" s="13">
        <v>5</v>
      </c>
      <c r="F68" s="6">
        <v>108</v>
      </c>
      <c r="G68" s="6">
        <v>150</v>
      </c>
      <c r="H68" s="7">
        <f t="shared" si="7"/>
        <v>0.28000000000000003</v>
      </c>
    </row>
    <row r="69" spans="1:10" ht="15" customHeight="1" x14ac:dyDescent="0.25">
      <c r="A69" t="s">
        <v>8</v>
      </c>
      <c r="B69" t="s">
        <v>110</v>
      </c>
      <c r="C69" s="2" t="s">
        <v>187</v>
      </c>
      <c r="D69" s="13" t="s">
        <v>188</v>
      </c>
      <c r="E69" s="13">
        <v>5</v>
      </c>
      <c r="F69" s="6">
        <v>69</v>
      </c>
      <c r="G69" s="6">
        <v>100</v>
      </c>
      <c r="H69" s="7">
        <f t="shared" si="7"/>
        <v>0.31</v>
      </c>
    </row>
    <row r="70" spans="1:10" ht="15" customHeight="1" x14ac:dyDescent="0.25">
      <c r="A70" t="s">
        <v>8</v>
      </c>
      <c r="B70" t="s">
        <v>25</v>
      </c>
      <c r="C70" s="2" t="s">
        <v>189</v>
      </c>
      <c r="D70" s="13" t="s">
        <v>190</v>
      </c>
      <c r="E70" s="13">
        <v>30</v>
      </c>
      <c r="F70" s="6">
        <f>69/10</f>
        <v>6.9</v>
      </c>
      <c r="G70" s="6">
        <v>10</v>
      </c>
      <c r="H70" s="7">
        <f t="shared" si="7"/>
        <v>0.30999999999999994</v>
      </c>
    </row>
    <row r="71" spans="1:10" ht="15" customHeight="1" x14ac:dyDescent="0.25">
      <c r="A71" t="s">
        <v>8</v>
      </c>
      <c r="B71" t="s">
        <v>191</v>
      </c>
      <c r="C71" s="2" t="s">
        <v>192</v>
      </c>
      <c r="D71" s="13" t="s">
        <v>193</v>
      </c>
      <c r="E71" s="13">
        <v>5</v>
      </c>
      <c r="F71" s="6">
        <v>32</v>
      </c>
      <c r="G71" s="6">
        <v>40</v>
      </c>
      <c r="H71" s="7">
        <f t="shared" si="7"/>
        <v>0.2</v>
      </c>
    </row>
    <row r="72" spans="1:10" ht="15" customHeight="1" x14ac:dyDescent="0.25">
      <c r="A72" t="s">
        <v>8</v>
      </c>
      <c r="B72" t="s">
        <v>25</v>
      </c>
      <c r="C72" s="2" t="s">
        <v>194</v>
      </c>
      <c r="D72" s="13" t="s">
        <v>195</v>
      </c>
      <c r="E72" s="13">
        <v>10</v>
      </c>
      <c r="F72" s="6">
        <f>G72*75%</f>
        <v>3.75</v>
      </c>
      <c r="G72" s="6">
        <v>5</v>
      </c>
      <c r="H72" s="7">
        <f t="shared" si="7"/>
        <v>0.25</v>
      </c>
    </row>
    <row r="73" spans="1:10" ht="15" customHeight="1" x14ac:dyDescent="0.25">
      <c r="A73" t="s">
        <v>8</v>
      </c>
      <c r="B73" t="s">
        <v>196</v>
      </c>
      <c r="C73" s="2" t="s">
        <v>197</v>
      </c>
      <c r="D73" s="13" t="s">
        <v>198</v>
      </c>
      <c r="E73" s="13">
        <v>20</v>
      </c>
      <c r="F73" s="6">
        <v>19.5</v>
      </c>
      <c r="G73" s="6">
        <v>30</v>
      </c>
      <c r="H73" s="7">
        <f t="shared" si="7"/>
        <v>0.35</v>
      </c>
    </row>
    <row r="74" spans="1:10" ht="15" customHeight="1" x14ac:dyDescent="0.25">
      <c r="A74" t="s">
        <v>8</v>
      </c>
      <c r="B74" t="s">
        <v>199</v>
      </c>
      <c r="C74" s="2" t="s">
        <v>200</v>
      </c>
      <c r="D74" s="13" t="s">
        <v>201</v>
      </c>
      <c r="E74" s="13">
        <v>100</v>
      </c>
      <c r="F74" s="6">
        <f>78/20</f>
        <v>3.9</v>
      </c>
      <c r="G74" s="6">
        <v>5</v>
      </c>
      <c r="H74" s="7">
        <f t="shared" si="7"/>
        <v>0.22000000000000003</v>
      </c>
    </row>
    <row r="75" spans="1:10" ht="15" customHeight="1" x14ac:dyDescent="0.25">
      <c r="A75" t="s">
        <v>8</v>
      </c>
      <c r="B75" t="s">
        <v>150</v>
      </c>
      <c r="C75" s="2" t="s">
        <v>202</v>
      </c>
      <c r="D75" s="13" t="s">
        <v>203</v>
      </c>
      <c r="E75" s="13">
        <v>40</v>
      </c>
      <c r="F75" s="6">
        <f>48/10</f>
        <v>4.8</v>
      </c>
      <c r="G75" s="6">
        <v>7</v>
      </c>
      <c r="H75" s="7">
        <f t="shared" si="7"/>
        <v>0.31428571428571433</v>
      </c>
    </row>
    <row r="76" spans="1:10" ht="15" customHeight="1" x14ac:dyDescent="0.25">
      <c r="A76" t="s">
        <v>8</v>
      </c>
      <c r="B76" t="s">
        <v>25</v>
      </c>
      <c r="C76" s="2" t="s">
        <v>204</v>
      </c>
      <c r="D76" s="13" t="s">
        <v>205</v>
      </c>
      <c r="E76">
        <f>20*11</f>
        <v>220</v>
      </c>
      <c r="F76" s="6">
        <f>38/20</f>
        <v>1.9</v>
      </c>
      <c r="G76" s="6">
        <v>3</v>
      </c>
      <c r="H76" s="7">
        <f t="shared" si="7"/>
        <v>0.3666666666666667</v>
      </c>
    </row>
    <row r="77" spans="1:10" ht="15" customHeight="1" x14ac:dyDescent="0.25">
      <c r="A77" t="s">
        <v>8</v>
      </c>
      <c r="B77" t="s">
        <v>150</v>
      </c>
      <c r="C77" s="2" t="s">
        <v>206</v>
      </c>
      <c r="D77" s="1" t="s">
        <v>207</v>
      </c>
      <c r="E77">
        <v>10</v>
      </c>
      <c r="F77" s="6">
        <v>48</v>
      </c>
      <c r="G77" s="6">
        <v>70</v>
      </c>
      <c r="H77" s="7">
        <f t="shared" si="7"/>
        <v>0.31428571428571428</v>
      </c>
    </row>
    <row r="78" spans="1:10" ht="15" customHeight="1" x14ac:dyDescent="0.25">
      <c r="A78" t="s">
        <v>8</v>
      </c>
      <c r="B78" t="s">
        <v>150</v>
      </c>
      <c r="C78" s="2" t="s">
        <v>208</v>
      </c>
      <c r="D78" s="13" t="s">
        <v>209</v>
      </c>
      <c r="E78">
        <v>10</v>
      </c>
      <c r="F78" s="6">
        <f>370/10</f>
        <v>37</v>
      </c>
      <c r="G78" s="6">
        <v>50</v>
      </c>
      <c r="H78" s="7">
        <f t="shared" si="7"/>
        <v>0.26</v>
      </c>
      <c r="I78" t="s">
        <v>210</v>
      </c>
      <c r="J78" t="s">
        <v>211</v>
      </c>
    </row>
    <row r="79" spans="1:10" ht="15" customHeight="1" x14ac:dyDescent="0.25">
      <c r="A79" t="s">
        <v>8</v>
      </c>
      <c r="B79" t="s">
        <v>150</v>
      </c>
      <c r="C79" s="2" t="s">
        <v>212</v>
      </c>
      <c r="D79" s="13" t="s">
        <v>213</v>
      </c>
      <c r="E79">
        <v>10</v>
      </c>
      <c r="F79" s="6">
        <v>30</v>
      </c>
      <c r="G79" s="6">
        <v>40</v>
      </c>
      <c r="H79" s="7">
        <f t="shared" si="7"/>
        <v>0.25</v>
      </c>
    </row>
    <row r="80" spans="1:10" ht="15" customHeight="1" x14ac:dyDescent="0.25">
      <c r="A80" t="s">
        <v>8</v>
      </c>
      <c r="B80" t="s">
        <v>214</v>
      </c>
      <c r="C80" s="2" t="s">
        <v>215</v>
      </c>
      <c r="D80" s="13" t="s">
        <v>216</v>
      </c>
      <c r="E80">
        <v>10</v>
      </c>
      <c r="F80" s="6">
        <f>85/10</f>
        <v>8.5</v>
      </c>
      <c r="G80" s="6">
        <v>10</v>
      </c>
      <c r="H80" s="7">
        <f t="shared" si="7"/>
        <v>0.15</v>
      </c>
    </row>
    <row r="81" spans="1:8" ht="15" customHeight="1" x14ac:dyDescent="0.25">
      <c r="A81" t="s">
        <v>8</v>
      </c>
      <c r="B81" t="s">
        <v>214</v>
      </c>
      <c r="C81" s="2" t="s">
        <v>217</v>
      </c>
      <c r="D81" s="13" t="s">
        <v>218</v>
      </c>
      <c r="E81">
        <v>10</v>
      </c>
      <c r="F81" s="6">
        <v>3.6</v>
      </c>
      <c r="G81" s="6">
        <v>5</v>
      </c>
      <c r="H81" s="7">
        <f t="shared" si="7"/>
        <v>0.27999999999999997</v>
      </c>
    </row>
    <row r="82" spans="1:8" ht="15" customHeight="1" x14ac:dyDescent="0.25">
      <c r="A82" t="s">
        <v>8</v>
      </c>
      <c r="B82" t="s">
        <v>214</v>
      </c>
      <c r="C82" s="2" t="s">
        <v>219</v>
      </c>
      <c r="D82" s="13" t="s">
        <v>220</v>
      </c>
      <c r="E82">
        <v>21</v>
      </c>
      <c r="F82" s="6">
        <v>7.5</v>
      </c>
      <c r="G82" s="6">
        <v>10</v>
      </c>
      <c r="H82" s="7">
        <f t="shared" si="7"/>
        <v>0.25</v>
      </c>
    </row>
    <row r="83" spans="1:8" ht="15" customHeight="1" x14ac:dyDescent="0.25">
      <c r="A83" t="s">
        <v>8</v>
      </c>
      <c r="B83" t="s">
        <v>50</v>
      </c>
      <c r="C83" s="2" t="s">
        <v>221</v>
      </c>
      <c r="D83" s="13" t="s">
        <v>222</v>
      </c>
      <c r="E83">
        <v>40</v>
      </c>
      <c r="F83" s="6">
        <v>3.9</v>
      </c>
      <c r="G83" s="6">
        <v>5</v>
      </c>
      <c r="H83" s="7">
        <f t="shared" si="7"/>
        <v>0.22000000000000003</v>
      </c>
    </row>
    <row r="84" spans="1:8" ht="15" customHeight="1" x14ac:dyDescent="0.25">
      <c r="A84" t="s">
        <v>8</v>
      </c>
      <c r="B84" t="s">
        <v>223</v>
      </c>
      <c r="C84" s="2" t="s">
        <v>224</v>
      </c>
      <c r="D84" s="13" t="s">
        <v>225</v>
      </c>
      <c r="E84">
        <v>20</v>
      </c>
      <c r="F84" s="6">
        <f>198/20</f>
        <v>9.9</v>
      </c>
      <c r="G84" s="6">
        <v>15</v>
      </c>
      <c r="H84" s="7">
        <f t="shared" si="7"/>
        <v>0.33999999999999997</v>
      </c>
    </row>
    <row r="85" spans="1:8" ht="15" customHeight="1" x14ac:dyDescent="0.25">
      <c r="A85" t="s">
        <v>8</v>
      </c>
      <c r="B85" t="s">
        <v>226</v>
      </c>
      <c r="C85" s="2" t="s">
        <v>227</v>
      </c>
      <c r="D85" s="13" t="s">
        <v>228</v>
      </c>
      <c r="E85">
        <v>4</v>
      </c>
      <c r="F85" s="6">
        <v>46.5</v>
      </c>
      <c r="G85" s="6">
        <v>70</v>
      </c>
      <c r="H85" s="7">
        <f t="shared" si="7"/>
        <v>0.33571428571428569</v>
      </c>
    </row>
    <row r="86" spans="1:8" ht="15" customHeight="1" x14ac:dyDescent="0.25">
      <c r="A86" t="s">
        <v>8</v>
      </c>
      <c r="B86" t="s">
        <v>226</v>
      </c>
      <c r="C86" s="2" t="s">
        <v>229</v>
      </c>
      <c r="D86" s="13" t="s">
        <v>230</v>
      </c>
      <c r="E86">
        <v>2</v>
      </c>
      <c r="F86" s="6">
        <v>130</v>
      </c>
      <c r="G86" s="6">
        <v>180</v>
      </c>
      <c r="H86" s="7">
        <f t="shared" si="7"/>
        <v>0.27777777777777779</v>
      </c>
    </row>
    <row r="87" spans="1:8" ht="15" customHeight="1" x14ac:dyDescent="0.25">
      <c r="A87" t="s">
        <v>8</v>
      </c>
      <c r="B87" t="s">
        <v>50</v>
      </c>
      <c r="C87" s="2" t="s">
        <v>231</v>
      </c>
      <c r="D87" s="13" t="s">
        <v>232</v>
      </c>
      <c r="E87">
        <v>100</v>
      </c>
      <c r="F87" s="6">
        <f>48/20</f>
        <v>2.4</v>
      </c>
      <c r="G87" s="6">
        <v>3</v>
      </c>
      <c r="H87" s="7">
        <f t="shared" si="7"/>
        <v>0.20000000000000004</v>
      </c>
    </row>
    <row r="88" spans="1:8" ht="15" customHeight="1" x14ac:dyDescent="0.25">
      <c r="A88" t="s">
        <v>8</v>
      </c>
      <c r="B88" t="s">
        <v>233</v>
      </c>
      <c r="C88" s="2" t="s">
        <v>234</v>
      </c>
      <c r="D88" s="13" t="s">
        <v>235</v>
      </c>
      <c r="E88" s="13">
        <v>50</v>
      </c>
      <c r="F88" s="6">
        <v>14.5</v>
      </c>
      <c r="G88" s="6">
        <v>20</v>
      </c>
      <c r="H88" s="7">
        <f t="shared" si="7"/>
        <v>0.27500000000000002</v>
      </c>
    </row>
    <row r="89" spans="1:8" ht="15" customHeight="1" x14ac:dyDescent="0.25">
      <c r="A89" t="s">
        <v>8</v>
      </c>
      <c r="B89" t="s">
        <v>236</v>
      </c>
      <c r="C89" s="2" t="s">
        <v>237</v>
      </c>
      <c r="D89" s="13" t="s">
        <v>238</v>
      </c>
      <c r="E89" s="13">
        <v>5</v>
      </c>
      <c r="F89" s="6">
        <v>32</v>
      </c>
      <c r="G89" s="6">
        <v>45</v>
      </c>
      <c r="H89" s="7">
        <f t="shared" si="7"/>
        <v>0.28888888888888886</v>
      </c>
    </row>
    <row r="90" spans="1:8" ht="15" customHeight="1" x14ac:dyDescent="0.25">
      <c r="A90" t="s">
        <v>8</v>
      </c>
      <c r="B90" t="s">
        <v>223</v>
      </c>
      <c r="C90" s="2" t="s">
        <v>239</v>
      </c>
      <c r="D90" s="13" t="s">
        <v>240</v>
      </c>
      <c r="E90" s="13">
        <v>100</v>
      </c>
      <c r="F90" s="6">
        <f>90/20</f>
        <v>4.5</v>
      </c>
      <c r="G90" s="6">
        <v>7</v>
      </c>
      <c r="H90" s="7">
        <f t="shared" si="7"/>
        <v>0.35714285714285715</v>
      </c>
    </row>
    <row r="91" spans="1:8" ht="15" customHeight="1" x14ac:dyDescent="0.25">
      <c r="A91" t="s">
        <v>8</v>
      </c>
      <c r="B91" t="s">
        <v>77</v>
      </c>
      <c r="C91" s="2" t="s">
        <v>241</v>
      </c>
      <c r="D91" s="13" t="s">
        <v>242</v>
      </c>
      <c r="E91" s="13">
        <v>12</v>
      </c>
      <c r="F91" s="6">
        <v>12.5</v>
      </c>
      <c r="G91" s="6">
        <v>20</v>
      </c>
      <c r="H91" s="7">
        <f t="shared" si="7"/>
        <v>0.375</v>
      </c>
    </row>
    <row r="92" spans="1:8" ht="15" customHeight="1" x14ac:dyDescent="0.25">
      <c r="A92" t="s">
        <v>8</v>
      </c>
      <c r="B92" t="s">
        <v>150</v>
      </c>
      <c r="C92" s="2" t="s">
        <v>243</v>
      </c>
      <c r="D92" s="13" t="s">
        <v>244</v>
      </c>
      <c r="E92" s="13">
        <v>20</v>
      </c>
      <c r="F92" s="6">
        <f>39.5/10</f>
        <v>3.95</v>
      </c>
      <c r="G92" s="6">
        <v>5</v>
      </c>
      <c r="H92" s="7">
        <f t="shared" si="7"/>
        <v>0.20999999999999996</v>
      </c>
    </row>
    <row r="93" spans="1:8" ht="15" customHeight="1" x14ac:dyDescent="0.25">
      <c r="A93" t="s">
        <v>8</v>
      </c>
      <c r="B93" t="s">
        <v>150</v>
      </c>
      <c r="C93" s="2" t="s">
        <v>245</v>
      </c>
      <c r="D93" s="13" t="s">
        <v>246</v>
      </c>
      <c r="E93" s="13">
        <v>20</v>
      </c>
      <c r="F93" s="6">
        <f>39.5/10</f>
        <v>3.95</v>
      </c>
      <c r="G93" s="6">
        <v>5</v>
      </c>
      <c r="H93" s="7">
        <f t="shared" si="7"/>
        <v>0.20999999999999996</v>
      </c>
    </row>
    <row r="94" spans="1:8" ht="15" customHeight="1" x14ac:dyDescent="0.25">
      <c r="A94" t="s">
        <v>8</v>
      </c>
      <c r="B94" t="s">
        <v>247</v>
      </c>
      <c r="C94" s="2" t="s">
        <v>248</v>
      </c>
      <c r="D94" s="13" t="s">
        <v>249</v>
      </c>
      <c r="E94" s="13">
        <v>12</v>
      </c>
      <c r="F94" s="6">
        <v>27</v>
      </c>
      <c r="G94" s="17">
        <v>35</v>
      </c>
      <c r="H94" s="7">
        <f t="shared" si="7"/>
        <v>0.22857142857142856</v>
      </c>
    </row>
    <row r="95" spans="1:8" ht="15" customHeight="1" x14ac:dyDescent="0.25">
      <c r="A95" t="s">
        <v>8</v>
      </c>
      <c r="B95" t="s">
        <v>247</v>
      </c>
      <c r="C95" s="2" t="s">
        <v>250</v>
      </c>
      <c r="D95" s="13" t="s">
        <v>251</v>
      </c>
      <c r="E95" s="13">
        <v>6</v>
      </c>
      <c r="F95" s="6">
        <v>54</v>
      </c>
      <c r="G95" s="17">
        <v>70</v>
      </c>
      <c r="H95" s="7">
        <f t="shared" si="7"/>
        <v>0.22857142857142856</v>
      </c>
    </row>
    <row r="96" spans="1:8" ht="15" customHeight="1" x14ac:dyDescent="0.25">
      <c r="A96" t="s">
        <v>8</v>
      </c>
      <c r="B96" t="s">
        <v>247</v>
      </c>
      <c r="C96" s="2" t="s">
        <v>252</v>
      </c>
      <c r="D96" s="13" t="s">
        <v>253</v>
      </c>
      <c r="E96" s="13">
        <v>6</v>
      </c>
      <c r="F96" s="6">
        <v>18</v>
      </c>
      <c r="G96" s="17">
        <v>25</v>
      </c>
      <c r="H96" s="7">
        <f t="shared" si="7"/>
        <v>0.28000000000000003</v>
      </c>
    </row>
    <row r="97" spans="1:8" ht="15" customHeight="1" x14ac:dyDescent="0.25">
      <c r="A97" t="s">
        <v>8</v>
      </c>
      <c r="B97" t="s">
        <v>247</v>
      </c>
      <c r="C97" s="2" t="s">
        <v>254</v>
      </c>
      <c r="D97" s="13" t="s">
        <v>255</v>
      </c>
      <c r="E97" s="13">
        <v>6</v>
      </c>
      <c r="F97" s="6">
        <v>39</v>
      </c>
      <c r="G97" s="17">
        <v>50</v>
      </c>
      <c r="H97" s="7">
        <f t="shared" si="7"/>
        <v>0.22</v>
      </c>
    </row>
    <row r="98" spans="1:8" ht="15" customHeight="1" x14ac:dyDescent="0.25">
      <c r="A98" t="s">
        <v>8</v>
      </c>
      <c r="B98" t="s">
        <v>247</v>
      </c>
      <c r="C98" s="2"/>
      <c r="D98" s="13" t="s">
        <v>256</v>
      </c>
      <c r="E98" s="13">
        <v>7</v>
      </c>
      <c r="F98" s="6">
        <v>12.5</v>
      </c>
      <c r="G98" s="6">
        <v>16</v>
      </c>
      <c r="H98" s="7">
        <f t="shared" si="7"/>
        <v>0.21875</v>
      </c>
    </row>
    <row r="99" spans="1:8" ht="15" customHeight="1" x14ac:dyDescent="0.25">
      <c r="A99" t="s">
        <v>8</v>
      </c>
      <c r="B99" t="s">
        <v>257</v>
      </c>
      <c r="C99" s="2"/>
      <c r="D99" s="13" t="s">
        <v>258</v>
      </c>
      <c r="E99" s="13">
        <v>11</v>
      </c>
      <c r="F99" s="6">
        <v>35</v>
      </c>
      <c r="G99" s="6">
        <v>45</v>
      </c>
      <c r="H99" s="7">
        <f t="shared" si="7"/>
        <v>0.22222222222222221</v>
      </c>
    </row>
    <row r="100" spans="1:8" ht="15" customHeight="1" x14ac:dyDescent="0.25">
      <c r="A100" t="s">
        <v>8</v>
      </c>
      <c r="B100" t="s">
        <v>259</v>
      </c>
      <c r="C100" s="2"/>
      <c r="D100" s="13" t="s">
        <v>260</v>
      </c>
      <c r="E100" s="13">
        <v>7</v>
      </c>
      <c r="F100" s="6">
        <v>16.5</v>
      </c>
      <c r="G100" s="17">
        <v>20</v>
      </c>
      <c r="H100" s="7">
        <f t="shared" si="7"/>
        <v>0.17499999999999999</v>
      </c>
    </row>
    <row r="101" spans="1:8" ht="15" customHeight="1" x14ac:dyDescent="0.25">
      <c r="A101" t="s">
        <v>8</v>
      </c>
      <c r="B101" t="s">
        <v>259</v>
      </c>
      <c r="C101" s="2" t="s">
        <v>261</v>
      </c>
      <c r="D101" s="13" t="s">
        <v>259</v>
      </c>
      <c r="E101" s="13">
        <v>8</v>
      </c>
      <c r="F101" s="6">
        <v>16.5</v>
      </c>
      <c r="G101" s="17">
        <v>20</v>
      </c>
      <c r="H101" s="7">
        <f t="shared" si="7"/>
        <v>0.17499999999999999</v>
      </c>
    </row>
    <row r="102" spans="1:8" ht="15" customHeight="1" x14ac:dyDescent="0.25">
      <c r="A102" t="s">
        <v>8</v>
      </c>
      <c r="B102" t="s">
        <v>75</v>
      </c>
      <c r="C102" s="2"/>
      <c r="D102" s="13" t="s">
        <v>262</v>
      </c>
      <c r="E102" s="13">
        <v>12</v>
      </c>
      <c r="F102" s="6">
        <f>78/12</f>
        <v>6.5</v>
      </c>
      <c r="G102" s="6">
        <v>10</v>
      </c>
      <c r="H102" s="7">
        <f t="shared" si="7"/>
        <v>0.35</v>
      </c>
    </row>
    <row r="103" spans="1:8" ht="15" customHeight="1" x14ac:dyDescent="0.25">
      <c r="A103" t="s">
        <v>8</v>
      </c>
      <c r="B103" t="s">
        <v>263</v>
      </c>
      <c r="C103" s="2" t="s">
        <v>264</v>
      </c>
      <c r="D103" s="13" t="s">
        <v>265</v>
      </c>
      <c r="E103" s="13">
        <v>2</v>
      </c>
      <c r="F103" s="6">
        <v>27</v>
      </c>
      <c r="G103" s="17">
        <v>65</v>
      </c>
      <c r="H103" s="7">
        <f t="shared" si="7"/>
        <v>0.58461538461538465</v>
      </c>
    </row>
    <row r="104" spans="1:8" ht="15" customHeight="1" x14ac:dyDescent="0.25">
      <c r="A104" t="s">
        <v>8</v>
      </c>
      <c r="B104" t="s">
        <v>263</v>
      </c>
      <c r="C104" s="2" t="s">
        <v>266</v>
      </c>
      <c r="D104" s="13" t="s">
        <v>267</v>
      </c>
      <c r="E104" s="13">
        <v>1</v>
      </c>
      <c r="F104" s="6">
        <v>45</v>
      </c>
      <c r="G104" s="17">
        <v>65</v>
      </c>
      <c r="H104" s="7">
        <f t="shared" si="7"/>
        <v>0.30769230769230771</v>
      </c>
    </row>
    <row r="105" spans="1:8" ht="15" customHeight="1" x14ac:dyDescent="0.25">
      <c r="A105" t="s">
        <v>8</v>
      </c>
      <c r="B105" t="s">
        <v>268</v>
      </c>
      <c r="C105" s="2"/>
      <c r="D105" s="13" t="s">
        <v>269</v>
      </c>
      <c r="E105" s="13">
        <v>1</v>
      </c>
      <c r="F105" s="6">
        <v>69</v>
      </c>
      <c r="G105" s="6">
        <v>180</v>
      </c>
      <c r="H105" s="7">
        <f t="shared" si="7"/>
        <v>0.6166666666666667</v>
      </c>
    </row>
    <row r="106" spans="1:8" ht="15" customHeight="1" x14ac:dyDescent="0.25">
      <c r="A106" t="s">
        <v>8</v>
      </c>
      <c r="B106" t="s">
        <v>268</v>
      </c>
      <c r="C106" s="2"/>
      <c r="D106" s="13" t="s">
        <v>270</v>
      </c>
      <c r="E106" s="13">
        <v>18</v>
      </c>
      <c r="F106" s="6">
        <f>69/18</f>
        <v>3.8333333333333335</v>
      </c>
      <c r="G106" s="6">
        <v>10</v>
      </c>
      <c r="H106" s="7">
        <f t="shared" si="7"/>
        <v>0.61666666666666659</v>
      </c>
    </row>
    <row r="107" spans="1:8" ht="15" customHeight="1" x14ac:dyDescent="0.25">
      <c r="A107" t="s">
        <v>8</v>
      </c>
      <c r="B107" t="s">
        <v>25</v>
      </c>
      <c r="C107" s="2" t="s">
        <v>271</v>
      </c>
      <c r="D107" s="13" t="s">
        <v>272</v>
      </c>
      <c r="E107" s="13">
        <v>1</v>
      </c>
      <c r="F107" s="6">
        <v>420</v>
      </c>
      <c r="G107" s="6">
        <v>525</v>
      </c>
      <c r="H107" s="7">
        <f t="shared" si="7"/>
        <v>0.2</v>
      </c>
    </row>
    <row r="108" spans="1:8" ht="15" customHeight="1" x14ac:dyDescent="0.25">
      <c r="A108" t="s">
        <v>8</v>
      </c>
      <c r="B108" t="s">
        <v>25</v>
      </c>
      <c r="C108" s="2" t="s">
        <v>273</v>
      </c>
      <c r="D108" s="13" t="s">
        <v>274</v>
      </c>
      <c r="E108" s="13">
        <v>1</v>
      </c>
      <c r="F108" s="6">
        <v>320</v>
      </c>
      <c r="G108" s="6">
        <v>400</v>
      </c>
      <c r="H108" s="7">
        <f t="shared" si="7"/>
        <v>0.2</v>
      </c>
    </row>
    <row r="109" spans="1:8" ht="15" customHeight="1" x14ac:dyDescent="0.25">
      <c r="A109" t="s">
        <v>8</v>
      </c>
      <c r="B109" t="s">
        <v>25</v>
      </c>
      <c r="C109" s="2" t="s">
        <v>275</v>
      </c>
      <c r="D109" s="13" t="s">
        <v>276</v>
      </c>
      <c r="E109" s="13">
        <v>1</v>
      </c>
      <c r="F109" s="6">
        <v>140</v>
      </c>
      <c r="G109" s="6">
        <v>175</v>
      </c>
      <c r="H109" s="7">
        <f t="shared" si="7"/>
        <v>0.2</v>
      </c>
    </row>
    <row r="110" spans="1:8" ht="15" customHeight="1" x14ac:dyDescent="0.25">
      <c r="A110" t="s">
        <v>8</v>
      </c>
      <c r="B110" t="s">
        <v>25</v>
      </c>
      <c r="C110" s="2" t="s">
        <v>277</v>
      </c>
      <c r="D110" s="13" t="s">
        <v>278</v>
      </c>
      <c r="E110" s="13">
        <v>1</v>
      </c>
      <c r="F110" s="6">
        <v>80</v>
      </c>
      <c r="G110" s="6">
        <v>100</v>
      </c>
      <c r="H110" s="7">
        <f t="shared" si="7"/>
        <v>0.2</v>
      </c>
    </row>
    <row r="111" spans="1:8" ht="15" customHeight="1" x14ac:dyDescent="0.25">
      <c r="A111" t="s">
        <v>8</v>
      </c>
      <c r="B111" t="s">
        <v>25</v>
      </c>
      <c r="C111" s="2" t="s">
        <v>279</v>
      </c>
      <c r="D111" s="13" t="s">
        <v>278</v>
      </c>
      <c r="E111" s="13">
        <v>1</v>
      </c>
      <c r="F111" s="6">
        <v>80</v>
      </c>
      <c r="G111" s="6">
        <v>100</v>
      </c>
      <c r="H111" s="7">
        <f t="shared" si="7"/>
        <v>0.2</v>
      </c>
    </row>
    <row r="112" spans="1:8" ht="15" customHeight="1" x14ac:dyDescent="0.25">
      <c r="A112" t="s">
        <v>8</v>
      </c>
      <c r="B112" t="s">
        <v>280</v>
      </c>
      <c r="C112" s="2" t="s">
        <v>281</v>
      </c>
      <c r="D112" s="13" t="s">
        <v>282</v>
      </c>
      <c r="E112" s="13">
        <v>1</v>
      </c>
      <c r="F112" s="6">
        <v>24</v>
      </c>
      <c r="G112" s="6">
        <v>35</v>
      </c>
      <c r="H112" s="7">
        <f t="shared" si="7"/>
        <v>0.31428571428571428</v>
      </c>
    </row>
    <row r="113" spans="1:8" ht="15" customHeight="1" x14ac:dyDescent="0.25">
      <c r="A113" t="s">
        <v>8</v>
      </c>
      <c r="B113" t="s">
        <v>263</v>
      </c>
      <c r="C113" s="2" t="s">
        <v>283</v>
      </c>
      <c r="D113" s="13" t="s">
        <v>284</v>
      </c>
      <c r="E113" s="13">
        <v>1</v>
      </c>
      <c r="F113" s="6">
        <v>120</v>
      </c>
      <c r="G113" s="6">
        <v>175</v>
      </c>
      <c r="H113" s="7">
        <f t="shared" si="7"/>
        <v>0.31428571428571428</v>
      </c>
    </row>
    <row r="114" spans="1:8" ht="15" customHeight="1" x14ac:dyDescent="0.25">
      <c r="A114" t="s">
        <v>8</v>
      </c>
      <c r="B114" t="s">
        <v>113</v>
      </c>
      <c r="C114" s="2"/>
      <c r="D114" s="13" t="s">
        <v>285</v>
      </c>
      <c r="E114" s="13">
        <v>1</v>
      </c>
      <c r="F114" s="6">
        <v>36.5</v>
      </c>
      <c r="G114" s="6">
        <v>60</v>
      </c>
      <c r="H114" s="7">
        <f t="shared" si="7"/>
        <v>0.39166666666666666</v>
      </c>
    </row>
    <row r="115" spans="1:8" ht="15" customHeight="1" x14ac:dyDescent="0.25">
      <c r="A115" t="s">
        <v>8</v>
      </c>
      <c r="B115" t="s">
        <v>113</v>
      </c>
      <c r="C115" s="2"/>
      <c r="D115" s="13" t="s">
        <v>286</v>
      </c>
      <c r="E115" s="13">
        <v>2</v>
      </c>
      <c r="F115" s="6">
        <v>21</v>
      </c>
      <c r="G115" s="6">
        <v>30</v>
      </c>
      <c r="H115" s="7">
        <f t="shared" si="7"/>
        <v>0.3</v>
      </c>
    </row>
    <row r="116" spans="1:8" ht="15" customHeight="1" x14ac:dyDescent="0.25">
      <c r="A116" t="s">
        <v>8</v>
      </c>
      <c r="B116" t="s">
        <v>113</v>
      </c>
      <c r="C116" s="18"/>
      <c r="D116" s="13" t="s">
        <v>287</v>
      </c>
      <c r="E116" s="13">
        <v>3</v>
      </c>
      <c r="F116" s="6">
        <v>10.5</v>
      </c>
      <c r="G116" s="6">
        <v>20</v>
      </c>
      <c r="H116" s="7">
        <f t="shared" si="7"/>
        <v>0.47499999999999998</v>
      </c>
    </row>
    <row r="117" spans="1:8" ht="15" customHeight="1" x14ac:dyDescent="0.25">
      <c r="A117" t="s">
        <v>8</v>
      </c>
      <c r="B117" t="s">
        <v>288</v>
      </c>
      <c r="C117" s="18" t="s">
        <v>289</v>
      </c>
      <c r="D117" s="13" t="s">
        <v>290</v>
      </c>
      <c r="E117" s="13">
        <v>5</v>
      </c>
      <c r="F117" s="6">
        <v>24</v>
      </c>
      <c r="G117" s="6">
        <v>35</v>
      </c>
      <c r="H117" s="7">
        <f t="shared" si="7"/>
        <v>0.31428571428571428</v>
      </c>
    </row>
    <row r="118" spans="1:8" ht="15" customHeight="1" x14ac:dyDescent="0.25">
      <c r="A118" t="s">
        <v>8</v>
      </c>
      <c r="B118" t="s">
        <v>291</v>
      </c>
      <c r="C118" s="18" t="s">
        <v>292</v>
      </c>
      <c r="D118" s="13" t="s">
        <v>293</v>
      </c>
      <c r="E118" s="13">
        <v>4</v>
      </c>
      <c r="F118" s="6">
        <v>48</v>
      </c>
      <c r="G118" s="6">
        <v>60</v>
      </c>
      <c r="H118" s="7">
        <f t="shared" si="7"/>
        <v>0.2</v>
      </c>
    </row>
    <row r="119" spans="1:8" ht="15" customHeight="1" x14ac:dyDescent="0.25">
      <c r="A119" t="s">
        <v>8</v>
      </c>
      <c r="B119" t="s">
        <v>294</v>
      </c>
      <c r="C119" s="18"/>
      <c r="D119" s="13" t="s">
        <v>295</v>
      </c>
      <c r="E119" s="13">
        <v>30</v>
      </c>
      <c r="F119" s="6">
        <f>45/10</f>
        <v>4.5</v>
      </c>
      <c r="G119" s="6">
        <v>8</v>
      </c>
      <c r="H119" s="7">
        <f t="shared" si="7"/>
        <v>0.4375</v>
      </c>
    </row>
    <row r="120" spans="1:8" ht="15" customHeight="1" x14ac:dyDescent="0.25">
      <c r="A120" t="s">
        <v>8</v>
      </c>
      <c r="B120" t="s">
        <v>296</v>
      </c>
      <c r="C120" s="18"/>
      <c r="D120" s="13" t="s">
        <v>297</v>
      </c>
      <c r="E120" s="13">
        <v>1</v>
      </c>
      <c r="F120" s="6">
        <v>65</v>
      </c>
      <c r="G120" s="17">
        <v>120</v>
      </c>
      <c r="H120" s="7">
        <f t="shared" si="7"/>
        <v>0.45833333333333331</v>
      </c>
    </row>
    <row r="121" spans="1:8" ht="15" customHeight="1" x14ac:dyDescent="0.25">
      <c r="A121" t="s">
        <v>8</v>
      </c>
      <c r="B121" t="s">
        <v>88</v>
      </c>
      <c r="C121" s="18"/>
      <c r="D121" s="13" t="s">
        <v>298</v>
      </c>
      <c r="E121" s="13">
        <v>1</v>
      </c>
      <c r="F121" s="6">
        <v>190</v>
      </c>
      <c r="G121" s="6">
        <v>275</v>
      </c>
      <c r="H121" s="7">
        <f t="shared" si="7"/>
        <v>0.30909090909090908</v>
      </c>
    </row>
    <row r="122" spans="1:8" ht="15" customHeight="1" x14ac:dyDescent="0.25">
      <c r="A122" t="s">
        <v>8</v>
      </c>
      <c r="B122" t="s">
        <v>88</v>
      </c>
      <c r="C122" s="18"/>
      <c r="D122" s="13" t="s">
        <v>299</v>
      </c>
      <c r="E122" s="13">
        <v>1</v>
      </c>
      <c r="F122" s="6">
        <v>190</v>
      </c>
      <c r="G122" s="6">
        <v>275</v>
      </c>
      <c r="H122" s="7">
        <f t="shared" si="7"/>
        <v>0.30909090909090908</v>
      </c>
    </row>
    <row r="123" spans="1:8" ht="15" customHeight="1" x14ac:dyDescent="0.25">
      <c r="A123" t="s">
        <v>8</v>
      </c>
      <c r="B123" t="s">
        <v>263</v>
      </c>
      <c r="C123" s="18" t="s">
        <v>300</v>
      </c>
      <c r="D123" s="1" t="s">
        <v>301</v>
      </c>
      <c r="E123" s="13">
        <v>1</v>
      </c>
      <c r="F123" s="6">
        <v>40</v>
      </c>
      <c r="G123" s="6">
        <v>50</v>
      </c>
      <c r="H123" s="7">
        <f t="shared" si="7"/>
        <v>0.2</v>
      </c>
    </row>
    <row r="124" spans="1:8" ht="15" customHeight="1" x14ac:dyDescent="0.25">
      <c r="A124" t="s">
        <v>8</v>
      </c>
      <c r="B124" t="s">
        <v>263</v>
      </c>
      <c r="C124" s="18" t="s">
        <v>302</v>
      </c>
      <c r="D124" s="13" t="s">
        <v>303</v>
      </c>
      <c r="E124" s="13">
        <v>3</v>
      </c>
      <c r="F124" s="6">
        <v>176</v>
      </c>
      <c r="G124" s="6">
        <v>220</v>
      </c>
      <c r="H124" s="7">
        <f t="shared" si="7"/>
        <v>0.2</v>
      </c>
    </row>
    <row r="125" spans="1:8" ht="15" customHeight="1" x14ac:dyDescent="0.25">
      <c r="A125" t="s">
        <v>8</v>
      </c>
      <c r="B125" t="s">
        <v>50</v>
      </c>
      <c r="C125" s="18"/>
      <c r="D125" s="13" t="s">
        <v>51</v>
      </c>
      <c r="E125" s="13">
        <v>10</v>
      </c>
      <c r="F125" s="6">
        <v>7.5</v>
      </c>
      <c r="G125" s="6">
        <v>10</v>
      </c>
      <c r="H125" s="7">
        <f t="shared" si="7"/>
        <v>0.25</v>
      </c>
    </row>
    <row r="126" spans="1:8" ht="15" customHeight="1" x14ac:dyDescent="0.25">
      <c r="A126" t="s">
        <v>8</v>
      </c>
      <c r="B126" t="s">
        <v>25</v>
      </c>
      <c r="C126" s="19" t="s">
        <v>304</v>
      </c>
      <c r="D126" s="13" t="s">
        <v>305</v>
      </c>
      <c r="E126" s="13">
        <v>2</v>
      </c>
      <c r="F126" s="6">
        <v>48</v>
      </c>
      <c r="G126" s="6">
        <v>60</v>
      </c>
      <c r="H126" s="7">
        <f t="shared" si="7"/>
        <v>0.2</v>
      </c>
    </row>
    <row r="127" spans="1:8" ht="15" customHeight="1" x14ac:dyDescent="0.25">
      <c r="A127" t="s">
        <v>8</v>
      </c>
      <c r="B127" t="s">
        <v>113</v>
      </c>
      <c r="D127" s="13" t="s">
        <v>306</v>
      </c>
      <c r="E127" s="13">
        <v>50</v>
      </c>
      <c r="F127" s="6">
        <v>11.5</v>
      </c>
      <c r="G127" s="6">
        <v>25</v>
      </c>
      <c r="H127" s="7">
        <f t="shared" si="7"/>
        <v>0.54</v>
      </c>
    </row>
    <row r="128" spans="1:8" ht="15" customHeight="1" x14ac:dyDescent="0.25">
      <c r="A128" t="s">
        <v>8</v>
      </c>
      <c r="B128" t="s">
        <v>54</v>
      </c>
      <c r="C128" s="19" t="s">
        <v>307</v>
      </c>
      <c r="D128" s="13" t="s">
        <v>308</v>
      </c>
      <c r="E128" s="13">
        <v>24</v>
      </c>
      <c r="F128" s="6">
        <v>10.5</v>
      </c>
      <c r="G128" s="6">
        <v>15</v>
      </c>
      <c r="H128" s="7">
        <f t="shared" si="7"/>
        <v>0.3</v>
      </c>
    </row>
    <row r="129" spans="1:8" ht="15" customHeight="1" x14ac:dyDescent="0.25">
      <c r="A129" t="s">
        <v>8</v>
      </c>
      <c r="B129" t="s">
        <v>54</v>
      </c>
      <c r="C129" s="19" t="s">
        <v>309</v>
      </c>
      <c r="D129" s="13" t="s">
        <v>310</v>
      </c>
      <c r="E129" s="13">
        <v>48</v>
      </c>
      <c r="F129" s="6">
        <v>11.25</v>
      </c>
      <c r="G129" s="6">
        <v>15</v>
      </c>
      <c r="H129" s="7">
        <f t="shared" si="7"/>
        <v>0.25</v>
      </c>
    </row>
    <row r="130" spans="1:8" ht="15" customHeight="1" x14ac:dyDescent="0.25">
      <c r="A130" t="s">
        <v>8</v>
      </c>
      <c r="B130" t="s">
        <v>54</v>
      </c>
      <c r="C130" s="19" t="s">
        <v>311</v>
      </c>
      <c r="D130" s="13" t="s">
        <v>312</v>
      </c>
      <c r="E130" s="13">
        <v>10</v>
      </c>
      <c r="F130" s="6">
        <v>14</v>
      </c>
      <c r="G130" s="6">
        <v>20</v>
      </c>
      <c r="H130" s="7">
        <f t="shared" si="7"/>
        <v>0.3</v>
      </c>
    </row>
    <row r="131" spans="1:8" ht="15" customHeight="1" x14ac:dyDescent="0.25">
      <c r="A131" t="s">
        <v>8</v>
      </c>
      <c r="B131" t="s">
        <v>54</v>
      </c>
      <c r="C131" s="19" t="s">
        <v>313</v>
      </c>
      <c r="D131" s="13" t="s">
        <v>314</v>
      </c>
      <c r="E131" s="13">
        <v>52</v>
      </c>
      <c r="F131" s="6">
        <v>14</v>
      </c>
      <c r="G131" s="6">
        <v>20</v>
      </c>
      <c r="H131" s="7">
        <f t="shared" si="7"/>
        <v>0.3</v>
      </c>
    </row>
    <row r="132" spans="1:8" ht="15" customHeight="1" x14ac:dyDescent="0.25">
      <c r="A132" t="s">
        <v>8</v>
      </c>
      <c r="B132" t="s">
        <v>54</v>
      </c>
      <c r="C132" s="19" t="s">
        <v>315</v>
      </c>
      <c r="D132" s="13" t="s">
        <v>316</v>
      </c>
      <c r="E132" s="13">
        <v>50</v>
      </c>
      <c r="F132" s="6">
        <v>14.5</v>
      </c>
      <c r="G132" s="6">
        <v>20</v>
      </c>
      <c r="H132" s="7">
        <f t="shared" si="7"/>
        <v>0.27500000000000002</v>
      </c>
    </row>
    <row r="133" spans="1:8" ht="15" customHeight="1" x14ac:dyDescent="0.25">
      <c r="A133" t="s">
        <v>8</v>
      </c>
      <c r="B133" t="s">
        <v>54</v>
      </c>
      <c r="C133" s="19" t="s">
        <v>317</v>
      </c>
      <c r="D133" s="13" t="s">
        <v>318</v>
      </c>
      <c r="E133" s="13">
        <v>240</v>
      </c>
      <c r="F133" s="6">
        <v>28</v>
      </c>
      <c r="G133" s="6">
        <v>40</v>
      </c>
      <c r="H133" s="7">
        <f t="shared" si="7"/>
        <v>0.3</v>
      </c>
    </row>
    <row r="134" spans="1:8" ht="15" customHeight="1" x14ac:dyDescent="0.25">
      <c r="A134" t="s">
        <v>8</v>
      </c>
      <c r="B134" t="s">
        <v>54</v>
      </c>
      <c r="C134" s="19" t="s">
        <v>319</v>
      </c>
      <c r="D134" s="13" t="s">
        <v>320</v>
      </c>
      <c r="E134" s="13">
        <v>192</v>
      </c>
      <c r="F134" s="6">
        <v>31.5</v>
      </c>
      <c r="G134" s="6">
        <v>45</v>
      </c>
      <c r="H134" s="7">
        <f t="shared" si="7"/>
        <v>0.3</v>
      </c>
    </row>
    <row r="135" spans="1:8" x14ac:dyDescent="0.25">
      <c r="A135" t="s">
        <v>58</v>
      </c>
      <c r="B135" t="s">
        <v>321</v>
      </c>
      <c r="D135" s="13" t="s">
        <v>322</v>
      </c>
      <c r="E135" s="13">
        <v>12</v>
      </c>
      <c r="F135" s="6">
        <v>9.5</v>
      </c>
      <c r="G135" s="6">
        <v>12</v>
      </c>
      <c r="H135" s="7">
        <f t="shared" si="7"/>
        <v>0.20833333333333334</v>
      </c>
    </row>
    <row r="136" spans="1:8" x14ac:dyDescent="0.25">
      <c r="A136" t="s">
        <v>58</v>
      </c>
      <c r="B136" t="s">
        <v>321</v>
      </c>
      <c r="D136" s="13" t="s">
        <v>323</v>
      </c>
      <c r="E136" s="13">
        <v>12</v>
      </c>
      <c r="F136" s="6">
        <v>15.75</v>
      </c>
      <c r="G136" s="6">
        <v>20</v>
      </c>
      <c r="H136" s="7">
        <f t="shared" si="7"/>
        <v>0.21249999999999999</v>
      </c>
    </row>
    <row r="137" spans="1:8" ht="15" customHeight="1" x14ac:dyDescent="0.25">
      <c r="A137" t="s">
        <v>58</v>
      </c>
      <c r="B137" t="s">
        <v>324</v>
      </c>
      <c r="C137" s="19" t="s">
        <v>325</v>
      </c>
      <c r="D137" s="13" t="s">
        <v>326</v>
      </c>
      <c r="E137" s="13">
        <v>5</v>
      </c>
      <c r="F137" s="6">
        <v>11</v>
      </c>
      <c r="G137" s="6">
        <v>27</v>
      </c>
      <c r="H137" s="7">
        <f t="shared" si="7"/>
        <v>0.59259259259259256</v>
      </c>
    </row>
    <row r="138" spans="1:8" ht="15" customHeight="1" x14ac:dyDescent="0.25">
      <c r="A138" t="s">
        <v>58</v>
      </c>
      <c r="B138" t="s">
        <v>324</v>
      </c>
      <c r="C138" s="19" t="s">
        <v>327</v>
      </c>
      <c r="D138" s="13" t="s">
        <v>328</v>
      </c>
      <c r="E138" s="13">
        <v>5</v>
      </c>
      <c r="F138" s="6">
        <v>19</v>
      </c>
      <c r="G138" s="6">
        <v>37</v>
      </c>
      <c r="H138" s="7">
        <f t="shared" si="7"/>
        <v>0.48648648648648651</v>
      </c>
    </row>
    <row r="139" spans="1:8" ht="15" customHeight="1" x14ac:dyDescent="0.25">
      <c r="A139" t="s">
        <v>58</v>
      </c>
      <c r="B139" t="s">
        <v>329</v>
      </c>
      <c r="D139" s="13" t="s">
        <v>330</v>
      </c>
      <c r="E139" s="13">
        <v>100</v>
      </c>
      <c r="F139" s="6">
        <f>24/100</f>
        <v>0.24</v>
      </c>
      <c r="G139" s="6">
        <v>1</v>
      </c>
      <c r="H139" s="7">
        <f t="shared" si="7"/>
        <v>0.76</v>
      </c>
    </row>
    <row r="140" spans="1:8" ht="15" customHeight="1" x14ac:dyDescent="0.25">
      <c r="A140" t="s">
        <v>58</v>
      </c>
      <c r="B140" t="s">
        <v>329</v>
      </c>
      <c r="D140" s="13" t="s">
        <v>331</v>
      </c>
      <c r="E140" s="13">
        <v>100</v>
      </c>
      <c r="F140" s="6">
        <f>29/100</f>
        <v>0.28999999999999998</v>
      </c>
      <c r="G140" s="6">
        <v>1</v>
      </c>
      <c r="H140" s="7">
        <f t="shared" si="7"/>
        <v>0.71</v>
      </c>
    </row>
    <row r="141" spans="1:8" x14ac:dyDescent="0.25">
      <c r="A141" t="s">
        <v>58</v>
      </c>
      <c r="B141" t="s">
        <v>321</v>
      </c>
      <c r="D141" s="13" t="s">
        <v>332</v>
      </c>
      <c r="E141" s="13">
        <v>4</v>
      </c>
      <c r="F141" s="6">
        <v>47</v>
      </c>
      <c r="G141" s="6">
        <v>65</v>
      </c>
      <c r="H141" s="7">
        <f t="shared" si="7"/>
        <v>0.27692307692307694</v>
      </c>
    </row>
    <row r="142" spans="1:8" x14ac:dyDescent="0.25">
      <c r="A142" t="s">
        <v>58</v>
      </c>
      <c r="B142" t="s">
        <v>321</v>
      </c>
      <c r="D142" s="13" t="s">
        <v>333</v>
      </c>
      <c r="E142" s="13">
        <v>4</v>
      </c>
      <c r="F142" s="6">
        <v>43.5</v>
      </c>
      <c r="G142" s="6">
        <v>55</v>
      </c>
      <c r="H142" s="7">
        <f t="shared" si="7"/>
        <v>0.20909090909090908</v>
      </c>
    </row>
    <row r="143" spans="1:8" ht="15" customHeight="1" x14ac:dyDescent="0.25">
      <c r="A143" t="s">
        <v>58</v>
      </c>
      <c r="B143" t="s">
        <v>334</v>
      </c>
      <c r="D143" s="13" t="s">
        <v>335</v>
      </c>
      <c r="E143" s="13">
        <v>3</v>
      </c>
      <c r="F143" s="6">
        <v>78</v>
      </c>
      <c r="G143" s="6">
        <v>100</v>
      </c>
      <c r="H143" s="7">
        <f t="shared" si="7"/>
        <v>0.22</v>
      </c>
    </row>
    <row r="144" spans="1:8" ht="15" customHeight="1" x14ac:dyDescent="0.25">
      <c r="A144" t="s">
        <v>58</v>
      </c>
      <c r="B144" t="s">
        <v>334</v>
      </c>
      <c r="D144" s="13" t="s">
        <v>336</v>
      </c>
      <c r="E144" s="13">
        <v>3</v>
      </c>
      <c r="F144" s="6">
        <v>57</v>
      </c>
      <c r="G144" s="6">
        <v>75</v>
      </c>
      <c r="H144" s="7">
        <f t="shared" si="7"/>
        <v>0.24</v>
      </c>
    </row>
    <row r="145" spans="1:8" ht="15" customHeight="1" x14ac:dyDescent="0.25">
      <c r="A145" t="s">
        <v>58</v>
      </c>
      <c r="B145" t="s">
        <v>334</v>
      </c>
      <c r="D145" s="13" t="s">
        <v>337</v>
      </c>
      <c r="E145" s="13">
        <v>3</v>
      </c>
      <c r="F145" s="6">
        <v>31</v>
      </c>
      <c r="G145" s="6">
        <v>45</v>
      </c>
      <c r="H145" s="7">
        <f t="shared" si="7"/>
        <v>0.31111111111111112</v>
      </c>
    </row>
    <row r="146" spans="1:8" ht="15" customHeight="1" x14ac:dyDescent="0.25">
      <c r="A146" t="s">
        <v>58</v>
      </c>
      <c r="B146" t="s">
        <v>334</v>
      </c>
      <c r="D146" s="13" t="s">
        <v>338</v>
      </c>
      <c r="E146" s="13">
        <v>3</v>
      </c>
      <c r="F146" s="6">
        <v>36</v>
      </c>
      <c r="G146" s="6">
        <v>45</v>
      </c>
      <c r="H146" s="7">
        <f t="shared" si="7"/>
        <v>0.2</v>
      </c>
    </row>
    <row r="147" spans="1:8" ht="15" customHeight="1" x14ac:dyDescent="0.25">
      <c r="A147" t="s">
        <v>58</v>
      </c>
      <c r="B147" t="s">
        <v>334</v>
      </c>
      <c r="D147" s="13" t="s">
        <v>339</v>
      </c>
      <c r="E147" s="13">
        <v>3</v>
      </c>
      <c r="F147" s="6">
        <v>94</v>
      </c>
      <c r="G147" s="6">
        <v>125</v>
      </c>
      <c r="H147" s="7">
        <f t="shared" si="7"/>
        <v>0.248</v>
      </c>
    </row>
    <row r="148" spans="1:8" ht="15" customHeight="1" x14ac:dyDescent="0.25">
      <c r="A148" t="s">
        <v>58</v>
      </c>
      <c r="B148" t="s">
        <v>334</v>
      </c>
      <c r="D148" s="13" t="s">
        <v>340</v>
      </c>
      <c r="E148" s="13">
        <v>3</v>
      </c>
      <c r="F148" s="6">
        <v>77</v>
      </c>
      <c r="G148" s="6">
        <v>105</v>
      </c>
      <c r="H148" s="7">
        <f t="shared" si="7"/>
        <v>0.26666666666666666</v>
      </c>
    </row>
    <row r="149" spans="1:8" ht="15" customHeight="1" x14ac:dyDescent="0.25">
      <c r="A149" t="s">
        <v>58</v>
      </c>
      <c r="B149" t="s">
        <v>334</v>
      </c>
      <c r="D149" s="13" t="s">
        <v>341</v>
      </c>
      <c r="E149" s="13">
        <v>3</v>
      </c>
      <c r="F149" s="6">
        <v>67</v>
      </c>
      <c r="G149" s="6">
        <v>85</v>
      </c>
      <c r="H149" s="7">
        <f t="shared" si="7"/>
        <v>0.21176470588235294</v>
      </c>
    </row>
    <row r="150" spans="1:8" ht="15" customHeight="1" x14ac:dyDescent="0.25">
      <c r="A150" t="s">
        <v>58</v>
      </c>
      <c r="B150" t="s">
        <v>334</v>
      </c>
      <c r="D150" s="13" t="s">
        <v>342</v>
      </c>
      <c r="E150" s="13">
        <v>3</v>
      </c>
      <c r="F150" s="6">
        <v>36</v>
      </c>
      <c r="G150" s="6">
        <v>45</v>
      </c>
      <c r="H150" s="7">
        <f t="shared" si="7"/>
        <v>0.2</v>
      </c>
    </row>
    <row r="151" spans="1:8" ht="15" customHeight="1" x14ac:dyDescent="0.25">
      <c r="A151" t="s">
        <v>58</v>
      </c>
      <c r="B151" t="s">
        <v>294</v>
      </c>
      <c r="D151" s="1" t="s">
        <v>343</v>
      </c>
      <c r="E151" s="13">
        <v>12</v>
      </c>
      <c r="F151" s="6">
        <f>69/12</f>
        <v>5.75</v>
      </c>
      <c r="G151" s="6">
        <v>10</v>
      </c>
      <c r="H151" s="7">
        <f t="shared" ref="H151:H214" si="8">(G151-F151)/MAX(F151,G151)</f>
        <v>0.42499999999999999</v>
      </c>
    </row>
    <row r="152" spans="1:8" ht="15" customHeight="1" x14ac:dyDescent="0.25">
      <c r="A152" t="s">
        <v>58</v>
      </c>
      <c r="B152" t="s">
        <v>294</v>
      </c>
      <c r="D152" s="1" t="s">
        <v>344</v>
      </c>
      <c r="E152" s="13">
        <v>12</v>
      </c>
      <c r="F152" s="6">
        <f>138/12</f>
        <v>11.5</v>
      </c>
      <c r="G152" s="6">
        <v>20</v>
      </c>
      <c r="H152" s="7">
        <f t="shared" si="8"/>
        <v>0.42499999999999999</v>
      </c>
    </row>
    <row r="153" spans="1:8" ht="15" customHeight="1" x14ac:dyDescent="0.25">
      <c r="A153" t="s">
        <v>58</v>
      </c>
      <c r="B153" t="s">
        <v>294</v>
      </c>
      <c r="D153" s="1" t="s">
        <v>345</v>
      </c>
      <c r="E153" s="13">
        <v>18</v>
      </c>
      <c r="F153" s="6">
        <v>11.5</v>
      </c>
      <c r="G153" s="6">
        <v>20</v>
      </c>
      <c r="H153" s="7">
        <f t="shared" si="8"/>
        <v>0.42499999999999999</v>
      </c>
    </row>
    <row r="154" spans="1:8" ht="15" customHeight="1" x14ac:dyDescent="0.25">
      <c r="A154" t="s">
        <v>58</v>
      </c>
      <c r="B154" t="s">
        <v>346</v>
      </c>
      <c r="D154" s="13" t="s">
        <v>347</v>
      </c>
      <c r="E154" s="13">
        <v>250</v>
      </c>
      <c r="F154" s="6">
        <f>355/250</f>
        <v>1.42</v>
      </c>
      <c r="G154" s="6">
        <v>2</v>
      </c>
      <c r="H154" s="7">
        <f t="shared" si="8"/>
        <v>0.29000000000000004</v>
      </c>
    </row>
    <row r="155" spans="1:8" ht="15" customHeight="1" x14ac:dyDescent="0.25">
      <c r="A155" t="s">
        <v>58</v>
      </c>
      <c r="B155" t="s">
        <v>346</v>
      </c>
      <c r="D155" s="13" t="s">
        <v>348</v>
      </c>
      <c r="E155" s="13">
        <v>250</v>
      </c>
      <c r="F155" s="6">
        <f>380/250</f>
        <v>1.52</v>
      </c>
      <c r="G155" s="6">
        <v>3</v>
      </c>
      <c r="H155" s="7">
        <f t="shared" si="8"/>
        <v>0.49333333333333335</v>
      </c>
    </row>
    <row r="156" spans="1:8" ht="15" customHeight="1" x14ac:dyDescent="0.25">
      <c r="A156" t="s">
        <v>58</v>
      </c>
      <c r="B156" t="s">
        <v>346</v>
      </c>
      <c r="D156" s="13" t="s">
        <v>349</v>
      </c>
      <c r="E156" s="13">
        <v>250</v>
      </c>
      <c r="F156" s="6">
        <f>460/250</f>
        <v>1.84</v>
      </c>
      <c r="G156" s="6">
        <v>4</v>
      </c>
      <c r="H156" s="7">
        <f t="shared" si="8"/>
        <v>0.54</v>
      </c>
    </row>
    <row r="157" spans="1:8" ht="15" customHeight="1" x14ac:dyDescent="0.25">
      <c r="A157" t="s">
        <v>58</v>
      </c>
      <c r="B157" t="s">
        <v>346</v>
      </c>
      <c r="D157" s="13" t="s">
        <v>350</v>
      </c>
      <c r="E157" s="13">
        <v>250</v>
      </c>
      <c r="F157" s="6">
        <f>540/250</f>
        <v>2.16</v>
      </c>
      <c r="G157" s="6">
        <v>5</v>
      </c>
      <c r="H157" s="7">
        <f t="shared" si="8"/>
        <v>0.56799999999999995</v>
      </c>
    </row>
    <row r="158" spans="1:8" ht="15" customHeight="1" x14ac:dyDescent="0.25">
      <c r="A158" t="s">
        <v>58</v>
      </c>
      <c r="B158" t="s">
        <v>346</v>
      </c>
      <c r="D158" s="13" t="s">
        <v>351</v>
      </c>
      <c r="E158" s="13">
        <v>100</v>
      </c>
      <c r="F158" s="6">
        <f>110/100</f>
        <v>1.1000000000000001</v>
      </c>
      <c r="G158" s="6">
        <v>3</v>
      </c>
      <c r="H158" s="7">
        <f t="shared" si="8"/>
        <v>0.6333333333333333</v>
      </c>
    </row>
    <row r="159" spans="1:8" ht="15" customHeight="1" x14ac:dyDescent="0.25">
      <c r="A159" t="s">
        <v>58</v>
      </c>
      <c r="B159" t="s">
        <v>9</v>
      </c>
      <c r="D159" s="13" t="s">
        <v>352</v>
      </c>
      <c r="E159" s="13">
        <v>3</v>
      </c>
      <c r="F159" s="6">
        <v>32</v>
      </c>
      <c r="G159" s="6">
        <v>46</v>
      </c>
      <c r="H159" s="7">
        <f t="shared" si="8"/>
        <v>0.30434782608695654</v>
      </c>
    </row>
    <row r="160" spans="1:8" ht="15" customHeight="1" x14ac:dyDescent="0.25">
      <c r="A160" t="s">
        <v>58</v>
      </c>
      <c r="B160" t="s">
        <v>9</v>
      </c>
      <c r="D160" s="13" t="s">
        <v>353</v>
      </c>
      <c r="E160" s="13">
        <v>3</v>
      </c>
      <c r="F160" s="6">
        <v>42</v>
      </c>
      <c r="G160" s="6">
        <v>61</v>
      </c>
      <c r="H160" s="7">
        <f t="shared" si="8"/>
        <v>0.31147540983606559</v>
      </c>
    </row>
    <row r="161" spans="1:8" ht="15" customHeight="1" x14ac:dyDescent="0.25">
      <c r="A161" t="s">
        <v>58</v>
      </c>
      <c r="B161" t="s">
        <v>9</v>
      </c>
      <c r="D161" s="13" t="s">
        <v>354</v>
      </c>
      <c r="E161" s="13">
        <v>3</v>
      </c>
      <c r="F161" s="6">
        <v>51</v>
      </c>
      <c r="G161" s="6">
        <v>70</v>
      </c>
      <c r="H161" s="7">
        <f t="shared" si="8"/>
        <v>0.27142857142857141</v>
      </c>
    </row>
    <row r="162" spans="1:8" ht="15" customHeight="1" x14ac:dyDescent="0.25">
      <c r="A162" t="s">
        <v>58</v>
      </c>
      <c r="B162" t="s">
        <v>25</v>
      </c>
      <c r="C162" s="19" t="s">
        <v>159</v>
      </c>
      <c r="D162" s="13" t="s">
        <v>160</v>
      </c>
      <c r="E162" s="13">
        <v>100</v>
      </c>
      <c r="F162" s="6">
        <f>35.5/10</f>
        <v>3.55</v>
      </c>
      <c r="G162" s="6">
        <v>7</v>
      </c>
      <c r="H162" s="7">
        <f t="shared" si="8"/>
        <v>0.49285714285714288</v>
      </c>
    </row>
    <row r="163" spans="1:8" ht="15" customHeight="1" x14ac:dyDescent="0.25">
      <c r="A163" t="s">
        <v>58</v>
      </c>
      <c r="B163" t="s">
        <v>25</v>
      </c>
      <c r="D163" s="13" t="s">
        <v>355</v>
      </c>
      <c r="E163" s="13">
        <v>20</v>
      </c>
      <c r="F163" s="6">
        <f>34/20</f>
        <v>1.7</v>
      </c>
      <c r="G163" s="6">
        <v>3</v>
      </c>
      <c r="H163" s="7">
        <f t="shared" si="8"/>
        <v>0.43333333333333335</v>
      </c>
    </row>
    <row r="164" spans="1:8" ht="15" customHeight="1" x14ac:dyDescent="0.25">
      <c r="A164" t="s">
        <v>58</v>
      </c>
      <c r="B164" t="s">
        <v>25</v>
      </c>
      <c r="D164" s="13" t="s">
        <v>356</v>
      </c>
      <c r="E164" s="13">
        <v>50</v>
      </c>
      <c r="F164" s="6">
        <f>135/50</f>
        <v>2.7</v>
      </c>
      <c r="G164" s="6">
        <v>6</v>
      </c>
      <c r="H164" s="7">
        <f t="shared" si="8"/>
        <v>0.54999999999999993</v>
      </c>
    </row>
    <row r="165" spans="1:8" ht="15" customHeight="1" x14ac:dyDescent="0.25">
      <c r="A165" t="s">
        <v>58</v>
      </c>
      <c r="B165" t="s">
        <v>199</v>
      </c>
      <c r="D165" s="1" t="s">
        <v>357</v>
      </c>
      <c r="E165" s="13">
        <v>20</v>
      </c>
      <c r="F165" s="6">
        <f>80/20</f>
        <v>4</v>
      </c>
      <c r="G165" s="6">
        <v>10</v>
      </c>
      <c r="H165" s="7">
        <f t="shared" si="8"/>
        <v>0.6</v>
      </c>
    </row>
    <row r="166" spans="1:8" ht="15" customHeight="1" x14ac:dyDescent="0.25">
      <c r="A166" t="s">
        <v>58</v>
      </c>
      <c r="B166" t="s">
        <v>358</v>
      </c>
      <c r="D166" s="13" t="s">
        <v>359</v>
      </c>
      <c r="E166" s="13">
        <v>7</v>
      </c>
      <c r="F166" s="6">
        <f>188/10</f>
        <v>18.8</v>
      </c>
      <c r="G166" s="6">
        <v>30</v>
      </c>
      <c r="H166" s="7">
        <f t="shared" si="8"/>
        <v>0.37333333333333329</v>
      </c>
    </row>
    <row r="167" spans="1:8" ht="15" customHeight="1" x14ac:dyDescent="0.25">
      <c r="A167" t="s">
        <v>58</v>
      </c>
      <c r="B167" t="s">
        <v>358</v>
      </c>
      <c r="D167" s="13" t="s">
        <v>360</v>
      </c>
      <c r="E167" s="13">
        <v>10</v>
      </c>
      <c r="F167" s="6">
        <f>315/10</f>
        <v>31.5</v>
      </c>
      <c r="G167" s="6">
        <v>50</v>
      </c>
      <c r="H167" s="7">
        <f t="shared" si="8"/>
        <v>0.37</v>
      </c>
    </row>
    <row r="168" spans="1:8" ht="15" customHeight="1" x14ac:dyDescent="0.25">
      <c r="A168" t="s">
        <v>58</v>
      </c>
      <c r="B168" t="s">
        <v>110</v>
      </c>
      <c r="C168" s="19" t="s">
        <v>183</v>
      </c>
      <c r="D168" s="13" t="s">
        <v>184</v>
      </c>
      <c r="E168" s="13">
        <v>3</v>
      </c>
      <c r="F168" s="6">
        <v>68</v>
      </c>
      <c r="G168" s="6">
        <v>100</v>
      </c>
      <c r="H168" s="7">
        <f t="shared" si="8"/>
        <v>0.32</v>
      </c>
    </row>
    <row r="169" spans="1:8" ht="15" customHeight="1" x14ac:dyDescent="0.25">
      <c r="A169" t="s">
        <v>58</v>
      </c>
      <c r="B169" t="s">
        <v>110</v>
      </c>
      <c r="C169" s="19" t="s">
        <v>361</v>
      </c>
      <c r="D169" s="13" t="s">
        <v>362</v>
      </c>
      <c r="E169" s="13">
        <v>3</v>
      </c>
      <c r="F169" s="6">
        <v>56</v>
      </c>
      <c r="G169" s="6">
        <v>80</v>
      </c>
      <c r="H169" s="7">
        <f t="shared" si="8"/>
        <v>0.3</v>
      </c>
    </row>
    <row r="170" spans="1:8" ht="15" customHeight="1" x14ac:dyDescent="0.25">
      <c r="A170" t="s">
        <v>58</v>
      </c>
      <c r="B170" t="s">
        <v>54</v>
      </c>
      <c r="D170" s="13" t="s">
        <v>363</v>
      </c>
      <c r="E170" s="13">
        <v>2</v>
      </c>
      <c r="F170" s="6">
        <v>96</v>
      </c>
      <c r="G170" s="6">
        <v>160</v>
      </c>
      <c r="H170" s="7">
        <f t="shared" si="8"/>
        <v>0.4</v>
      </c>
    </row>
    <row r="171" spans="1:8" ht="15" customHeight="1" x14ac:dyDescent="0.25">
      <c r="A171" t="s">
        <v>58</v>
      </c>
      <c r="B171" t="s">
        <v>54</v>
      </c>
      <c r="D171" s="13" t="s">
        <v>364</v>
      </c>
      <c r="E171" s="13">
        <v>2</v>
      </c>
      <c r="F171" s="6">
        <v>124</v>
      </c>
      <c r="G171" s="6">
        <v>210</v>
      </c>
      <c r="H171" s="7">
        <f t="shared" si="8"/>
        <v>0.40952380952380951</v>
      </c>
    </row>
    <row r="172" spans="1:8" ht="15" customHeight="1" x14ac:dyDescent="0.25">
      <c r="A172" t="s">
        <v>58</v>
      </c>
      <c r="B172" t="s">
        <v>113</v>
      </c>
      <c r="D172" s="13" t="s">
        <v>365</v>
      </c>
      <c r="E172" s="13">
        <v>1</v>
      </c>
      <c r="F172" s="6">
        <v>46</v>
      </c>
      <c r="G172" s="6">
        <v>65</v>
      </c>
      <c r="H172" s="7">
        <f t="shared" si="8"/>
        <v>0.29230769230769232</v>
      </c>
    </row>
    <row r="173" spans="1:8" ht="15" customHeight="1" x14ac:dyDescent="0.25">
      <c r="A173" t="s">
        <v>58</v>
      </c>
      <c r="B173" t="s">
        <v>25</v>
      </c>
      <c r="D173" s="13" t="s">
        <v>366</v>
      </c>
      <c r="E173" s="13">
        <v>20</v>
      </c>
      <c r="F173" s="6">
        <f>21.5/10</f>
        <v>2.15</v>
      </c>
      <c r="G173" s="6">
        <v>3</v>
      </c>
      <c r="H173" s="7">
        <f t="shared" si="8"/>
        <v>0.28333333333333338</v>
      </c>
    </row>
    <row r="174" spans="1:8" ht="15" customHeight="1" x14ac:dyDescent="0.25">
      <c r="A174" t="s">
        <v>58</v>
      </c>
      <c r="B174" t="s">
        <v>25</v>
      </c>
      <c r="D174" s="13" t="s">
        <v>367</v>
      </c>
      <c r="E174" s="13">
        <v>20</v>
      </c>
      <c r="F174" s="6">
        <f>28.75/10</f>
        <v>2.875</v>
      </c>
      <c r="G174" s="6">
        <v>4</v>
      </c>
      <c r="H174" s="7">
        <f t="shared" si="8"/>
        <v>0.28125</v>
      </c>
    </row>
    <row r="175" spans="1:8" ht="15" customHeight="1" x14ac:dyDescent="0.25">
      <c r="A175" t="s">
        <v>58</v>
      </c>
      <c r="B175" t="s">
        <v>25</v>
      </c>
      <c r="D175" s="13" t="s">
        <v>368</v>
      </c>
      <c r="E175" s="13">
        <v>20</v>
      </c>
      <c r="F175" s="6">
        <f>29.75/10</f>
        <v>2.9750000000000001</v>
      </c>
      <c r="G175" s="6">
        <v>4</v>
      </c>
      <c r="H175" s="7">
        <f t="shared" si="8"/>
        <v>0.25624999999999998</v>
      </c>
    </row>
    <row r="176" spans="1:8" ht="15" customHeight="1" x14ac:dyDescent="0.25">
      <c r="A176" t="s">
        <v>58</v>
      </c>
      <c r="B176" t="s">
        <v>25</v>
      </c>
      <c r="D176" s="13" t="s">
        <v>369</v>
      </c>
      <c r="E176" s="13">
        <v>20</v>
      </c>
      <c r="F176" s="6">
        <f>38.75/10</f>
        <v>3.875</v>
      </c>
      <c r="G176" s="6">
        <v>5</v>
      </c>
      <c r="H176" s="7">
        <f t="shared" si="8"/>
        <v>0.22500000000000001</v>
      </c>
    </row>
    <row r="177" spans="1:8" ht="15" customHeight="1" x14ac:dyDescent="0.25">
      <c r="A177" t="s">
        <v>58</v>
      </c>
      <c r="B177" t="s">
        <v>370</v>
      </c>
      <c r="D177" s="13" t="s">
        <v>371</v>
      </c>
      <c r="E177" s="13">
        <v>6</v>
      </c>
      <c r="F177" s="6">
        <v>18</v>
      </c>
      <c r="G177" s="6">
        <v>55</v>
      </c>
      <c r="H177" s="7">
        <f t="shared" si="8"/>
        <v>0.67272727272727273</v>
      </c>
    </row>
    <row r="178" spans="1:8" ht="15" customHeight="1" x14ac:dyDescent="0.25">
      <c r="A178" t="s">
        <v>58</v>
      </c>
      <c r="B178" t="s">
        <v>370</v>
      </c>
      <c r="C178" s="19" t="s">
        <v>372</v>
      </c>
      <c r="D178" s="13" t="s">
        <v>373</v>
      </c>
      <c r="E178" s="13">
        <v>6</v>
      </c>
      <c r="F178" s="6">
        <v>11.75</v>
      </c>
      <c r="G178" s="6">
        <v>45</v>
      </c>
      <c r="H178" s="7">
        <f t="shared" si="8"/>
        <v>0.73888888888888893</v>
      </c>
    </row>
    <row r="179" spans="1:8" ht="15" customHeight="1" x14ac:dyDescent="0.25">
      <c r="A179" t="s">
        <v>58</v>
      </c>
      <c r="B179" t="s">
        <v>374</v>
      </c>
      <c r="C179" s="19" t="s">
        <v>375</v>
      </c>
      <c r="D179" s="13" t="s">
        <v>376</v>
      </c>
      <c r="E179" s="13">
        <v>50</v>
      </c>
      <c r="F179" s="6">
        <v>9.8000000000000007</v>
      </c>
      <c r="G179" s="6">
        <f>555/50</f>
        <v>11.1</v>
      </c>
      <c r="H179" s="7">
        <f t="shared" si="8"/>
        <v>0.11711711711711703</v>
      </c>
    </row>
    <row r="180" spans="1:8" ht="15" customHeight="1" x14ac:dyDescent="0.25">
      <c r="A180" t="s">
        <v>58</v>
      </c>
      <c r="B180" t="s">
        <v>377</v>
      </c>
      <c r="D180" s="13" t="s">
        <v>378</v>
      </c>
      <c r="E180" s="13">
        <v>5</v>
      </c>
      <c r="F180" s="6">
        <v>22.5</v>
      </c>
      <c r="G180" s="6">
        <v>30</v>
      </c>
      <c r="H180" s="7">
        <f t="shared" si="8"/>
        <v>0.25</v>
      </c>
    </row>
    <row r="181" spans="1:8" ht="15" customHeight="1" x14ac:dyDescent="0.25">
      <c r="A181" t="s">
        <v>58</v>
      </c>
      <c r="B181" t="s">
        <v>88</v>
      </c>
      <c r="C181" s="19" t="s">
        <v>379</v>
      </c>
      <c r="D181" s="13" t="s">
        <v>380</v>
      </c>
      <c r="E181" s="13">
        <v>2</v>
      </c>
      <c r="F181" s="6">
        <v>76</v>
      </c>
      <c r="G181" s="6">
        <v>115</v>
      </c>
      <c r="H181" s="7">
        <f t="shared" si="8"/>
        <v>0.33913043478260868</v>
      </c>
    </row>
    <row r="182" spans="1:8" ht="15" customHeight="1" x14ac:dyDescent="0.25">
      <c r="A182" t="s">
        <v>58</v>
      </c>
      <c r="B182" t="s">
        <v>88</v>
      </c>
      <c r="C182" s="19" t="s">
        <v>381</v>
      </c>
      <c r="D182" s="13" t="s">
        <v>382</v>
      </c>
      <c r="E182" s="13">
        <v>2</v>
      </c>
      <c r="F182" s="6">
        <v>78</v>
      </c>
      <c r="G182" s="6">
        <v>120</v>
      </c>
      <c r="H182" s="7">
        <f t="shared" si="8"/>
        <v>0.35</v>
      </c>
    </row>
    <row r="183" spans="1:8" ht="15" customHeight="1" x14ac:dyDescent="0.25">
      <c r="A183" t="s">
        <v>58</v>
      </c>
      <c r="B183" t="s">
        <v>113</v>
      </c>
      <c r="D183" s="13" t="s">
        <v>383</v>
      </c>
      <c r="E183" s="13">
        <v>6</v>
      </c>
      <c r="F183" s="6">
        <f>114/6</f>
        <v>19</v>
      </c>
      <c r="G183" s="6">
        <v>25</v>
      </c>
      <c r="H183" s="7">
        <f t="shared" si="8"/>
        <v>0.24</v>
      </c>
    </row>
    <row r="184" spans="1:8" ht="15" customHeight="1" x14ac:dyDescent="0.25">
      <c r="A184" t="s">
        <v>58</v>
      </c>
      <c r="B184" t="s">
        <v>113</v>
      </c>
      <c r="D184" s="13" t="s">
        <v>384</v>
      </c>
      <c r="E184" s="13">
        <v>6</v>
      </c>
      <c r="F184" s="6">
        <f>121/6</f>
        <v>20.166666666666668</v>
      </c>
      <c r="G184" s="6">
        <v>30</v>
      </c>
      <c r="H184" s="7">
        <f t="shared" si="8"/>
        <v>0.32777777777777772</v>
      </c>
    </row>
    <row r="185" spans="1:8" ht="15" customHeight="1" x14ac:dyDescent="0.25">
      <c r="A185" t="s">
        <v>58</v>
      </c>
      <c r="B185" t="s">
        <v>385</v>
      </c>
      <c r="D185" s="13" t="s">
        <v>386</v>
      </c>
      <c r="E185" s="13">
        <v>5</v>
      </c>
      <c r="F185" s="6">
        <v>25</v>
      </c>
      <c r="G185" s="6">
        <v>36</v>
      </c>
      <c r="H185" s="7">
        <f t="shared" si="8"/>
        <v>0.30555555555555558</v>
      </c>
    </row>
    <row r="186" spans="1:8" ht="15" customHeight="1" x14ac:dyDescent="0.25">
      <c r="A186" t="s">
        <v>58</v>
      </c>
      <c r="B186" t="s">
        <v>263</v>
      </c>
      <c r="C186" s="19" t="s">
        <v>387</v>
      </c>
      <c r="D186" s="13" t="s">
        <v>388</v>
      </c>
      <c r="E186" s="13">
        <v>2</v>
      </c>
      <c r="F186" s="6">
        <v>118</v>
      </c>
      <c r="G186" s="6">
        <v>170</v>
      </c>
      <c r="H186" s="7">
        <f t="shared" si="8"/>
        <v>0.30588235294117649</v>
      </c>
    </row>
    <row r="187" spans="1:8" ht="15" customHeight="1" x14ac:dyDescent="0.25">
      <c r="A187" t="s">
        <v>58</v>
      </c>
      <c r="B187" t="s">
        <v>263</v>
      </c>
      <c r="C187" s="19" t="s">
        <v>389</v>
      </c>
      <c r="D187" s="13" t="s">
        <v>390</v>
      </c>
      <c r="E187" s="13">
        <v>2</v>
      </c>
      <c r="F187" s="6">
        <v>61</v>
      </c>
      <c r="G187" s="6">
        <v>90</v>
      </c>
      <c r="H187" s="7">
        <f t="shared" si="8"/>
        <v>0.32222222222222224</v>
      </c>
    </row>
    <row r="188" spans="1:8" ht="15" customHeight="1" x14ac:dyDescent="0.25">
      <c r="A188" t="s">
        <v>58</v>
      </c>
      <c r="B188" t="s">
        <v>263</v>
      </c>
      <c r="C188" s="19" t="s">
        <v>391</v>
      </c>
      <c r="D188" s="13" t="s">
        <v>392</v>
      </c>
      <c r="E188" s="13">
        <v>2</v>
      </c>
      <c r="F188" s="6">
        <v>62.5</v>
      </c>
      <c r="G188" s="6">
        <v>80</v>
      </c>
      <c r="H188" s="7">
        <f t="shared" si="8"/>
        <v>0.21875</v>
      </c>
    </row>
    <row r="189" spans="1:8" ht="15" customHeight="1" x14ac:dyDescent="0.25">
      <c r="A189" t="s">
        <v>393</v>
      </c>
      <c r="B189" t="s">
        <v>263</v>
      </c>
      <c r="C189" s="19" t="s">
        <v>394</v>
      </c>
      <c r="D189" s="13" t="s">
        <v>395</v>
      </c>
      <c r="E189" s="13">
        <v>1</v>
      </c>
      <c r="F189" s="6">
        <v>180</v>
      </c>
      <c r="G189" s="6">
        <v>245</v>
      </c>
      <c r="H189" s="7">
        <f t="shared" si="8"/>
        <v>0.26530612244897961</v>
      </c>
    </row>
    <row r="190" spans="1:8" ht="15" customHeight="1" x14ac:dyDescent="0.25">
      <c r="A190" t="s">
        <v>393</v>
      </c>
      <c r="B190" t="s">
        <v>396</v>
      </c>
      <c r="D190" s="13" t="s">
        <v>397</v>
      </c>
      <c r="E190" s="13">
        <v>16</v>
      </c>
      <c r="F190" s="6">
        <v>9</v>
      </c>
      <c r="G190" s="6">
        <v>10</v>
      </c>
      <c r="H190" s="7">
        <f t="shared" si="8"/>
        <v>0.1</v>
      </c>
    </row>
    <row r="191" spans="1:8" ht="15" customHeight="1" x14ac:dyDescent="0.25">
      <c r="A191" t="s">
        <v>393</v>
      </c>
      <c r="B191" t="s">
        <v>25</v>
      </c>
      <c r="C191" s="19" t="s">
        <v>398</v>
      </c>
      <c r="D191" s="13" t="s">
        <v>399</v>
      </c>
      <c r="E191" s="13">
        <v>50</v>
      </c>
      <c r="F191" s="6">
        <f>180/50</f>
        <v>3.6</v>
      </c>
      <c r="G191" s="6">
        <v>5</v>
      </c>
      <c r="H191" s="7">
        <f t="shared" si="8"/>
        <v>0.27999999999999997</v>
      </c>
    </row>
    <row r="192" spans="1:8" ht="15" customHeight="1" x14ac:dyDescent="0.25">
      <c r="A192" t="s">
        <v>393</v>
      </c>
      <c r="B192" t="s">
        <v>100</v>
      </c>
      <c r="D192" s="1" t="s">
        <v>400</v>
      </c>
      <c r="E192" s="13">
        <v>2</v>
      </c>
      <c r="F192" s="6">
        <v>90</v>
      </c>
      <c r="G192" s="6">
        <v>115</v>
      </c>
      <c r="H192" s="7">
        <f t="shared" si="8"/>
        <v>0.21739130434782608</v>
      </c>
    </row>
    <row r="193" spans="1:9" ht="15" customHeight="1" x14ac:dyDescent="0.25">
      <c r="A193" t="s">
        <v>393</v>
      </c>
      <c r="B193" t="s">
        <v>100</v>
      </c>
      <c r="D193" s="13" t="s">
        <v>401</v>
      </c>
      <c r="E193" s="13">
        <v>2</v>
      </c>
      <c r="F193" s="6">
        <v>90</v>
      </c>
      <c r="G193" s="6">
        <v>125</v>
      </c>
      <c r="H193" s="7">
        <f t="shared" si="8"/>
        <v>0.28000000000000003</v>
      </c>
    </row>
    <row r="194" spans="1:9" ht="15" customHeight="1" x14ac:dyDescent="0.25">
      <c r="A194" t="s">
        <v>393</v>
      </c>
      <c r="C194" s="19" t="s">
        <v>402</v>
      </c>
      <c r="D194" s="13" t="s">
        <v>284</v>
      </c>
      <c r="E194" s="13">
        <v>1</v>
      </c>
      <c r="F194" s="6">
        <v>126</v>
      </c>
      <c r="G194" s="6">
        <v>175</v>
      </c>
      <c r="H194" s="7">
        <f t="shared" si="8"/>
        <v>0.28000000000000003</v>
      </c>
    </row>
    <row r="195" spans="1:9" ht="15" customHeight="1" x14ac:dyDescent="0.25">
      <c r="A195" t="s">
        <v>393</v>
      </c>
      <c r="B195" t="s">
        <v>25</v>
      </c>
      <c r="D195" s="13" t="s">
        <v>403</v>
      </c>
      <c r="E195" s="13">
        <v>5</v>
      </c>
      <c r="F195" s="6">
        <v>36</v>
      </c>
      <c r="G195" s="6">
        <v>25</v>
      </c>
      <c r="H195" s="7">
        <f t="shared" si="8"/>
        <v>-0.30555555555555558</v>
      </c>
    </row>
    <row r="196" spans="1:9" ht="15" customHeight="1" x14ac:dyDescent="0.25">
      <c r="A196" t="s">
        <v>393</v>
      </c>
      <c r="B196" t="s">
        <v>77</v>
      </c>
      <c r="D196" s="13" t="s">
        <v>404</v>
      </c>
      <c r="E196" s="13">
        <v>1</v>
      </c>
      <c r="F196" s="6">
        <v>26</v>
      </c>
      <c r="G196" s="6">
        <v>35</v>
      </c>
      <c r="H196" s="7">
        <f t="shared" si="8"/>
        <v>0.25714285714285712</v>
      </c>
    </row>
    <row r="197" spans="1:9" ht="15" customHeight="1" x14ac:dyDescent="0.25">
      <c r="A197" t="s">
        <v>393</v>
      </c>
      <c r="B197" t="s">
        <v>405</v>
      </c>
      <c r="C197" s="19" t="s">
        <v>406</v>
      </c>
      <c r="D197" s="13" t="s">
        <v>407</v>
      </c>
      <c r="E197" s="13">
        <v>2</v>
      </c>
      <c r="F197" s="6">
        <v>36</v>
      </c>
      <c r="G197" s="6">
        <v>55</v>
      </c>
      <c r="H197" s="7">
        <f t="shared" si="8"/>
        <v>0.34545454545454546</v>
      </c>
    </row>
    <row r="198" spans="1:9" ht="15" customHeight="1" x14ac:dyDescent="0.25">
      <c r="A198" t="s">
        <v>393</v>
      </c>
      <c r="B198" t="s">
        <v>100</v>
      </c>
      <c r="C198" s="19" t="s">
        <v>408</v>
      </c>
      <c r="D198" s="13" t="s">
        <v>409</v>
      </c>
      <c r="E198" s="13">
        <v>1</v>
      </c>
      <c r="F198" s="6">
        <v>90</v>
      </c>
      <c r="G198" s="6">
        <v>169</v>
      </c>
      <c r="H198" s="7">
        <f t="shared" si="8"/>
        <v>0.46745562130177515</v>
      </c>
    </row>
    <row r="199" spans="1:9" ht="15" customHeight="1" x14ac:dyDescent="0.25">
      <c r="A199" t="s">
        <v>393</v>
      </c>
      <c r="B199" t="s">
        <v>214</v>
      </c>
      <c r="C199" s="19" t="s">
        <v>410</v>
      </c>
      <c r="D199" s="13" t="s">
        <v>411</v>
      </c>
      <c r="E199" s="13">
        <v>3</v>
      </c>
      <c r="F199" s="6">
        <v>7.2</v>
      </c>
      <c r="G199" s="6">
        <v>15</v>
      </c>
      <c r="H199" s="7">
        <f t="shared" si="8"/>
        <v>0.52</v>
      </c>
    </row>
    <row r="200" spans="1:9" ht="15" customHeight="1" x14ac:dyDescent="0.25">
      <c r="A200" t="s">
        <v>393</v>
      </c>
      <c r="B200" t="s">
        <v>150</v>
      </c>
      <c r="C200" s="19" t="s">
        <v>412</v>
      </c>
      <c r="D200" s="13" t="s">
        <v>413</v>
      </c>
      <c r="E200" s="13">
        <v>2</v>
      </c>
      <c r="F200" s="6">
        <v>36</v>
      </c>
      <c r="G200" s="6">
        <v>150</v>
      </c>
      <c r="H200" s="7">
        <f t="shared" si="8"/>
        <v>0.76</v>
      </c>
    </row>
    <row r="201" spans="1:9" ht="15" customHeight="1" x14ac:dyDescent="0.25">
      <c r="A201" t="s">
        <v>393</v>
      </c>
      <c r="B201" t="s">
        <v>25</v>
      </c>
      <c r="C201" s="19" t="s">
        <v>414</v>
      </c>
      <c r="D201" s="13" t="s">
        <v>415</v>
      </c>
      <c r="E201" s="13">
        <v>5</v>
      </c>
      <c r="F201" s="6">
        <f>36/5</f>
        <v>7.2</v>
      </c>
      <c r="G201" s="6">
        <v>20</v>
      </c>
      <c r="H201" s="7">
        <f t="shared" si="8"/>
        <v>0.64</v>
      </c>
    </row>
    <row r="202" spans="1:9" ht="15" customHeight="1" x14ac:dyDescent="0.25">
      <c r="A202" t="s">
        <v>393</v>
      </c>
      <c r="B202" t="s">
        <v>247</v>
      </c>
      <c r="C202" s="19" t="s">
        <v>416</v>
      </c>
      <c r="D202" s="13" t="s">
        <v>417</v>
      </c>
      <c r="E202" s="13">
        <v>1</v>
      </c>
      <c r="F202" s="6">
        <v>36</v>
      </c>
      <c r="G202" s="6">
        <v>48</v>
      </c>
      <c r="H202" s="7">
        <f t="shared" si="8"/>
        <v>0.25</v>
      </c>
    </row>
    <row r="203" spans="1:9" ht="15" customHeight="1" x14ac:dyDescent="0.25">
      <c r="A203" t="s">
        <v>393</v>
      </c>
      <c r="B203" t="s">
        <v>294</v>
      </c>
      <c r="D203" s="13" t="s">
        <v>418</v>
      </c>
      <c r="E203" s="13">
        <v>6</v>
      </c>
      <c r="F203" s="6">
        <v>6</v>
      </c>
      <c r="G203" s="6">
        <v>8</v>
      </c>
      <c r="H203" s="7">
        <f t="shared" si="8"/>
        <v>0.25</v>
      </c>
    </row>
    <row r="204" spans="1:9" ht="15" customHeight="1" x14ac:dyDescent="0.25">
      <c r="A204" t="s">
        <v>393</v>
      </c>
      <c r="B204" t="s">
        <v>419</v>
      </c>
      <c r="D204" s="13" t="s">
        <v>420</v>
      </c>
      <c r="E204" s="13">
        <v>1</v>
      </c>
      <c r="F204" s="6">
        <v>36</v>
      </c>
      <c r="G204" s="6">
        <v>48</v>
      </c>
      <c r="H204" s="7">
        <f t="shared" si="8"/>
        <v>0.25</v>
      </c>
    </row>
    <row r="205" spans="1:9" ht="15" customHeight="1" x14ac:dyDescent="0.25">
      <c r="A205" t="s">
        <v>393</v>
      </c>
      <c r="B205" t="s">
        <v>421</v>
      </c>
      <c r="C205" s="19" t="s">
        <v>422</v>
      </c>
      <c r="D205" t="s">
        <v>423</v>
      </c>
      <c r="E205" s="13">
        <v>1</v>
      </c>
      <c r="F205" s="6">
        <v>36</v>
      </c>
      <c r="G205" s="6">
        <v>48</v>
      </c>
      <c r="H205" s="7">
        <f t="shared" si="8"/>
        <v>0.25</v>
      </c>
    </row>
    <row r="206" spans="1:9" ht="15" customHeight="1" x14ac:dyDescent="0.25">
      <c r="A206" t="s">
        <v>393</v>
      </c>
      <c r="B206" t="s">
        <v>294</v>
      </c>
      <c r="D206" t="s">
        <v>424</v>
      </c>
      <c r="E206" s="13">
        <v>1</v>
      </c>
      <c r="F206" s="6">
        <v>11.5</v>
      </c>
      <c r="G206" s="6">
        <v>20</v>
      </c>
      <c r="H206" s="7">
        <f t="shared" si="8"/>
        <v>0.42499999999999999</v>
      </c>
    </row>
    <row r="207" spans="1:9" ht="15" customHeight="1" x14ac:dyDescent="0.25">
      <c r="A207" t="s">
        <v>393</v>
      </c>
      <c r="B207" t="s">
        <v>294</v>
      </c>
      <c r="D207" t="s">
        <v>425</v>
      </c>
      <c r="E207" s="13">
        <v>1</v>
      </c>
      <c r="F207" s="6">
        <v>11.5</v>
      </c>
      <c r="G207" s="6">
        <v>15</v>
      </c>
      <c r="H207" s="7">
        <f t="shared" si="8"/>
        <v>0.23333333333333334</v>
      </c>
    </row>
    <row r="208" spans="1:9" ht="15" customHeight="1" x14ac:dyDescent="0.25">
      <c r="A208" t="s">
        <v>393</v>
      </c>
      <c r="B208" t="s">
        <v>259</v>
      </c>
      <c r="D208" t="s">
        <v>426</v>
      </c>
      <c r="E208" s="13">
        <v>12</v>
      </c>
      <c r="F208" s="6">
        <v>1.5</v>
      </c>
      <c r="G208" s="6">
        <v>8</v>
      </c>
      <c r="H208" s="7">
        <f t="shared" si="8"/>
        <v>0.8125</v>
      </c>
      <c r="I208" s="20"/>
    </row>
    <row r="209" spans="1:10" ht="15" customHeight="1" x14ac:dyDescent="0.25">
      <c r="A209" t="s">
        <v>393</v>
      </c>
      <c r="B209" t="s">
        <v>150</v>
      </c>
      <c r="C209" s="19" t="s">
        <v>427</v>
      </c>
      <c r="D209" t="s">
        <v>428</v>
      </c>
      <c r="E209" s="13">
        <v>3</v>
      </c>
      <c r="F209" s="6">
        <f>36/3</f>
        <v>12</v>
      </c>
      <c r="G209" s="6">
        <v>22</v>
      </c>
      <c r="H209" s="7">
        <f t="shared" si="8"/>
        <v>0.45454545454545453</v>
      </c>
      <c r="I209">
        <f>299/10</f>
        <v>29.9</v>
      </c>
    </row>
    <row r="210" spans="1:10" ht="15" customHeight="1" x14ac:dyDescent="0.25">
      <c r="A210" t="s">
        <v>393</v>
      </c>
      <c r="B210" t="s">
        <v>25</v>
      </c>
      <c r="C210" s="19" t="s">
        <v>429</v>
      </c>
      <c r="D210" t="s">
        <v>430</v>
      </c>
      <c r="E210" s="13">
        <v>12</v>
      </c>
      <c r="F210" s="6">
        <f>90/12</f>
        <v>7.5</v>
      </c>
      <c r="G210" s="6">
        <v>10</v>
      </c>
      <c r="H210" s="7">
        <f t="shared" si="8"/>
        <v>0.25</v>
      </c>
    </row>
    <row r="211" spans="1:10" ht="15" customHeight="1" x14ac:dyDescent="0.25">
      <c r="A211" t="s">
        <v>393</v>
      </c>
      <c r="B211" t="s">
        <v>214</v>
      </c>
      <c r="C211" s="19" t="s">
        <v>431</v>
      </c>
      <c r="D211" t="s">
        <v>432</v>
      </c>
      <c r="E211" s="13">
        <v>2</v>
      </c>
      <c r="F211" s="6">
        <v>5</v>
      </c>
      <c r="G211" s="6">
        <v>10</v>
      </c>
      <c r="H211" s="7">
        <f t="shared" si="8"/>
        <v>0.5</v>
      </c>
    </row>
    <row r="212" spans="1:10" ht="15" customHeight="1" x14ac:dyDescent="0.25">
      <c r="A212" t="s">
        <v>393</v>
      </c>
      <c r="B212" t="s">
        <v>214</v>
      </c>
      <c r="C212" s="19" t="s">
        <v>431</v>
      </c>
      <c r="D212" t="s">
        <v>433</v>
      </c>
      <c r="E212" s="13">
        <v>1</v>
      </c>
      <c r="F212" s="6">
        <v>7</v>
      </c>
      <c r="G212" s="6">
        <v>20</v>
      </c>
      <c r="H212" s="7">
        <f t="shared" si="8"/>
        <v>0.65</v>
      </c>
    </row>
    <row r="213" spans="1:10" ht="15" customHeight="1" x14ac:dyDescent="0.25">
      <c r="A213" t="s">
        <v>393</v>
      </c>
      <c r="B213" t="s">
        <v>434</v>
      </c>
      <c r="C213" s="19" t="s">
        <v>435</v>
      </c>
      <c r="D213" t="s">
        <v>436</v>
      </c>
      <c r="E213" s="13">
        <v>2</v>
      </c>
      <c r="F213" s="6">
        <v>72</v>
      </c>
      <c r="G213" s="6">
        <v>165</v>
      </c>
      <c r="H213" s="7">
        <f t="shared" si="8"/>
        <v>0.5636363636363636</v>
      </c>
    </row>
    <row r="214" spans="1:10" ht="15" customHeight="1" x14ac:dyDescent="0.25">
      <c r="A214" t="s">
        <v>393</v>
      </c>
      <c r="B214" t="s">
        <v>263</v>
      </c>
      <c r="D214" t="s">
        <v>437</v>
      </c>
      <c r="E214" s="13">
        <v>1</v>
      </c>
      <c r="F214" s="6">
        <f>126</f>
        <v>126</v>
      </c>
      <c r="G214" s="6">
        <v>295</v>
      </c>
      <c r="H214" s="7">
        <f t="shared" si="8"/>
        <v>0.57288135593220335</v>
      </c>
      <c r="I214">
        <v>240</v>
      </c>
      <c r="J214" s="20">
        <f>G214*E214</f>
        <v>295</v>
      </c>
    </row>
    <row r="215" spans="1:10" ht="15" customHeight="1" x14ac:dyDescent="0.25">
      <c r="A215" t="s">
        <v>393</v>
      </c>
      <c r="B215" t="s">
        <v>247</v>
      </c>
      <c r="D215" t="s">
        <v>438</v>
      </c>
      <c r="E215" s="13">
        <v>1</v>
      </c>
      <c r="F215" s="6">
        <v>36</v>
      </c>
      <c r="G215" s="6">
        <v>16</v>
      </c>
      <c r="H215" s="7">
        <f t="shared" ref="H215:H393" si="9">(G215-F215)/MAX(F215,G215)</f>
        <v>-0.55555555555555558</v>
      </c>
    </row>
    <row r="216" spans="1:10" ht="15" customHeight="1" x14ac:dyDescent="0.25">
      <c r="A216" t="s">
        <v>393</v>
      </c>
      <c r="B216" t="s">
        <v>110</v>
      </c>
      <c r="C216" s="19" t="s">
        <v>439</v>
      </c>
      <c r="D216" t="s">
        <v>440</v>
      </c>
      <c r="E216" s="13">
        <v>1</v>
      </c>
      <c r="F216" s="6">
        <v>75</v>
      </c>
      <c r="G216" s="6">
        <v>95</v>
      </c>
      <c r="H216" s="7">
        <f t="shared" si="9"/>
        <v>0.21052631578947367</v>
      </c>
    </row>
    <row r="217" spans="1:10" ht="15" customHeight="1" x14ac:dyDescent="0.25">
      <c r="A217" t="s">
        <v>393</v>
      </c>
      <c r="B217" t="s">
        <v>150</v>
      </c>
      <c r="D217" t="s">
        <v>441</v>
      </c>
      <c r="E217" s="13">
        <v>50</v>
      </c>
      <c r="F217" s="6">
        <f>180/50</f>
        <v>3.6</v>
      </c>
      <c r="G217" s="6">
        <v>7</v>
      </c>
      <c r="H217" s="7">
        <f t="shared" si="9"/>
        <v>0.48571428571428571</v>
      </c>
    </row>
    <row r="218" spans="1:10" ht="15" customHeight="1" x14ac:dyDescent="0.25">
      <c r="A218" t="s">
        <v>393</v>
      </c>
      <c r="B218" t="s">
        <v>150</v>
      </c>
      <c r="D218" t="s">
        <v>442</v>
      </c>
      <c r="E218" s="13">
        <v>60</v>
      </c>
      <c r="F218" s="6">
        <f>108/20</f>
        <v>5.4</v>
      </c>
      <c r="G218" s="6">
        <v>20</v>
      </c>
      <c r="H218" s="7">
        <f t="shared" si="9"/>
        <v>0.73</v>
      </c>
    </row>
    <row r="219" spans="1:10" ht="15" customHeight="1" x14ac:dyDescent="0.25">
      <c r="A219" t="s">
        <v>393</v>
      </c>
      <c r="B219" t="s">
        <v>25</v>
      </c>
      <c r="C219" s="19" t="s">
        <v>443</v>
      </c>
      <c r="D219" t="s">
        <v>444</v>
      </c>
      <c r="E219" s="13">
        <v>6</v>
      </c>
      <c r="F219" s="6">
        <f>54/6</f>
        <v>9</v>
      </c>
      <c r="G219" s="6">
        <v>12</v>
      </c>
      <c r="H219" s="7">
        <f t="shared" si="9"/>
        <v>0.25</v>
      </c>
    </row>
    <row r="220" spans="1:10" ht="15" customHeight="1" x14ac:dyDescent="0.25">
      <c r="A220" t="s">
        <v>58</v>
      </c>
      <c r="B220" t="s">
        <v>191</v>
      </c>
      <c r="C220" s="19" t="s">
        <v>192</v>
      </c>
      <c r="D220" t="s">
        <v>193</v>
      </c>
      <c r="E220" s="13">
        <v>5</v>
      </c>
      <c r="F220" s="6">
        <v>31.5</v>
      </c>
      <c r="G220" s="6">
        <v>40</v>
      </c>
      <c r="H220" s="7">
        <f t="shared" si="9"/>
        <v>0.21249999999999999</v>
      </c>
    </row>
    <row r="221" spans="1:10" ht="15" customHeight="1" x14ac:dyDescent="0.25">
      <c r="A221" t="s">
        <v>58</v>
      </c>
      <c r="B221" t="s">
        <v>263</v>
      </c>
      <c r="C221" s="19" t="s">
        <v>445</v>
      </c>
      <c r="D221" t="s">
        <v>446</v>
      </c>
      <c r="E221" s="13">
        <v>2</v>
      </c>
      <c r="F221" s="6">
        <v>38.5</v>
      </c>
      <c r="G221" s="6">
        <v>50</v>
      </c>
      <c r="H221" s="7">
        <f t="shared" si="9"/>
        <v>0.23</v>
      </c>
    </row>
    <row r="222" spans="1:10" ht="15" customHeight="1" x14ac:dyDescent="0.25">
      <c r="A222" t="s">
        <v>58</v>
      </c>
      <c r="B222" t="s">
        <v>263</v>
      </c>
      <c r="C222" s="19" t="s">
        <v>447</v>
      </c>
      <c r="D222" t="s">
        <v>448</v>
      </c>
      <c r="E222" s="13">
        <v>2</v>
      </c>
      <c r="F222" s="6">
        <v>70</v>
      </c>
      <c r="G222" s="6">
        <v>95</v>
      </c>
      <c r="H222" s="7">
        <f t="shared" si="9"/>
        <v>0.26315789473684209</v>
      </c>
    </row>
    <row r="223" spans="1:10" ht="15" customHeight="1" x14ac:dyDescent="0.25">
      <c r="A223" t="s">
        <v>58</v>
      </c>
      <c r="B223" t="s">
        <v>263</v>
      </c>
      <c r="C223" s="19" t="s">
        <v>449</v>
      </c>
      <c r="D223" t="s">
        <v>450</v>
      </c>
      <c r="E223" s="13">
        <v>2</v>
      </c>
      <c r="F223" s="6">
        <v>59</v>
      </c>
      <c r="G223" s="6">
        <v>85</v>
      </c>
      <c r="H223" s="7">
        <f t="shared" si="9"/>
        <v>0.30588235294117649</v>
      </c>
    </row>
    <row r="224" spans="1:10" ht="15" customHeight="1" x14ac:dyDescent="0.25">
      <c r="A224" t="s">
        <v>58</v>
      </c>
      <c r="B224" t="s">
        <v>263</v>
      </c>
      <c r="C224" s="19" t="s">
        <v>451</v>
      </c>
      <c r="D224" t="s">
        <v>452</v>
      </c>
      <c r="E224" s="13">
        <v>2</v>
      </c>
      <c r="F224" s="6">
        <v>25</v>
      </c>
      <c r="G224" s="6">
        <v>35</v>
      </c>
      <c r="H224" s="7">
        <f t="shared" si="9"/>
        <v>0.2857142857142857</v>
      </c>
    </row>
    <row r="225" spans="1:8" ht="15" customHeight="1" x14ac:dyDescent="0.25">
      <c r="A225" t="s">
        <v>58</v>
      </c>
      <c r="B225" t="s">
        <v>263</v>
      </c>
      <c r="C225" s="19" t="s">
        <v>453</v>
      </c>
      <c r="D225" t="s">
        <v>454</v>
      </c>
      <c r="E225" s="13">
        <v>10</v>
      </c>
      <c r="F225" s="6">
        <f>130/10</f>
        <v>13</v>
      </c>
      <c r="G225" s="6">
        <v>20</v>
      </c>
      <c r="H225" s="7">
        <f t="shared" si="9"/>
        <v>0.35</v>
      </c>
    </row>
    <row r="226" spans="1:8" ht="15" customHeight="1" x14ac:dyDescent="0.25">
      <c r="A226" t="s">
        <v>58</v>
      </c>
      <c r="B226" t="s">
        <v>226</v>
      </c>
      <c r="C226" s="19" t="s">
        <v>455</v>
      </c>
      <c r="D226" t="s">
        <v>456</v>
      </c>
      <c r="E226" s="13">
        <v>2</v>
      </c>
      <c r="F226" s="6">
        <v>49</v>
      </c>
      <c r="G226" s="6">
        <v>78</v>
      </c>
      <c r="H226" s="7">
        <f t="shared" si="9"/>
        <v>0.37179487179487181</v>
      </c>
    </row>
    <row r="227" spans="1:8" ht="15" customHeight="1" x14ac:dyDescent="0.25">
      <c r="A227" t="s">
        <v>58</v>
      </c>
      <c r="B227" t="s">
        <v>226</v>
      </c>
      <c r="C227" s="19" t="s">
        <v>457</v>
      </c>
      <c r="D227" t="s">
        <v>458</v>
      </c>
      <c r="E227" s="13">
        <v>2</v>
      </c>
      <c r="F227" s="6">
        <v>98</v>
      </c>
      <c r="G227" s="6">
        <v>150</v>
      </c>
      <c r="H227" s="7">
        <f t="shared" si="9"/>
        <v>0.34666666666666668</v>
      </c>
    </row>
    <row r="228" spans="1:8" ht="15" customHeight="1" x14ac:dyDescent="0.25">
      <c r="A228" t="s">
        <v>58</v>
      </c>
      <c r="B228" t="s">
        <v>263</v>
      </c>
      <c r="C228" s="19" t="s">
        <v>459</v>
      </c>
      <c r="D228" t="s">
        <v>460</v>
      </c>
      <c r="E228" s="13">
        <v>10</v>
      </c>
      <c r="F228" s="6">
        <f>153/10</f>
        <v>15.3</v>
      </c>
      <c r="G228" s="6">
        <v>20</v>
      </c>
      <c r="H228" s="7">
        <f t="shared" si="9"/>
        <v>0.23499999999999996</v>
      </c>
    </row>
    <row r="229" spans="1:8" ht="15" customHeight="1" x14ac:dyDescent="0.25">
      <c r="A229" t="s">
        <v>58</v>
      </c>
      <c r="B229" t="s">
        <v>263</v>
      </c>
      <c r="C229" s="19" t="s">
        <v>461</v>
      </c>
      <c r="D229" t="s">
        <v>462</v>
      </c>
      <c r="E229" s="13">
        <v>2</v>
      </c>
      <c r="F229" s="6">
        <v>148</v>
      </c>
      <c r="G229" s="6">
        <v>190</v>
      </c>
      <c r="H229" s="7">
        <f t="shared" si="9"/>
        <v>0.22105263157894736</v>
      </c>
    </row>
    <row r="230" spans="1:8" ht="15" customHeight="1" x14ac:dyDescent="0.25">
      <c r="A230" t="s">
        <v>58</v>
      </c>
      <c r="B230" t="s">
        <v>150</v>
      </c>
      <c r="D230" t="s">
        <v>463</v>
      </c>
      <c r="E230" s="13">
        <v>25</v>
      </c>
      <c r="F230" s="6">
        <f>143/25</f>
        <v>5.72</v>
      </c>
      <c r="G230" s="6">
        <v>12</v>
      </c>
      <c r="H230" s="7">
        <f t="shared" si="9"/>
        <v>0.52333333333333332</v>
      </c>
    </row>
    <row r="231" spans="1:8" ht="15" customHeight="1" x14ac:dyDescent="0.25">
      <c r="A231" t="s">
        <v>58</v>
      </c>
      <c r="B231" t="s">
        <v>263</v>
      </c>
      <c r="C231" s="19" t="s">
        <v>464</v>
      </c>
      <c r="D231" t="s">
        <v>465</v>
      </c>
      <c r="E231" s="13">
        <v>2</v>
      </c>
      <c r="F231" s="6">
        <v>59</v>
      </c>
      <c r="G231" s="6">
        <v>75</v>
      </c>
      <c r="H231" s="7">
        <f t="shared" si="9"/>
        <v>0.21333333333333335</v>
      </c>
    </row>
    <row r="232" spans="1:8" ht="15" customHeight="1" x14ac:dyDescent="0.25">
      <c r="A232" t="s">
        <v>58</v>
      </c>
      <c r="B232" t="s">
        <v>236</v>
      </c>
      <c r="C232" s="19" t="s">
        <v>466</v>
      </c>
      <c r="D232" t="s">
        <v>467</v>
      </c>
      <c r="E232" s="13">
        <v>5</v>
      </c>
      <c r="F232" s="6">
        <v>29</v>
      </c>
      <c r="G232" s="6">
        <v>44</v>
      </c>
      <c r="H232" s="7">
        <f t="shared" si="9"/>
        <v>0.34090909090909088</v>
      </c>
    </row>
    <row r="233" spans="1:8" ht="15" customHeight="1" x14ac:dyDescent="0.25">
      <c r="A233" t="s">
        <v>58</v>
      </c>
      <c r="B233" t="s">
        <v>214</v>
      </c>
      <c r="C233" s="19" t="s">
        <v>468</v>
      </c>
      <c r="D233" t="s">
        <v>469</v>
      </c>
      <c r="E233" s="13">
        <v>24</v>
      </c>
      <c r="F233" s="6">
        <f>96/12</f>
        <v>8</v>
      </c>
      <c r="G233" s="6">
        <v>10</v>
      </c>
      <c r="H233" s="7">
        <f t="shared" si="9"/>
        <v>0.2</v>
      </c>
    </row>
    <row r="234" spans="1:8" ht="15" customHeight="1" x14ac:dyDescent="0.25">
      <c r="A234" t="s">
        <v>58</v>
      </c>
      <c r="B234" t="s">
        <v>233</v>
      </c>
      <c r="D234" t="s">
        <v>235</v>
      </c>
      <c r="E234" s="13">
        <v>10</v>
      </c>
      <c r="F234" s="6">
        <v>13.8</v>
      </c>
      <c r="G234" s="6">
        <v>20</v>
      </c>
      <c r="H234" s="7">
        <f t="shared" si="9"/>
        <v>0.30999999999999994</v>
      </c>
    </row>
    <row r="235" spans="1:8" ht="15" customHeight="1" x14ac:dyDescent="0.25">
      <c r="A235" t="s">
        <v>58</v>
      </c>
      <c r="B235" t="s">
        <v>257</v>
      </c>
      <c r="D235" t="s">
        <v>470</v>
      </c>
      <c r="E235" s="13">
        <v>10</v>
      </c>
      <c r="F235" s="6">
        <f>34/10</f>
        <v>3.4</v>
      </c>
      <c r="G235" s="6">
        <v>5</v>
      </c>
      <c r="H235" s="7">
        <f t="shared" si="9"/>
        <v>0.32</v>
      </c>
    </row>
    <row r="236" spans="1:8" ht="15" customHeight="1" x14ac:dyDescent="0.25">
      <c r="A236" t="s">
        <v>58</v>
      </c>
      <c r="B236" t="s">
        <v>263</v>
      </c>
      <c r="D236" t="s">
        <v>471</v>
      </c>
      <c r="E236" s="13">
        <v>3</v>
      </c>
      <c r="F236" s="6">
        <v>34</v>
      </c>
      <c r="G236" s="6">
        <v>40</v>
      </c>
      <c r="H236" s="7">
        <f t="shared" si="9"/>
        <v>0.15</v>
      </c>
    </row>
    <row r="237" spans="1:8" ht="15" customHeight="1" x14ac:dyDescent="0.25">
      <c r="A237" t="s">
        <v>58</v>
      </c>
      <c r="B237" t="s">
        <v>172</v>
      </c>
      <c r="C237" s="19" t="s">
        <v>472</v>
      </c>
      <c r="D237" t="s">
        <v>473</v>
      </c>
      <c r="E237" s="13">
        <v>2</v>
      </c>
      <c r="F237" s="6">
        <v>108</v>
      </c>
      <c r="G237" s="6">
        <v>168</v>
      </c>
      <c r="H237" s="7">
        <f t="shared" si="9"/>
        <v>0.35714285714285715</v>
      </c>
    </row>
    <row r="238" spans="1:8" ht="15" customHeight="1" x14ac:dyDescent="0.25">
      <c r="A238" t="s">
        <v>58</v>
      </c>
      <c r="B238" t="s">
        <v>164</v>
      </c>
      <c r="C238" s="19" t="s">
        <v>474</v>
      </c>
      <c r="D238" t="s">
        <v>475</v>
      </c>
      <c r="E238" s="13">
        <v>10</v>
      </c>
      <c r="F238" s="6">
        <f>152/10</f>
        <v>15.2</v>
      </c>
      <c r="G238" s="6">
        <v>25</v>
      </c>
      <c r="H238" s="7">
        <f t="shared" si="9"/>
        <v>0.39200000000000002</v>
      </c>
    </row>
    <row r="239" spans="1:8" ht="15" customHeight="1" x14ac:dyDescent="0.25">
      <c r="A239" t="s">
        <v>58</v>
      </c>
      <c r="B239" t="s">
        <v>164</v>
      </c>
      <c r="C239" s="19" t="s">
        <v>476</v>
      </c>
      <c r="D239" t="s">
        <v>477</v>
      </c>
      <c r="E239" s="13">
        <v>10</v>
      </c>
      <c r="F239" s="6">
        <f>128/10</f>
        <v>12.8</v>
      </c>
      <c r="G239" s="6">
        <v>20</v>
      </c>
      <c r="H239" s="7">
        <f t="shared" si="9"/>
        <v>0.36</v>
      </c>
    </row>
    <row r="240" spans="1:8" ht="15" customHeight="1" x14ac:dyDescent="0.25">
      <c r="A240" t="s">
        <v>58</v>
      </c>
      <c r="B240" t="s">
        <v>263</v>
      </c>
      <c r="C240" s="19" t="s">
        <v>478</v>
      </c>
      <c r="D240" t="s">
        <v>479</v>
      </c>
      <c r="E240" s="13">
        <v>2</v>
      </c>
      <c r="F240" s="6">
        <v>74</v>
      </c>
      <c r="G240" s="6">
        <v>95</v>
      </c>
      <c r="H240" s="7">
        <f t="shared" si="9"/>
        <v>0.22105263157894736</v>
      </c>
    </row>
    <row r="241" spans="1:8" ht="15" customHeight="1" x14ac:dyDescent="0.25">
      <c r="A241" t="s">
        <v>58</v>
      </c>
      <c r="B241" t="s">
        <v>214</v>
      </c>
      <c r="C241" s="19" t="s">
        <v>217</v>
      </c>
      <c r="D241" t="s">
        <v>480</v>
      </c>
      <c r="E241" s="13">
        <v>10</v>
      </c>
      <c r="F241" s="6">
        <f>36/10</f>
        <v>3.6</v>
      </c>
      <c r="G241" s="6">
        <v>5</v>
      </c>
      <c r="H241" s="7">
        <f t="shared" si="9"/>
        <v>0.27999999999999997</v>
      </c>
    </row>
    <row r="242" spans="1:8" ht="15" customHeight="1" x14ac:dyDescent="0.25">
      <c r="A242" t="s">
        <v>58</v>
      </c>
      <c r="B242" t="s">
        <v>481</v>
      </c>
      <c r="D242" t="s">
        <v>482</v>
      </c>
      <c r="E242" s="13">
        <v>2</v>
      </c>
      <c r="F242" s="6">
        <f>73/100</f>
        <v>0.73</v>
      </c>
      <c r="G242" s="6">
        <v>2</v>
      </c>
      <c r="H242" s="7">
        <f t="shared" si="9"/>
        <v>0.63500000000000001</v>
      </c>
    </row>
    <row r="243" spans="1:8" ht="15" customHeight="1" x14ac:dyDescent="0.25">
      <c r="A243" t="s">
        <v>58</v>
      </c>
      <c r="B243" t="s">
        <v>150</v>
      </c>
      <c r="C243" s="19" t="s">
        <v>208</v>
      </c>
      <c r="D243" t="s">
        <v>209</v>
      </c>
      <c r="E243" s="13">
        <v>30</v>
      </c>
      <c r="F243" s="6">
        <f>36.75/10</f>
        <v>3.6749999999999998</v>
      </c>
      <c r="G243" s="6">
        <v>5</v>
      </c>
      <c r="H243" s="7">
        <f t="shared" si="9"/>
        <v>0.26500000000000001</v>
      </c>
    </row>
    <row r="244" spans="1:8" ht="15" customHeight="1" x14ac:dyDescent="0.25">
      <c r="A244" t="s">
        <v>58</v>
      </c>
      <c r="B244" t="s">
        <v>419</v>
      </c>
      <c r="D244" t="s">
        <v>483</v>
      </c>
      <c r="E244" s="13">
        <v>10</v>
      </c>
      <c r="F244" s="6">
        <f>54/10</f>
        <v>5.4</v>
      </c>
      <c r="G244" s="6">
        <v>11</v>
      </c>
      <c r="H244" s="7">
        <f t="shared" si="9"/>
        <v>0.50909090909090904</v>
      </c>
    </row>
    <row r="245" spans="1:8" ht="15" customHeight="1" x14ac:dyDescent="0.25">
      <c r="A245" t="s">
        <v>58</v>
      </c>
      <c r="B245" t="s">
        <v>419</v>
      </c>
      <c r="D245" t="s">
        <v>484</v>
      </c>
      <c r="E245" s="13">
        <v>20</v>
      </c>
      <c r="F245" s="6">
        <f>74/20</f>
        <v>3.7</v>
      </c>
      <c r="G245" s="6">
        <v>8</v>
      </c>
      <c r="H245" s="7">
        <f t="shared" si="9"/>
        <v>0.53749999999999998</v>
      </c>
    </row>
    <row r="246" spans="1:8" ht="15" customHeight="1" x14ac:dyDescent="0.25">
      <c r="A246" t="s">
        <v>58</v>
      </c>
      <c r="B246" t="s">
        <v>485</v>
      </c>
      <c r="D246" t="s">
        <v>486</v>
      </c>
      <c r="E246" s="13">
        <v>12</v>
      </c>
      <c r="F246" s="6">
        <f>336/12</f>
        <v>28</v>
      </c>
      <c r="G246" s="6">
        <v>65</v>
      </c>
      <c r="H246" s="7">
        <f t="shared" si="9"/>
        <v>0.56923076923076921</v>
      </c>
    </row>
    <row r="247" spans="1:8" ht="15" customHeight="1" x14ac:dyDescent="0.25">
      <c r="A247" t="s">
        <v>58</v>
      </c>
      <c r="B247" t="s">
        <v>263</v>
      </c>
      <c r="C247" s="19" t="s">
        <v>487</v>
      </c>
      <c r="D247" t="s">
        <v>488</v>
      </c>
      <c r="E247" s="13">
        <v>5</v>
      </c>
      <c r="F247" s="6">
        <f>36.75</f>
        <v>36.75</v>
      </c>
      <c r="G247" s="6">
        <v>50</v>
      </c>
      <c r="H247" s="7">
        <f t="shared" si="9"/>
        <v>0.26500000000000001</v>
      </c>
    </row>
    <row r="248" spans="1:8" ht="15" customHeight="1" x14ac:dyDescent="0.25">
      <c r="A248" t="s">
        <v>58</v>
      </c>
      <c r="C248" s="19" t="s">
        <v>204</v>
      </c>
      <c r="D248" t="s">
        <v>205</v>
      </c>
      <c r="E248" s="13">
        <v>200</v>
      </c>
      <c r="F248" s="6">
        <f>33.5/20</f>
        <v>1.675</v>
      </c>
      <c r="G248" s="6">
        <v>3</v>
      </c>
      <c r="H248" s="7">
        <f t="shared" si="9"/>
        <v>0.44166666666666665</v>
      </c>
    </row>
    <row r="249" spans="1:8" ht="15" customHeight="1" x14ac:dyDescent="0.25">
      <c r="A249" t="s">
        <v>58</v>
      </c>
      <c r="B249" t="s">
        <v>489</v>
      </c>
      <c r="D249" t="s">
        <v>490</v>
      </c>
      <c r="E249" s="13">
        <v>4</v>
      </c>
      <c r="F249" s="6">
        <v>51</v>
      </c>
      <c r="G249" s="6">
        <v>68</v>
      </c>
      <c r="H249" s="7">
        <f t="shared" si="9"/>
        <v>0.25</v>
      </c>
    </row>
    <row r="250" spans="1:8" ht="15" customHeight="1" x14ac:dyDescent="0.25">
      <c r="A250" t="s">
        <v>58</v>
      </c>
      <c r="B250" t="s">
        <v>489</v>
      </c>
      <c r="D250" t="s">
        <v>491</v>
      </c>
      <c r="E250" s="13">
        <v>4</v>
      </c>
      <c r="F250" s="6">
        <v>23.5</v>
      </c>
      <c r="G250" s="6">
        <v>33</v>
      </c>
      <c r="H250" s="7">
        <f t="shared" si="9"/>
        <v>0.2878787878787879</v>
      </c>
    </row>
    <row r="251" spans="1:8" ht="15" customHeight="1" x14ac:dyDescent="0.25">
      <c r="A251" t="s">
        <v>58</v>
      </c>
      <c r="B251" t="s">
        <v>489</v>
      </c>
      <c r="D251" t="s">
        <v>492</v>
      </c>
      <c r="E251" s="13">
        <v>4</v>
      </c>
      <c r="F251" s="6">
        <v>41</v>
      </c>
      <c r="G251" s="6">
        <v>58</v>
      </c>
      <c r="H251" s="7">
        <f t="shared" si="9"/>
        <v>0.29310344827586204</v>
      </c>
    </row>
    <row r="252" spans="1:8" ht="15" customHeight="1" x14ac:dyDescent="0.25">
      <c r="A252" t="s">
        <v>58</v>
      </c>
      <c r="B252" t="s">
        <v>489</v>
      </c>
      <c r="D252" t="s">
        <v>493</v>
      </c>
      <c r="E252" s="13">
        <v>12</v>
      </c>
      <c r="F252" s="6">
        <f>192/12</f>
        <v>16</v>
      </c>
      <c r="G252" s="6">
        <v>22</v>
      </c>
      <c r="H252" s="7">
        <f t="shared" si="9"/>
        <v>0.27272727272727271</v>
      </c>
    </row>
    <row r="253" spans="1:8" ht="15" customHeight="1" x14ac:dyDescent="0.25">
      <c r="A253" t="s">
        <v>58</v>
      </c>
      <c r="B253" t="s">
        <v>489</v>
      </c>
      <c r="D253" t="s">
        <v>494</v>
      </c>
      <c r="E253" s="13">
        <v>12</v>
      </c>
      <c r="F253" s="6">
        <f>87/12</f>
        <v>7.25</v>
      </c>
      <c r="G253" s="6">
        <v>12</v>
      </c>
      <c r="H253" s="7">
        <f t="shared" si="9"/>
        <v>0.39583333333333331</v>
      </c>
    </row>
    <row r="254" spans="1:8" ht="15" customHeight="1" x14ac:dyDescent="0.25">
      <c r="A254" t="s">
        <v>58</v>
      </c>
      <c r="B254" t="s">
        <v>294</v>
      </c>
      <c r="D254" t="s">
        <v>495</v>
      </c>
      <c r="E254" s="13">
        <v>16</v>
      </c>
      <c r="F254" s="6">
        <f>44/16</f>
        <v>2.75</v>
      </c>
      <c r="G254" s="6">
        <f>96/16</f>
        <v>6</v>
      </c>
      <c r="H254" s="7">
        <f t="shared" si="9"/>
        <v>0.54166666666666663</v>
      </c>
    </row>
    <row r="255" spans="1:8" ht="15" customHeight="1" x14ac:dyDescent="0.25">
      <c r="A255" t="s">
        <v>58</v>
      </c>
      <c r="B255" t="s">
        <v>496</v>
      </c>
      <c r="D255" t="s">
        <v>497</v>
      </c>
      <c r="E255" s="13">
        <v>3</v>
      </c>
      <c r="F255" s="6">
        <v>18</v>
      </c>
      <c r="G255" s="6">
        <v>25</v>
      </c>
      <c r="H255" s="7">
        <f t="shared" si="9"/>
        <v>0.28000000000000003</v>
      </c>
    </row>
    <row r="256" spans="1:8" ht="15" customHeight="1" x14ac:dyDescent="0.25">
      <c r="A256" t="s">
        <v>58</v>
      </c>
      <c r="B256" t="s">
        <v>77</v>
      </c>
      <c r="D256" t="s">
        <v>498</v>
      </c>
      <c r="E256" s="13">
        <v>10</v>
      </c>
      <c r="F256" s="6">
        <f>86/10</f>
        <v>8.6</v>
      </c>
      <c r="G256" s="6">
        <v>20</v>
      </c>
      <c r="H256" s="7">
        <f t="shared" si="9"/>
        <v>0.57000000000000006</v>
      </c>
    </row>
    <row r="257" spans="1:8" ht="15" customHeight="1" x14ac:dyDescent="0.25">
      <c r="A257" t="s">
        <v>58</v>
      </c>
      <c r="B257" t="s">
        <v>288</v>
      </c>
      <c r="C257" s="19" t="s">
        <v>499</v>
      </c>
      <c r="D257" t="s">
        <v>500</v>
      </c>
      <c r="E257" s="13">
        <v>12</v>
      </c>
      <c r="F257" s="6">
        <v>12.5</v>
      </c>
      <c r="G257" s="6">
        <v>36</v>
      </c>
      <c r="H257" s="7">
        <f t="shared" si="9"/>
        <v>0.65277777777777779</v>
      </c>
    </row>
    <row r="258" spans="1:8" ht="15" customHeight="1" x14ac:dyDescent="0.25">
      <c r="A258" t="s">
        <v>58</v>
      </c>
      <c r="B258" t="s">
        <v>288</v>
      </c>
      <c r="D258" t="s">
        <v>501</v>
      </c>
      <c r="E258" s="13">
        <v>12</v>
      </c>
      <c r="F258" s="6">
        <v>10.5</v>
      </c>
      <c r="G258" s="6">
        <v>30</v>
      </c>
      <c r="H258" s="7">
        <f t="shared" si="9"/>
        <v>0.65</v>
      </c>
    </row>
    <row r="259" spans="1:8" ht="15" customHeight="1" x14ac:dyDescent="0.25">
      <c r="A259" t="s">
        <v>58</v>
      </c>
      <c r="B259" t="s">
        <v>150</v>
      </c>
      <c r="C259" s="19" t="s">
        <v>243</v>
      </c>
      <c r="D259" t="s">
        <v>244</v>
      </c>
      <c r="E259" s="13">
        <v>10</v>
      </c>
      <c r="F259" s="6">
        <f>36.5/10</f>
        <v>3.65</v>
      </c>
      <c r="G259" s="6">
        <v>5</v>
      </c>
      <c r="H259" s="7">
        <f t="shared" si="9"/>
        <v>0.27</v>
      </c>
    </row>
    <row r="260" spans="1:8" ht="15" customHeight="1" x14ac:dyDescent="0.25">
      <c r="A260" t="s">
        <v>58</v>
      </c>
      <c r="B260" t="s">
        <v>150</v>
      </c>
      <c r="C260" s="19" t="s">
        <v>502</v>
      </c>
      <c r="D260" t="s">
        <v>503</v>
      </c>
      <c r="E260" s="13">
        <v>30</v>
      </c>
      <c r="F260" s="6">
        <f>46/10</f>
        <v>4.5999999999999996</v>
      </c>
      <c r="G260" s="6">
        <v>6</v>
      </c>
      <c r="H260" s="7">
        <f t="shared" si="9"/>
        <v>0.23333333333333339</v>
      </c>
    </row>
    <row r="261" spans="1:8" ht="15" customHeight="1" x14ac:dyDescent="0.25">
      <c r="A261" t="s">
        <v>58</v>
      </c>
      <c r="B261" t="s">
        <v>25</v>
      </c>
      <c r="C261" s="19" t="s">
        <v>504</v>
      </c>
      <c r="D261" t="s">
        <v>27</v>
      </c>
      <c r="E261" s="13">
        <v>12</v>
      </c>
      <c r="F261" s="6">
        <f>46.5</f>
        <v>46.5</v>
      </c>
      <c r="G261" s="6">
        <v>60</v>
      </c>
      <c r="H261" s="7">
        <f t="shared" si="9"/>
        <v>0.22500000000000001</v>
      </c>
    </row>
    <row r="262" spans="1:8" ht="15" customHeight="1" x14ac:dyDescent="0.25">
      <c r="A262" t="s">
        <v>58</v>
      </c>
      <c r="B262" t="s">
        <v>25</v>
      </c>
      <c r="C262" s="19" t="s">
        <v>505</v>
      </c>
      <c r="D262" t="s">
        <v>506</v>
      </c>
      <c r="E262" s="13">
        <v>20</v>
      </c>
      <c r="F262" s="6">
        <f>17.5/5</f>
        <v>3.5</v>
      </c>
      <c r="G262" s="6">
        <v>5</v>
      </c>
      <c r="H262" s="7">
        <f t="shared" si="9"/>
        <v>0.3</v>
      </c>
    </row>
    <row r="263" spans="1:8" ht="15" customHeight="1" x14ac:dyDescent="0.25">
      <c r="A263" t="s">
        <v>58</v>
      </c>
      <c r="B263" t="s">
        <v>25</v>
      </c>
      <c r="C263" s="19" t="s">
        <v>507</v>
      </c>
      <c r="D263" t="s">
        <v>508</v>
      </c>
      <c r="E263" s="13">
        <v>20</v>
      </c>
      <c r="F263" s="6">
        <f>67/10</f>
        <v>6.7</v>
      </c>
      <c r="G263" s="6">
        <v>10</v>
      </c>
      <c r="H263" s="7">
        <f t="shared" si="9"/>
        <v>0.32999999999999996</v>
      </c>
    </row>
    <row r="264" spans="1:8" ht="15" customHeight="1" x14ac:dyDescent="0.25">
      <c r="A264" t="s">
        <v>58</v>
      </c>
      <c r="B264" t="s">
        <v>25</v>
      </c>
      <c r="C264" s="19" t="s">
        <v>509</v>
      </c>
      <c r="D264" t="s">
        <v>510</v>
      </c>
      <c r="E264" s="13">
        <v>10</v>
      </c>
      <c r="F264" s="6">
        <f>154/10</f>
        <v>15.4</v>
      </c>
      <c r="G264" s="6">
        <v>20</v>
      </c>
      <c r="H264" s="7">
        <f t="shared" si="9"/>
        <v>0.22999999999999998</v>
      </c>
    </row>
    <row r="265" spans="1:8" ht="15" customHeight="1" x14ac:dyDescent="0.25">
      <c r="A265" t="s">
        <v>58</v>
      </c>
      <c r="B265" t="s">
        <v>50</v>
      </c>
      <c r="D265" t="s">
        <v>511</v>
      </c>
      <c r="E265" s="13">
        <v>15</v>
      </c>
      <c r="F265" s="6">
        <f>116/15</f>
        <v>7.7333333333333334</v>
      </c>
      <c r="G265" s="6">
        <v>14</v>
      </c>
      <c r="H265" s="7">
        <f t="shared" si="9"/>
        <v>0.44761904761904764</v>
      </c>
    </row>
    <row r="266" spans="1:8" ht="15" customHeight="1" x14ac:dyDescent="0.25">
      <c r="A266" t="s">
        <v>58</v>
      </c>
      <c r="B266" t="s">
        <v>25</v>
      </c>
      <c r="C266" s="19" t="s">
        <v>512</v>
      </c>
      <c r="D266" t="s">
        <v>513</v>
      </c>
      <c r="E266" s="13">
        <v>50</v>
      </c>
      <c r="F266" s="6">
        <f>33.5/10</f>
        <v>3.35</v>
      </c>
      <c r="G266" s="6">
        <v>5</v>
      </c>
      <c r="H266" s="7">
        <f t="shared" si="9"/>
        <v>0.32999999999999996</v>
      </c>
    </row>
    <row r="267" spans="1:8" ht="15" customHeight="1" x14ac:dyDescent="0.25">
      <c r="A267" t="s">
        <v>58</v>
      </c>
      <c r="B267" t="s">
        <v>25</v>
      </c>
      <c r="C267" s="19" t="s">
        <v>194</v>
      </c>
      <c r="D267" t="s">
        <v>195</v>
      </c>
      <c r="E267" s="13">
        <v>60</v>
      </c>
      <c r="F267" s="6">
        <f>32.5/10</f>
        <v>3.25</v>
      </c>
      <c r="G267" s="6">
        <v>5</v>
      </c>
      <c r="H267" s="7">
        <f t="shared" si="9"/>
        <v>0.35</v>
      </c>
    </row>
    <row r="268" spans="1:8" ht="15" customHeight="1" x14ac:dyDescent="0.25">
      <c r="A268" t="s">
        <v>58</v>
      </c>
      <c r="B268" t="s">
        <v>50</v>
      </c>
      <c r="C268" s="19" t="s">
        <v>514</v>
      </c>
      <c r="D268" t="s">
        <v>515</v>
      </c>
      <c r="E268" s="13">
        <v>40</v>
      </c>
      <c r="F268" s="6">
        <f>15.5/20</f>
        <v>0.77500000000000002</v>
      </c>
      <c r="G268" s="6">
        <v>1</v>
      </c>
      <c r="H268" s="7">
        <f t="shared" si="9"/>
        <v>0.22499999999999998</v>
      </c>
    </row>
    <row r="269" spans="1:8" ht="15" customHeight="1" x14ac:dyDescent="0.25">
      <c r="A269" t="s">
        <v>58</v>
      </c>
      <c r="B269" t="s">
        <v>50</v>
      </c>
      <c r="D269" t="s">
        <v>516</v>
      </c>
      <c r="E269" s="13">
        <v>40</v>
      </c>
      <c r="F269" s="6">
        <f>44/20</f>
        <v>2.2000000000000002</v>
      </c>
      <c r="G269" s="6">
        <v>3</v>
      </c>
      <c r="H269" s="7">
        <f t="shared" si="9"/>
        <v>0.26666666666666661</v>
      </c>
    </row>
    <row r="270" spans="1:8" ht="15" customHeight="1" x14ac:dyDescent="0.25">
      <c r="A270" t="s">
        <v>58</v>
      </c>
      <c r="B270" t="s">
        <v>50</v>
      </c>
      <c r="C270" s="19" t="s">
        <v>221</v>
      </c>
      <c r="D270" t="s">
        <v>517</v>
      </c>
      <c r="E270" s="13">
        <v>20</v>
      </c>
      <c r="F270" s="6">
        <f>76/20</f>
        <v>3.8</v>
      </c>
      <c r="G270" s="6">
        <v>5</v>
      </c>
      <c r="H270" s="7">
        <f t="shared" si="9"/>
        <v>0.24000000000000005</v>
      </c>
    </row>
    <row r="271" spans="1:8" ht="15" customHeight="1" x14ac:dyDescent="0.25">
      <c r="A271" t="s">
        <v>58</v>
      </c>
      <c r="B271" t="s">
        <v>214</v>
      </c>
      <c r="C271" s="19" t="s">
        <v>518</v>
      </c>
      <c r="D271" t="s">
        <v>519</v>
      </c>
      <c r="E271" s="13">
        <v>10</v>
      </c>
      <c r="F271" s="6">
        <f>33.25</f>
        <v>33.25</v>
      </c>
      <c r="G271" s="6">
        <v>40</v>
      </c>
      <c r="H271" s="7">
        <f t="shared" si="9"/>
        <v>0.16875000000000001</v>
      </c>
    </row>
    <row r="272" spans="1:8" ht="15" customHeight="1" x14ac:dyDescent="0.25">
      <c r="A272" t="s">
        <v>58</v>
      </c>
      <c r="B272" t="s">
        <v>214</v>
      </c>
      <c r="C272" s="19" t="s">
        <v>520</v>
      </c>
      <c r="D272" t="s">
        <v>521</v>
      </c>
      <c r="E272" s="13">
        <v>10</v>
      </c>
      <c r="F272" s="6">
        <v>20.7</v>
      </c>
      <c r="G272" s="6">
        <v>25</v>
      </c>
      <c r="H272" s="7">
        <f t="shared" si="9"/>
        <v>0.17200000000000004</v>
      </c>
    </row>
    <row r="273" spans="1:8" ht="15" customHeight="1" x14ac:dyDescent="0.25">
      <c r="A273" t="s">
        <v>58</v>
      </c>
      <c r="B273" t="s">
        <v>358</v>
      </c>
      <c r="D273" t="s">
        <v>522</v>
      </c>
      <c r="E273" s="13">
        <v>12</v>
      </c>
      <c r="F273" s="6">
        <f>126/12</f>
        <v>10.5</v>
      </c>
      <c r="G273" s="6">
        <v>50</v>
      </c>
      <c r="H273" s="7">
        <f t="shared" si="9"/>
        <v>0.79</v>
      </c>
    </row>
    <row r="274" spans="1:8" ht="15" customHeight="1" x14ac:dyDescent="0.25">
      <c r="A274" t="s">
        <v>58</v>
      </c>
      <c r="B274" t="s">
        <v>358</v>
      </c>
      <c r="D274" t="s">
        <v>523</v>
      </c>
      <c r="E274" s="13">
        <v>12</v>
      </c>
      <c r="F274" s="6">
        <f>234/12</f>
        <v>19.5</v>
      </c>
      <c r="G274" s="6">
        <v>150</v>
      </c>
      <c r="H274" s="7">
        <f t="shared" si="9"/>
        <v>0.87</v>
      </c>
    </row>
    <row r="275" spans="1:8" ht="15" customHeight="1" x14ac:dyDescent="0.25">
      <c r="A275" t="s">
        <v>58</v>
      </c>
      <c r="B275" t="s">
        <v>257</v>
      </c>
      <c r="D275" t="s">
        <v>524</v>
      </c>
      <c r="E275" s="13">
        <v>10</v>
      </c>
      <c r="F275" s="6">
        <f>288/10</f>
        <v>28.8</v>
      </c>
      <c r="G275" s="6">
        <v>45</v>
      </c>
      <c r="H275" s="7">
        <f t="shared" si="9"/>
        <v>0.36</v>
      </c>
    </row>
    <row r="276" spans="1:8" ht="15" customHeight="1" x14ac:dyDescent="0.25">
      <c r="A276" t="s">
        <v>58</v>
      </c>
      <c r="B276" t="s">
        <v>25</v>
      </c>
      <c r="C276" s="19" t="s">
        <v>525</v>
      </c>
      <c r="D276" t="s">
        <v>526</v>
      </c>
      <c r="E276" s="13">
        <v>80</v>
      </c>
      <c r="F276" s="6">
        <f>39/20</f>
        <v>1.95</v>
      </c>
      <c r="G276" s="6">
        <v>3</v>
      </c>
      <c r="H276" s="7">
        <f t="shared" si="9"/>
        <v>0.35000000000000003</v>
      </c>
    </row>
    <row r="277" spans="1:8" ht="15" customHeight="1" x14ac:dyDescent="0.25">
      <c r="A277" t="s">
        <v>58</v>
      </c>
      <c r="B277" t="s">
        <v>214</v>
      </c>
      <c r="D277" t="s">
        <v>527</v>
      </c>
      <c r="E277" s="13">
        <v>10</v>
      </c>
      <c r="F277" s="6">
        <f>38.75/10</f>
        <v>3.875</v>
      </c>
      <c r="G277" s="6">
        <v>5</v>
      </c>
      <c r="H277" s="7">
        <f t="shared" si="9"/>
        <v>0.22500000000000001</v>
      </c>
    </row>
    <row r="278" spans="1:8" ht="15" customHeight="1" x14ac:dyDescent="0.25">
      <c r="A278" t="s">
        <v>58</v>
      </c>
      <c r="B278" t="s">
        <v>288</v>
      </c>
      <c r="D278" t="s">
        <v>290</v>
      </c>
      <c r="E278" s="13">
        <v>10</v>
      </c>
      <c r="F278" s="6">
        <f>18.5</f>
        <v>18.5</v>
      </c>
      <c r="G278" s="6">
        <v>50</v>
      </c>
      <c r="H278" s="7">
        <f t="shared" si="9"/>
        <v>0.63</v>
      </c>
    </row>
    <row r="279" spans="1:8" ht="15" customHeight="1" x14ac:dyDescent="0.25">
      <c r="A279" t="s">
        <v>58</v>
      </c>
      <c r="B279" t="s">
        <v>150</v>
      </c>
      <c r="C279" s="19" t="s">
        <v>153</v>
      </c>
      <c r="D279" t="s">
        <v>154</v>
      </c>
      <c r="E279" s="13">
        <v>10</v>
      </c>
      <c r="F279" s="6">
        <f>185/10</f>
        <v>18.5</v>
      </c>
      <c r="G279" s="6">
        <v>25</v>
      </c>
      <c r="H279" s="7">
        <f t="shared" si="9"/>
        <v>0.26</v>
      </c>
    </row>
    <row r="280" spans="1:8" ht="15" customHeight="1" x14ac:dyDescent="0.25">
      <c r="A280" t="s">
        <v>58</v>
      </c>
      <c r="B280" t="s">
        <v>25</v>
      </c>
      <c r="C280" s="19" t="s">
        <v>528</v>
      </c>
      <c r="D280" t="s">
        <v>529</v>
      </c>
      <c r="E280" s="13">
        <v>20</v>
      </c>
      <c r="F280" s="6">
        <f>150/20</f>
        <v>7.5</v>
      </c>
      <c r="G280" s="6">
        <v>10</v>
      </c>
      <c r="H280" s="7">
        <f t="shared" si="9"/>
        <v>0.25</v>
      </c>
    </row>
    <row r="281" spans="1:8" ht="15" customHeight="1" x14ac:dyDescent="0.25">
      <c r="A281" t="s">
        <v>58</v>
      </c>
      <c r="B281" t="s">
        <v>496</v>
      </c>
      <c r="D281" t="s">
        <v>530</v>
      </c>
      <c r="E281" s="13">
        <v>1</v>
      </c>
      <c r="F281" s="6">
        <v>74</v>
      </c>
      <c r="G281" s="6">
        <v>100</v>
      </c>
      <c r="H281" s="7">
        <f t="shared" si="9"/>
        <v>0.26</v>
      </c>
    </row>
    <row r="282" spans="1:8" ht="15" customHeight="1" x14ac:dyDescent="0.25">
      <c r="A282" t="s">
        <v>58</v>
      </c>
      <c r="B282" t="s">
        <v>358</v>
      </c>
      <c r="D282" t="s">
        <v>531</v>
      </c>
      <c r="E282" s="13">
        <v>12</v>
      </c>
      <c r="F282" s="6">
        <f>22/12</f>
        <v>1.8333333333333333</v>
      </c>
      <c r="G282" s="6">
        <v>15</v>
      </c>
      <c r="H282" s="7">
        <f t="shared" si="9"/>
        <v>0.87777777777777777</v>
      </c>
    </row>
    <row r="283" spans="1:8" ht="15" customHeight="1" x14ac:dyDescent="0.25">
      <c r="A283" t="s">
        <v>58</v>
      </c>
      <c r="B283" t="s">
        <v>263</v>
      </c>
      <c r="C283" s="19" t="s">
        <v>532</v>
      </c>
      <c r="D283" t="s">
        <v>533</v>
      </c>
      <c r="E283" s="13">
        <v>3</v>
      </c>
      <c r="F283" s="6">
        <v>43</v>
      </c>
      <c r="G283" s="6">
        <v>55</v>
      </c>
      <c r="H283" s="7">
        <f t="shared" si="9"/>
        <v>0.21818181818181817</v>
      </c>
    </row>
    <row r="284" spans="1:8" ht="15" customHeight="1" x14ac:dyDescent="0.25">
      <c r="A284" t="s">
        <v>58</v>
      </c>
      <c r="B284" t="s">
        <v>25</v>
      </c>
      <c r="D284" t="s">
        <v>534</v>
      </c>
      <c r="E284" s="13">
        <v>10</v>
      </c>
      <c r="F284" s="6">
        <f>182/10</f>
        <v>18.2</v>
      </c>
      <c r="G284" s="6">
        <v>25</v>
      </c>
      <c r="H284" s="7">
        <f t="shared" si="9"/>
        <v>0.27200000000000002</v>
      </c>
    </row>
    <row r="285" spans="1:8" ht="15" customHeight="1" x14ac:dyDescent="0.25">
      <c r="A285" t="s">
        <v>58</v>
      </c>
      <c r="B285" t="s">
        <v>419</v>
      </c>
      <c r="D285" t="s">
        <v>535</v>
      </c>
      <c r="E285" s="13">
        <v>10</v>
      </c>
      <c r="G285" s="6">
        <v>55</v>
      </c>
      <c r="H285" s="7">
        <f t="shared" si="9"/>
        <v>1</v>
      </c>
    </row>
    <row r="286" spans="1:8" ht="15" customHeight="1" x14ac:dyDescent="0.25">
      <c r="A286" t="s">
        <v>58</v>
      </c>
      <c r="B286" t="s">
        <v>370</v>
      </c>
      <c r="D286" t="s">
        <v>536</v>
      </c>
      <c r="E286" s="13">
        <v>6</v>
      </c>
      <c r="F286" s="6">
        <f>16.5</f>
        <v>16.5</v>
      </c>
      <c r="G286" s="6">
        <v>50</v>
      </c>
      <c r="H286" s="7">
        <f t="shared" si="9"/>
        <v>0.67</v>
      </c>
    </row>
    <row r="287" spans="1:8" ht="15" customHeight="1" x14ac:dyDescent="0.25">
      <c r="A287" t="s">
        <v>58</v>
      </c>
      <c r="B287" t="s">
        <v>370</v>
      </c>
      <c r="D287" t="s">
        <v>537</v>
      </c>
      <c r="E287" s="13">
        <v>6</v>
      </c>
      <c r="F287" s="6">
        <f>18</f>
        <v>18</v>
      </c>
      <c r="G287" s="6">
        <v>35</v>
      </c>
      <c r="H287" s="7">
        <f t="shared" si="9"/>
        <v>0.48571428571428571</v>
      </c>
    </row>
    <row r="288" spans="1:8" ht="15" customHeight="1" x14ac:dyDescent="0.25">
      <c r="A288" t="s">
        <v>58</v>
      </c>
      <c r="B288" t="s">
        <v>489</v>
      </c>
      <c r="D288" t="s">
        <v>538</v>
      </c>
      <c r="E288" s="13">
        <v>6</v>
      </c>
      <c r="F288" s="6">
        <v>18</v>
      </c>
      <c r="G288" s="6">
        <v>30</v>
      </c>
      <c r="H288" s="7">
        <f t="shared" si="9"/>
        <v>0.4</v>
      </c>
    </row>
    <row r="289" spans="1:10" x14ac:dyDescent="0.25">
      <c r="A289" t="s">
        <v>58</v>
      </c>
      <c r="B289" t="s">
        <v>321</v>
      </c>
      <c r="D289" t="s">
        <v>539</v>
      </c>
      <c r="E289" s="13">
        <v>3</v>
      </c>
      <c r="F289" s="6">
        <v>35</v>
      </c>
      <c r="G289" s="6">
        <v>65</v>
      </c>
      <c r="H289" s="7">
        <f t="shared" si="9"/>
        <v>0.46153846153846156</v>
      </c>
    </row>
    <row r="290" spans="1:10" x14ac:dyDescent="0.25">
      <c r="A290" t="s">
        <v>58</v>
      </c>
      <c r="B290" t="s">
        <v>321</v>
      </c>
      <c r="D290" t="s">
        <v>540</v>
      </c>
      <c r="E290" s="13">
        <v>3</v>
      </c>
      <c r="F290" s="6">
        <v>48</v>
      </c>
      <c r="G290" s="6">
        <v>85</v>
      </c>
      <c r="H290" s="7">
        <f t="shared" si="9"/>
        <v>0.43529411764705883</v>
      </c>
    </row>
    <row r="291" spans="1:10" x14ac:dyDescent="0.25">
      <c r="A291" t="s">
        <v>58</v>
      </c>
      <c r="B291" t="s">
        <v>321</v>
      </c>
      <c r="D291" t="s">
        <v>541</v>
      </c>
      <c r="E291" s="13">
        <v>6</v>
      </c>
      <c r="F291" s="6">
        <v>27</v>
      </c>
      <c r="G291" s="6">
        <v>50</v>
      </c>
      <c r="H291" s="7">
        <f t="shared" si="9"/>
        <v>0.46</v>
      </c>
    </row>
    <row r="292" spans="1:10" x14ac:dyDescent="0.25">
      <c r="A292" t="s">
        <v>58</v>
      </c>
      <c r="B292" t="s">
        <v>321</v>
      </c>
      <c r="D292" t="s">
        <v>542</v>
      </c>
      <c r="E292" s="13">
        <v>6</v>
      </c>
      <c r="F292" s="6">
        <v>19</v>
      </c>
      <c r="G292" s="6">
        <v>35</v>
      </c>
      <c r="H292" s="7">
        <f t="shared" si="9"/>
        <v>0.45714285714285713</v>
      </c>
    </row>
    <row r="293" spans="1:10" x14ac:dyDescent="0.25">
      <c r="A293" t="s">
        <v>58</v>
      </c>
      <c r="B293" t="s">
        <v>321</v>
      </c>
      <c r="D293" t="s">
        <v>543</v>
      </c>
      <c r="E293" s="13">
        <v>12</v>
      </c>
      <c r="F293" s="6">
        <v>34</v>
      </c>
      <c r="G293" s="6">
        <v>65</v>
      </c>
      <c r="H293" s="7">
        <f t="shared" si="9"/>
        <v>0.47692307692307695</v>
      </c>
    </row>
    <row r="294" spans="1:10" x14ac:dyDescent="0.25">
      <c r="A294" t="s">
        <v>58</v>
      </c>
      <c r="B294" t="s">
        <v>321</v>
      </c>
      <c r="D294" t="s">
        <v>544</v>
      </c>
      <c r="E294" s="13">
        <v>4</v>
      </c>
      <c r="F294" s="6">
        <v>158</v>
      </c>
      <c r="G294" s="6">
        <v>295</v>
      </c>
      <c r="H294" s="7">
        <f t="shared" si="9"/>
        <v>0.46440677966101696</v>
      </c>
    </row>
    <row r="295" spans="1:10" x14ac:dyDescent="0.25">
      <c r="A295" t="s">
        <v>58</v>
      </c>
      <c r="B295" t="s">
        <v>321</v>
      </c>
      <c r="D295" t="s">
        <v>545</v>
      </c>
      <c r="E295" s="13">
        <v>12</v>
      </c>
      <c r="F295" s="6">
        <v>11.5</v>
      </c>
      <c r="G295" s="6">
        <v>25</v>
      </c>
      <c r="H295" s="7">
        <f t="shared" si="9"/>
        <v>0.54</v>
      </c>
    </row>
    <row r="296" spans="1:10" x14ac:dyDescent="0.25">
      <c r="A296" t="s">
        <v>58</v>
      </c>
      <c r="B296" t="s">
        <v>321</v>
      </c>
      <c r="D296" t="s">
        <v>546</v>
      </c>
      <c r="E296" s="13">
        <v>12</v>
      </c>
      <c r="F296" s="6">
        <v>15.5</v>
      </c>
      <c r="G296" s="6">
        <v>45</v>
      </c>
      <c r="H296" s="7">
        <f t="shared" si="9"/>
        <v>0.65555555555555556</v>
      </c>
    </row>
    <row r="297" spans="1:10" x14ac:dyDescent="0.25">
      <c r="A297" t="s">
        <v>58</v>
      </c>
      <c r="B297" t="s">
        <v>321</v>
      </c>
      <c r="D297" t="s">
        <v>547</v>
      </c>
      <c r="E297" s="13">
        <v>12</v>
      </c>
      <c r="F297" s="6">
        <v>12.5</v>
      </c>
      <c r="G297" s="6">
        <v>35</v>
      </c>
      <c r="H297" s="7">
        <f t="shared" si="9"/>
        <v>0.6428571428571429</v>
      </c>
    </row>
    <row r="298" spans="1:10" x14ac:dyDescent="0.25">
      <c r="A298" t="s">
        <v>58</v>
      </c>
      <c r="B298" t="s">
        <v>321</v>
      </c>
      <c r="D298" t="s">
        <v>548</v>
      </c>
      <c r="E298" s="13">
        <v>4</v>
      </c>
      <c r="F298" s="6">
        <v>49</v>
      </c>
      <c r="G298" s="6">
        <v>125</v>
      </c>
      <c r="H298" s="7">
        <f t="shared" si="9"/>
        <v>0.60799999999999998</v>
      </c>
    </row>
    <row r="299" spans="1:10" x14ac:dyDescent="0.25">
      <c r="A299" t="s">
        <v>58</v>
      </c>
      <c r="B299" t="s">
        <v>321</v>
      </c>
      <c r="D299" t="s">
        <v>549</v>
      </c>
      <c r="E299" s="13">
        <v>20</v>
      </c>
      <c r="F299" s="6">
        <v>9.3000000000000007</v>
      </c>
      <c r="G299" s="6">
        <v>22</v>
      </c>
      <c r="H299" s="7">
        <f t="shared" si="9"/>
        <v>0.57727272727272727</v>
      </c>
      <c r="J299">
        <f>450/20</f>
        <v>22.5</v>
      </c>
    </row>
    <row r="300" spans="1:10" x14ac:dyDescent="0.25">
      <c r="A300" t="s">
        <v>58</v>
      </c>
      <c r="B300" t="s">
        <v>321</v>
      </c>
      <c r="D300" t="s">
        <v>550</v>
      </c>
      <c r="E300" s="13">
        <v>12</v>
      </c>
      <c r="F300" s="6">
        <v>7</v>
      </c>
      <c r="G300" s="6">
        <v>15</v>
      </c>
      <c r="H300" s="7">
        <f t="shared" si="9"/>
        <v>0.53333333333333333</v>
      </c>
    </row>
    <row r="301" spans="1:10" x14ac:dyDescent="0.25">
      <c r="A301" t="s">
        <v>58</v>
      </c>
      <c r="B301" t="s">
        <v>321</v>
      </c>
      <c r="D301" t="s">
        <v>551</v>
      </c>
      <c r="E301" s="13">
        <v>2</v>
      </c>
      <c r="F301" s="6">
        <v>85</v>
      </c>
      <c r="G301" s="6">
        <v>175</v>
      </c>
      <c r="H301" s="7">
        <f t="shared" si="9"/>
        <v>0.51428571428571423</v>
      </c>
    </row>
    <row r="302" spans="1:10" x14ac:dyDescent="0.25">
      <c r="A302" t="s">
        <v>58</v>
      </c>
      <c r="B302" t="s">
        <v>321</v>
      </c>
      <c r="D302" t="s">
        <v>552</v>
      </c>
      <c r="E302" s="13">
        <v>2</v>
      </c>
      <c r="F302" s="6">
        <v>95</v>
      </c>
      <c r="G302" s="6">
        <v>195</v>
      </c>
      <c r="H302" s="7">
        <f t="shared" si="9"/>
        <v>0.51282051282051277</v>
      </c>
    </row>
    <row r="303" spans="1:10" x14ac:dyDescent="0.25">
      <c r="A303" t="s">
        <v>58</v>
      </c>
      <c r="B303" t="s">
        <v>321</v>
      </c>
      <c r="D303" t="s">
        <v>553</v>
      </c>
      <c r="E303" s="13">
        <v>2</v>
      </c>
      <c r="F303" s="6">
        <v>105</v>
      </c>
      <c r="G303" s="6">
        <v>235</v>
      </c>
      <c r="H303" s="7">
        <f t="shared" si="9"/>
        <v>0.55319148936170215</v>
      </c>
    </row>
    <row r="304" spans="1:10" x14ac:dyDescent="0.25">
      <c r="A304" t="s">
        <v>58</v>
      </c>
      <c r="B304" t="s">
        <v>321</v>
      </c>
      <c r="D304" t="s">
        <v>554</v>
      </c>
      <c r="E304" s="13">
        <v>2</v>
      </c>
      <c r="F304" s="6">
        <v>148</v>
      </c>
      <c r="G304" s="6">
        <v>295</v>
      </c>
      <c r="H304" s="7">
        <f t="shared" si="9"/>
        <v>0.49830508474576274</v>
      </c>
    </row>
    <row r="305" spans="1:9" x14ac:dyDescent="0.25">
      <c r="A305" t="s">
        <v>58</v>
      </c>
      <c r="B305" t="s">
        <v>321</v>
      </c>
      <c r="D305" t="s">
        <v>555</v>
      </c>
      <c r="E305" s="13">
        <v>2</v>
      </c>
      <c r="F305" s="6">
        <v>158</v>
      </c>
      <c r="G305" s="6">
        <v>320</v>
      </c>
      <c r="H305" s="7">
        <f t="shared" si="9"/>
        <v>0.50624999999999998</v>
      </c>
    </row>
    <row r="306" spans="1:9" x14ac:dyDescent="0.25">
      <c r="A306" t="s">
        <v>58</v>
      </c>
      <c r="B306" t="s">
        <v>321</v>
      </c>
      <c r="D306" t="s">
        <v>556</v>
      </c>
      <c r="E306" s="13">
        <v>2</v>
      </c>
      <c r="F306" s="6">
        <v>179</v>
      </c>
      <c r="G306" s="6">
        <v>375</v>
      </c>
      <c r="H306" s="7">
        <f t="shared" si="9"/>
        <v>0.52266666666666661</v>
      </c>
    </row>
    <row r="307" spans="1:9" x14ac:dyDescent="0.25">
      <c r="A307" t="s">
        <v>58</v>
      </c>
      <c r="B307" t="s">
        <v>321</v>
      </c>
      <c r="D307" t="s">
        <v>557</v>
      </c>
      <c r="E307" s="13">
        <v>30</v>
      </c>
      <c r="F307" s="6">
        <v>5.3</v>
      </c>
      <c r="G307" s="6">
        <v>12</v>
      </c>
      <c r="H307" s="7">
        <f t="shared" si="9"/>
        <v>0.55833333333333335</v>
      </c>
    </row>
    <row r="308" spans="1:9" ht="15" customHeight="1" x14ac:dyDescent="0.25">
      <c r="A308" t="s">
        <v>58</v>
      </c>
      <c r="B308" t="s">
        <v>558</v>
      </c>
      <c r="D308" t="s">
        <v>559</v>
      </c>
      <c r="E308" s="13">
        <v>1</v>
      </c>
      <c r="F308" s="6">
        <v>19.5</v>
      </c>
      <c r="G308" s="6">
        <v>29</v>
      </c>
      <c r="H308" s="7">
        <f t="shared" si="9"/>
        <v>0.32758620689655171</v>
      </c>
    </row>
    <row r="309" spans="1:9" ht="15" customHeight="1" x14ac:dyDescent="0.25">
      <c r="A309" t="s">
        <v>58</v>
      </c>
      <c r="B309" t="s">
        <v>558</v>
      </c>
      <c r="D309" t="s">
        <v>560</v>
      </c>
      <c r="E309" s="13">
        <v>1</v>
      </c>
      <c r="F309" s="6">
        <v>31.5</v>
      </c>
      <c r="G309" s="6">
        <v>48</v>
      </c>
      <c r="H309" s="7">
        <f t="shared" si="9"/>
        <v>0.34375</v>
      </c>
    </row>
    <row r="310" spans="1:9" ht="15" customHeight="1" x14ac:dyDescent="0.25">
      <c r="A310" t="s">
        <v>58</v>
      </c>
      <c r="B310" t="s">
        <v>263</v>
      </c>
      <c r="C310" s="19" t="s">
        <v>561</v>
      </c>
      <c r="D310" t="s">
        <v>562</v>
      </c>
      <c r="E310" s="13">
        <v>10</v>
      </c>
      <c r="F310" s="6">
        <v>16.3</v>
      </c>
      <c r="G310" s="6">
        <v>30</v>
      </c>
      <c r="H310" s="7">
        <f t="shared" si="9"/>
        <v>0.45666666666666667</v>
      </c>
    </row>
    <row r="311" spans="1:9" ht="15" customHeight="1" x14ac:dyDescent="0.25">
      <c r="A311" t="s">
        <v>58</v>
      </c>
      <c r="B311" t="s">
        <v>334</v>
      </c>
      <c r="D311" t="s">
        <v>563</v>
      </c>
      <c r="E311" s="13">
        <v>1</v>
      </c>
      <c r="F311" s="6">
        <v>15.5</v>
      </c>
      <c r="G311" s="6">
        <v>22</v>
      </c>
      <c r="H311" s="7">
        <f t="shared" si="9"/>
        <v>0.29545454545454547</v>
      </c>
    </row>
    <row r="312" spans="1:9" ht="15" customHeight="1" x14ac:dyDescent="0.25">
      <c r="A312" t="s">
        <v>58</v>
      </c>
      <c r="B312" t="s">
        <v>334</v>
      </c>
      <c r="D312" t="s">
        <v>564</v>
      </c>
      <c r="E312" s="13">
        <v>10</v>
      </c>
      <c r="F312" s="6">
        <f>72/10</f>
        <v>7.2</v>
      </c>
      <c r="G312" s="6">
        <v>12</v>
      </c>
      <c r="H312" s="7">
        <f t="shared" si="9"/>
        <v>0.39999999999999997</v>
      </c>
    </row>
    <row r="313" spans="1:9" ht="15" customHeight="1" x14ac:dyDescent="0.25">
      <c r="A313" t="s">
        <v>58</v>
      </c>
      <c r="B313" t="s">
        <v>263</v>
      </c>
      <c r="C313" s="19" t="s">
        <v>565</v>
      </c>
      <c r="D313" t="s">
        <v>566</v>
      </c>
      <c r="E313" s="13">
        <v>3</v>
      </c>
      <c r="F313" s="6">
        <v>109</v>
      </c>
      <c r="G313" s="6">
        <v>141</v>
      </c>
      <c r="H313" s="7">
        <f t="shared" si="9"/>
        <v>0.22695035460992907</v>
      </c>
    </row>
    <row r="314" spans="1:9" ht="15" customHeight="1" x14ac:dyDescent="0.25">
      <c r="A314" t="s">
        <v>58</v>
      </c>
      <c r="B314" t="s">
        <v>113</v>
      </c>
      <c r="C314" s="19" t="s">
        <v>567</v>
      </c>
      <c r="D314" t="s">
        <v>568</v>
      </c>
      <c r="E314" s="13">
        <v>10</v>
      </c>
      <c r="F314" s="6">
        <v>36</v>
      </c>
      <c r="G314" s="6">
        <v>60</v>
      </c>
      <c r="H314" s="7">
        <f t="shared" si="9"/>
        <v>0.4</v>
      </c>
    </row>
    <row r="315" spans="1:9" ht="15" customHeight="1" x14ac:dyDescent="0.25">
      <c r="A315" t="s">
        <v>58</v>
      </c>
      <c r="B315" t="s">
        <v>569</v>
      </c>
      <c r="C315" s="19" t="s">
        <v>570</v>
      </c>
      <c r="D315" t="s">
        <v>571</v>
      </c>
      <c r="E315" s="13">
        <v>1</v>
      </c>
      <c r="F315" s="6">
        <v>156</v>
      </c>
      <c r="G315" s="6">
        <v>200</v>
      </c>
      <c r="H315" s="7">
        <f t="shared" si="9"/>
        <v>0.22</v>
      </c>
    </row>
    <row r="316" spans="1:9" ht="15" customHeight="1" x14ac:dyDescent="0.25">
      <c r="A316" t="s">
        <v>58</v>
      </c>
      <c r="B316" t="s">
        <v>113</v>
      </c>
      <c r="D316" t="s">
        <v>572</v>
      </c>
      <c r="E316" s="13">
        <v>10</v>
      </c>
      <c r="F316" s="6">
        <v>10</v>
      </c>
      <c r="G316" s="6">
        <v>15</v>
      </c>
      <c r="H316" s="7">
        <f t="shared" si="9"/>
        <v>0.33333333333333331</v>
      </c>
    </row>
    <row r="317" spans="1:9" ht="15" customHeight="1" x14ac:dyDescent="0.25">
      <c r="A317" t="s">
        <v>58</v>
      </c>
      <c r="B317" t="s">
        <v>481</v>
      </c>
      <c r="C317" s="19" t="s">
        <v>573</v>
      </c>
      <c r="D317" t="s">
        <v>574</v>
      </c>
      <c r="E317" s="13">
        <v>100</v>
      </c>
      <c r="F317" s="6">
        <f>130/50</f>
        <v>2.6</v>
      </c>
      <c r="G317" s="6">
        <v>5</v>
      </c>
      <c r="H317" s="7">
        <f t="shared" si="9"/>
        <v>0.48</v>
      </c>
      <c r="I317">
        <v>130</v>
      </c>
    </row>
    <row r="318" spans="1:9" ht="15" customHeight="1" x14ac:dyDescent="0.25">
      <c r="A318" t="s">
        <v>58</v>
      </c>
      <c r="B318" t="s">
        <v>481</v>
      </c>
      <c r="D318" t="s">
        <v>575</v>
      </c>
      <c r="E318" s="13">
        <v>50</v>
      </c>
      <c r="F318" s="6">
        <f>160/50</f>
        <v>3.2</v>
      </c>
      <c r="G318" s="6">
        <v>6</v>
      </c>
      <c r="H318" s="7">
        <f t="shared" si="9"/>
        <v>0.46666666666666662</v>
      </c>
    </row>
    <row r="319" spans="1:9" ht="15" customHeight="1" x14ac:dyDescent="0.25">
      <c r="A319" t="s">
        <v>58</v>
      </c>
      <c r="B319" t="s">
        <v>569</v>
      </c>
      <c r="D319" t="s">
        <v>576</v>
      </c>
      <c r="E319" s="13">
        <v>100</v>
      </c>
      <c r="F319" s="6">
        <f>134/100</f>
        <v>1.34</v>
      </c>
      <c r="G319" s="6">
        <v>2</v>
      </c>
      <c r="H319" s="7">
        <f t="shared" si="9"/>
        <v>0.32999999999999996</v>
      </c>
    </row>
    <row r="320" spans="1:9" ht="15" customHeight="1" x14ac:dyDescent="0.25">
      <c r="A320" t="s">
        <v>58</v>
      </c>
      <c r="B320" t="s">
        <v>358</v>
      </c>
      <c r="D320" t="s">
        <v>577</v>
      </c>
      <c r="E320" s="13">
        <v>12</v>
      </c>
      <c r="F320" s="6">
        <f>228/12</f>
        <v>19</v>
      </c>
      <c r="G320" s="6">
        <v>25</v>
      </c>
      <c r="H320" s="7">
        <f t="shared" si="9"/>
        <v>0.24</v>
      </c>
    </row>
    <row r="321" spans="1:8" ht="15" customHeight="1" x14ac:dyDescent="0.25">
      <c r="A321" t="s">
        <v>58</v>
      </c>
      <c r="B321" t="s">
        <v>569</v>
      </c>
      <c r="C321" s="19" t="s">
        <v>578</v>
      </c>
      <c r="D321" t="s">
        <v>579</v>
      </c>
      <c r="E321" s="13">
        <v>100</v>
      </c>
      <c r="F321" s="6">
        <f>156/100</f>
        <v>1.56</v>
      </c>
      <c r="G321" s="6">
        <v>2</v>
      </c>
      <c r="H321" s="7">
        <f t="shared" si="9"/>
        <v>0.21999999999999997</v>
      </c>
    </row>
    <row r="322" spans="1:8" ht="15" customHeight="1" x14ac:dyDescent="0.25">
      <c r="A322" t="s">
        <v>58</v>
      </c>
      <c r="B322" t="s">
        <v>150</v>
      </c>
      <c r="C322" s="19" t="s">
        <v>580</v>
      </c>
      <c r="D322" t="s">
        <v>581</v>
      </c>
      <c r="E322" s="13">
        <v>30</v>
      </c>
      <c r="F322" s="6">
        <f>27/10</f>
        <v>2.7</v>
      </c>
      <c r="G322" s="6">
        <v>4</v>
      </c>
      <c r="H322" s="7">
        <f t="shared" si="9"/>
        <v>0.32499999999999996</v>
      </c>
    </row>
    <row r="323" spans="1:8" ht="15" customHeight="1" x14ac:dyDescent="0.25">
      <c r="A323" t="s">
        <v>58</v>
      </c>
      <c r="B323" t="s">
        <v>150</v>
      </c>
      <c r="C323" s="19" t="s">
        <v>582</v>
      </c>
      <c r="D323" t="s">
        <v>583</v>
      </c>
      <c r="E323" s="13">
        <v>30</v>
      </c>
      <c r="F323" s="6">
        <f>22.5/10</f>
        <v>2.25</v>
      </c>
      <c r="G323" s="6">
        <v>3.5</v>
      </c>
      <c r="H323" s="7">
        <f t="shared" si="9"/>
        <v>0.35714285714285715</v>
      </c>
    </row>
    <row r="324" spans="1:8" ht="15" customHeight="1" x14ac:dyDescent="0.25">
      <c r="A324" t="s">
        <v>58</v>
      </c>
      <c r="B324" t="s">
        <v>294</v>
      </c>
      <c r="D324" t="s">
        <v>584</v>
      </c>
      <c r="E324" s="13">
        <v>5</v>
      </c>
      <c r="F324" s="6">
        <v>9.5</v>
      </c>
      <c r="G324" s="6">
        <v>12</v>
      </c>
      <c r="H324" s="7">
        <f t="shared" si="9"/>
        <v>0.20833333333333334</v>
      </c>
    </row>
    <row r="325" spans="1:8" ht="15" customHeight="1" x14ac:dyDescent="0.25">
      <c r="A325" t="s">
        <v>58</v>
      </c>
      <c r="B325" t="s">
        <v>334</v>
      </c>
      <c r="D325" t="s">
        <v>585</v>
      </c>
      <c r="E325" s="13">
        <v>10</v>
      </c>
      <c r="F325" s="6">
        <v>6.5</v>
      </c>
      <c r="G325" s="6">
        <v>10</v>
      </c>
      <c r="H325" s="7">
        <f t="shared" si="9"/>
        <v>0.35</v>
      </c>
    </row>
    <row r="326" spans="1:8" ht="15" customHeight="1" x14ac:dyDescent="0.25">
      <c r="A326" t="s">
        <v>58</v>
      </c>
      <c r="B326" t="s">
        <v>25</v>
      </c>
      <c r="D326" t="s">
        <v>586</v>
      </c>
      <c r="E326" s="13">
        <v>50</v>
      </c>
      <c r="F326" s="6">
        <f>57/10</f>
        <v>5.7</v>
      </c>
      <c r="G326" s="6">
        <v>9</v>
      </c>
      <c r="H326" s="7">
        <f t="shared" si="9"/>
        <v>0.36666666666666664</v>
      </c>
    </row>
    <row r="327" spans="1:8" ht="15" customHeight="1" x14ac:dyDescent="0.25">
      <c r="A327" t="s">
        <v>393</v>
      </c>
      <c r="B327" t="s">
        <v>263</v>
      </c>
      <c r="C327" s="19" t="s">
        <v>587</v>
      </c>
      <c r="D327" t="s">
        <v>588</v>
      </c>
      <c r="E327" s="13">
        <v>1</v>
      </c>
      <c r="F327" s="6">
        <v>90</v>
      </c>
      <c r="G327" s="6">
        <v>135</v>
      </c>
      <c r="H327" s="7">
        <f t="shared" si="9"/>
        <v>0.33333333333333331</v>
      </c>
    </row>
    <row r="328" spans="1:8" ht="15" customHeight="1" x14ac:dyDescent="0.25">
      <c r="A328" t="s">
        <v>393</v>
      </c>
      <c r="B328" t="s">
        <v>294</v>
      </c>
      <c r="D328" t="s">
        <v>589</v>
      </c>
      <c r="E328" s="13">
        <v>1</v>
      </c>
      <c r="F328" s="6">
        <v>72</v>
      </c>
      <c r="G328" s="6">
        <v>135</v>
      </c>
      <c r="H328" s="7">
        <f t="shared" si="9"/>
        <v>0.46666666666666667</v>
      </c>
    </row>
    <row r="329" spans="1:8" ht="15" customHeight="1" x14ac:dyDescent="0.25">
      <c r="A329" t="s">
        <v>393</v>
      </c>
      <c r="B329" t="s">
        <v>268</v>
      </c>
      <c r="C329" s="19" t="s">
        <v>590</v>
      </c>
      <c r="D329" t="s">
        <v>591</v>
      </c>
      <c r="E329" s="13">
        <v>12</v>
      </c>
      <c r="F329" s="6">
        <f>90/12</f>
        <v>7.5</v>
      </c>
      <c r="G329" s="6">
        <v>10</v>
      </c>
      <c r="H329" s="7">
        <f t="shared" si="9"/>
        <v>0.25</v>
      </c>
    </row>
    <row r="330" spans="1:8" ht="15" customHeight="1" x14ac:dyDescent="0.25">
      <c r="A330" t="s">
        <v>393</v>
      </c>
      <c r="B330" t="s">
        <v>110</v>
      </c>
      <c r="C330" s="19" t="s">
        <v>592</v>
      </c>
      <c r="D330" t="s">
        <v>593</v>
      </c>
      <c r="E330" s="13">
        <v>1</v>
      </c>
      <c r="F330" s="6">
        <v>54</v>
      </c>
      <c r="G330" s="6">
        <v>75</v>
      </c>
      <c r="H330" s="7">
        <f t="shared" si="9"/>
        <v>0.28000000000000003</v>
      </c>
    </row>
    <row r="331" spans="1:8" ht="15" customHeight="1" x14ac:dyDescent="0.25">
      <c r="A331" t="s">
        <v>393</v>
      </c>
      <c r="B331" t="s">
        <v>172</v>
      </c>
      <c r="D331" t="s">
        <v>594</v>
      </c>
      <c r="E331" s="13">
        <v>1</v>
      </c>
      <c r="F331" s="6">
        <v>90</v>
      </c>
      <c r="G331" s="6">
        <v>128</v>
      </c>
      <c r="H331" s="7">
        <f t="shared" si="9"/>
        <v>0.296875</v>
      </c>
    </row>
    <row r="332" spans="1:8" ht="15" customHeight="1" x14ac:dyDescent="0.25">
      <c r="A332" t="s">
        <v>393</v>
      </c>
      <c r="B332" t="s">
        <v>263</v>
      </c>
      <c r="D332" s="13" t="s">
        <v>265</v>
      </c>
      <c r="E332" s="13">
        <v>3</v>
      </c>
      <c r="F332" s="6">
        <v>36</v>
      </c>
      <c r="G332" s="6">
        <v>65</v>
      </c>
      <c r="H332" s="7">
        <f t="shared" si="9"/>
        <v>0.44615384615384618</v>
      </c>
    </row>
    <row r="333" spans="1:8" ht="15" customHeight="1" x14ac:dyDescent="0.25">
      <c r="A333" t="s">
        <v>58</v>
      </c>
      <c r="B333" t="s">
        <v>77</v>
      </c>
      <c r="C333" s="19" t="s">
        <v>595</v>
      </c>
      <c r="D333" s="13" t="s">
        <v>596</v>
      </c>
      <c r="E333" s="13">
        <v>20</v>
      </c>
      <c r="F333" s="6">
        <f>98/10</f>
        <v>9.8000000000000007</v>
      </c>
      <c r="G333" s="6">
        <v>22</v>
      </c>
      <c r="H333" s="7">
        <f t="shared" si="9"/>
        <v>0.55454545454545456</v>
      </c>
    </row>
    <row r="334" spans="1:8" ht="15" customHeight="1" x14ac:dyDescent="0.25">
      <c r="A334" t="s">
        <v>58</v>
      </c>
      <c r="B334" t="s">
        <v>113</v>
      </c>
      <c r="D334" s="13" t="s">
        <v>597</v>
      </c>
      <c r="E334" s="13">
        <v>5</v>
      </c>
      <c r="F334" s="6">
        <v>6.75</v>
      </c>
      <c r="G334" s="6">
        <v>20</v>
      </c>
      <c r="H334" s="7">
        <f t="shared" si="9"/>
        <v>0.66249999999999998</v>
      </c>
    </row>
    <row r="335" spans="1:8" ht="15" customHeight="1" x14ac:dyDescent="0.25">
      <c r="A335" t="s">
        <v>58</v>
      </c>
      <c r="B335" t="s">
        <v>263</v>
      </c>
      <c r="D335" s="13" t="s">
        <v>598</v>
      </c>
      <c r="E335" s="13">
        <v>10</v>
      </c>
      <c r="F335" s="6">
        <v>7</v>
      </c>
      <c r="G335" s="6">
        <v>15</v>
      </c>
      <c r="H335" s="7">
        <f t="shared" si="9"/>
        <v>0.53333333333333333</v>
      </c>
    </row>
    <row r="336" spans="1:8" ht="15" customHeight="1" x14ac:dyDescent="0.25">
      <c r="A336" t="s">
        <v>58</v>
      </c>
      <c r="B336" t="s">
        <v>263</v>
      </c>
      <c r="D336" s="13" t="s">
        <v>599</v>
      </c>
      <c r="E336" s="13">
        <v>10</v>
      </c>
      <c r="F336" s="6">
        <v>12.5</v>
      </c>
      <c r="G336" s="6">
        <v>22</v>
      </c>
      <c r="H336" s="7">
        <f t="shared" si="9"/>
        <v>0.43181818181818182</v>
      </c>
    </row>
    <row r="337" spans="1:10" ht="15" customHeight="1" x14ac:dyDescent="0.25">
      <c r="A337" t="s">
        <v>58</v>
      </c>
      <c r="B337" t="s">
        <v>113</v>
      </c>
      <c r="D337" s="13" t="s">
        <v>600</v>
      </c>
      <c r="E337" s="13">
        <v>10</v>
      </c>
      <c r="F337" s="6">
        <v>7.5</v>
      </c>
      <c r="G337" s="6">
        <v>16</v>
      </c>
      <c r="H337" s="7">
        <f t="shared" si="9"/>
        <v>0.53125</v>
      </c>
    </row>
    <row r="338" spans="1:10" ht="15" customHeight="1" x14ac:dyDescent="0.25">
      <c r="A338" t="s">
        <v>58</v>
      </c>
      <c r="B338" t="s">
        <v>25</v>
      </c>
      <c r="C338" s="19" t="s">
        <v>601</v>
      </c>
      <c r="D338" s="13" t="s">
        <v>602</v>
      </c>
      <c r="E338" s="13">
        <v>20</v>
      </c>
      <c r="F338" s="6">
        <f>22/5</f>
        <v>4.4000000000000004</v>
      </c>
      <c r="G338" s="6">
        <v>8</v>
      </c>
      <c r="H338" s="7">
        <f t="shared" si="9"/>
        <v>0.44999999999999996</v>
      </c>
    </row>
    <row r="339" spans="1:10" ht="15" customHeight="1" x14ac:dyDescent="0.25">
      <c r="A339" t="s">
        <v>58</v>
      </c>
      <c r="B339" t="s">
        <v>268</v>
      </c>
      <c r="D339" s="13" t="s">
        <v>603</v>
      </c>
      <c r="E339" s="13">
        <v>30</v>
      </c>
      <c r="F339" s="6">
        <f>35/10</f>
        <v>3.5</v>
      </c>
      <c r="G339" s="6">
        <v>6</v>
      </c>
      <c r="H339" s="7">
        <f t="shared" si="9"/>
        <v>0.41666666666666669</v>
      </c>
    </row>
    <row r="340" spans="1:10" ht="15" customHeight="1" x14ac:dyDescent="0.25">
      <c r="A340" t="s">
        <v>58</v>
      </c>
      <c r="B340" t="s">
        <v>110</v>
      </c>
      <c r="D340" s="13" t="s">
        <v>186</v>
      </c>
      <c r="E340" s="13">
        <v>3</v>
      </c>
      <c r="F340" s="6">
        <v>104</v>
      </c>
      <c r="G340" s="6">
        <v>150</v>
      </c>
      <c r="H340" s="7">
        <f t="shared" si="9"/>
        <v>0.30666666666666664</v>
      </c>
    </row>
    <row r="341" spans="1:10" ht="15" customHeight="1" x14ac:dyDescent="0.25">
      <c r="A341" t="s">
        <v>58</v>
      </c>
      <c r="B341" t="s">
        <v>110</v>
      </c>
      <c r="D341" s="13" t="s">
        <v>180</v>
      </c>
      <c r="E341" s="13">
        <v>3</v>
      </c>
      <c r="F341" s="6">
        <v>78</v>
      </c>
      <c r="G341" s="6">
        <v>115</v>
      </c>
      <c r="H341" s="7">
        <f t="shared" si="9"/>
        <v>0.32173913043478258</v>
      </c>
    </row>
    <row r="342" spans="1:10" ht="15" customHeight="1" x14ac:dyDescent="0.25">
      <c r="A342" t="s">
        <v>58</v>
      </c>
      <c r="B342" t="s">
        <v>164</v>
      </c>
      <c r="C342" s="19" t="s">
        <v>604</v>
      </c>
      <c r="D342" s="13" t="s">
        <v>605</v>
      </c>
      <c r="E342" s="13">
        <v>6</v>
      </c>
      <c r="F342" s="6">
        <f>45</f>
        <v>45</v>
      </c>
      <c r="G342" s="6">
        <v>100</v>
      </c>
      <c r="H342" s="7">
        <f t="shared" si="9"/>
        <v>0.55000000000000004</v>
      </c>
    </row>
    <row r="343" spans="1:10" ht="15" customHeight="1" x14ac:dyDescent="0.25">
      <c r="A343" t="s">
        <v>58</v>
      </c>
      <c r="B343" t="s">
        <v>164</v>
      </c>
      <c r="C343" s="19" t="s">
        <v>604</v>
      </c>
      <c r="D343" s="13" t="s">
        <v>606</v>
      </c>
      <c r="E343" s="13">
        <v>60</v>
      </c>
      <c r="F343" s="6">
        <f>45/10</f>
        <v>4.5</v>
      </c>
      <c r="G343" s="6">
        <f>100/10</f>
        <v>10</v>
      </c>
      <c r="H343" s="7">
        <f t="shared" si="9"/>
        <v>0.55000000000000004</v>
      </c>
    </row>
    <row r="344" spans="1:10" ht="15" customHeight="1" x14ac:dyDescent="0.25">
      <c r="A344" t="s">
        <v>58</v>
      </c>
      <c r="B344" t="s">
        <v>419</v>
      </c>
      <c r="D344" s="13" t="s">
        <v>607</v>
      </c>
      <c r="E344" s="13">
        <v>10</v>
      </c>
      <c r="F344" s="6">
        <f>84/10</f>
        <v>8.4</v>
      </c>
      <c r="G344" s="6">
        <v>13.5</v>
      </c>
      <c r="H344" s="7">
        <f t="shared" si="9"/>
        <v>0.37777777777777777</v>
      </c>
    </row>
    <row r="345" spans="1:10" ht="15" customHeight="1" x14ac:dyDescent="0.25">
      <c r="A345" t="s">
        <v>58</v>
      </c>
      <c r="B345" t="s">
        <v>419</v>
      </c>
      <c r="D345" s="13" t="s">
        <v>608</v>
      </c>
      <c r="E345" s="13">
        <v>1</v>
      </c>
      <c r="F345" s="6">
        <v>116</v>
      </c>
      <c r="G345" s="6">
        <v>300</v>
      </c>
      <c r="H345" s="7">
        <f t="shared" si="9"/>
        <v>0.61333333333333329</v>
      </c>
    </row>
    <row r="346" spans="1:10" ht="15" customHeight="1" x14ac:dyDescent="0.25">
      <c r="A346" t="s">
        <v>58</v>
      </c>
      <c r="B346" t="s">
        <v>358</v>
      </c>
      <c r="D346" s="13" t="s">
        <v>609</v>
      </c>
      <c r="E346" s="13">
        <v>6</v>
      </c>
      <c r="F346" s="6">
        <v>22.5</v>
      </c>
      <c r="G346" s="6">
        <v>150</v>
      </c>
      <c r="H346" s="7">
        <f t="shared" si="9"/>
        <v>0.85</v>
      </c>
    </row>
    <row r="347" spans="1:10" ht="15" customHeight="1" x14ac:dyDescent="0.25">
      <c r="A347" t="s">
        <v>58</v>
      </c>
      <c r="B347" t="s">
        <v>419</v>
      </c>
      <c r="D347" s="13" t="s">
        <v>610</v>
      </c>
      <c r="E347" s="13">
        <v>10</v>
      </c>
      <c r="F347" s="6">
        <f>34/10</f>
        <v>3.4</v>
      </c>
      <c r="G347" s="6">
        <v>10</v>
      </c>
      <c r="H347" s="7">
        <f t="shared" si="9"/>
        <v>0.65999999999999992</v>
      </c>
    </row>
    <row r="348" spans="1:10" ht="15" customHeight="1" x14ac:dyDescent="0.25">
      <c r="A348" t="s">
        <v>58</v>
      </c>
      <c r="B348" t="s">
        <v>263</v>
      </c>
      <c r="C348" s="19" t="s">
        <v>611</v>
      </c>
      <c r="D348" s="13" t="s">
        <v>612</v>
      </c>
      <c r="E348" s="13">
        <v>5</v>
      </c>
      <c r="F348" s="6">
        <v>26.5</v>
      </c>
      <c r="G348" s="6">
        <v>35</v>
      </c>
      <c r="H348" s="7">
        <f t="shared" si="9"/>
        <v>0.24285714285714285</v>
      </c>
      <c r="J348">
        <f>12*6</f>
        <v>72</v>
      </c>
    </row>
    <row r="349" spans="1:10" ht="15" customHeight="1" x14ac:dyDescent="0.25">
      <c r="A349" t="s">
        <v>58</v>
      </c>
      <c r="B349" t="s">
        <v>263</v>
      </c>
      <c r="C349" s="19" t="s">
        <v>613</v>
      </c>
      <c r="D349" s="13" t="s">
        <v>614</v>
      </c>
      <c r="E349" s="13">
        <v>5</v>
      </c>
      <c r="F349" s="6">
        <v>34.5</v>
      </c>
      <c r="G349" s="6">
        <v>45</v>
      </c>
      <c r="H349" s="7">
        <f t="shared" si="9"/>
        <v>0.23333333333333334</v>
      </c>
    </row>
    <row r="350" spans="1:10" ht="15" customHeight="1" x14ac:dyDescent="0.25">
      <c r="A350" t="s">
        <v>58</v>
      </c>
      <c r="B350" t="s">
        <v>25</v>
      </c>
      <c r="C350" s="19" t="s">
        <v>189</v>
      </c>
      <c r="D350" s="13" t="s">
        <v>615</v>
      </c>
      <c r="E350" s="13">
        <v>50</v>
      </c>
      <c r="F350" s="6">
        <f>64/10</f>
        <v>6.4</v>
      </c>
      <c r="G350" s="6">
        <v>10</v>
      </c>
      <c r="H350" s="7">
        <f t="shared" si="9"/>
        <v>0.36</v>
      </c>
    </row>
    <row r="351" spans="1:10" ht="15" customHeight="1" x14ac:dyDescent="0.25">
      <c r="A351" t="s">
        <v>58</v>
      </c>
      <c r="B351" t="s">
        <v>291</v>
      </c>
      <c r="C351" s="19" t="s">
        <v>616</v>
      </c>
      <c r="D351" s="13" t="s">
        <v>617</v>
      </c>
      <c r="E351" s="13">
        <v>10</v>
      </c>
      <c r="F351" s="6">
        <f>65/10</f>
        <v>6.5</v>
      </c>
      <c r="G351" s="6">
        <v>10</v>
      </c>
      <c r="H351" s="7">
        <f t="shared" si="9"/>
        <v>0.35</v>
      </c>
    </row>
    <row r="352" spans="1:10" ht="15" customHeight="1" x14ac:dyDescent="0.25">
      <c r="A352" t="s">
        <v>58</v>
      </c>
      <c r="B352" t="s">
        <v>223</v>
      </c>
      <c r="C352" s="19" t="s">
        <v>618</v>
      </c>
      <c r="D352" s="13" t="s">
        <v>240</v>
      </c>
      <c r="E352" s="13">
        <v>40</v>
      </c>
      <c r="F352" s="6">
        <f>84/20</f>
        <v>4.2</v>
      </c>
      <c r="G352" s="6">
        <v>7</v>
      </c>
      <c r="H352" s="7">
        <f t="shared" si="9"/>
        <v>0.39999999999999997</v>
      </c>
    </row>
    <row r="353" spans="1:8" ht="15" customHeight="1" x14ac:dyDescent="0.25">
      <c r="A353" t="s">
        <v>58</v>
      </c>
      <c r="B353" t="s">
        <v>294</v>
      </c>
      <c r="D353" s="13" t="s">
        <v>619</v>
      </c>
      <c r="E353" s="13">
        <v>2</v>
      </c>
      <c r="F353" s="6">
        <v>132</v>
      </c>
      <c r="G353" s="6">
        <v>240</v>
      </c>
      <c r="H353" s="7">
        <f t="shared" si="9"/>
        <v>0.45</v>
      </c>
    </row>
    <row r="354" spans="1:8" ht="15" customHeight="1" x14ac:dyDescent="0.25">
      <c r="A354" t="s">
        <v>58</v>
      </c>
      <c r="B354" t="s">
        <v>259</v>
      </c>
      <c r="D354" s="13" t="s">
        <v>620</v>
      </c>
      <c r="E354" s="13">
        <v>10</v>
      </c>
      <c r="F354" s="6">
        <f>110/10</f>
        <v>11</v>
      </c>
      <c r="G354" s="6">
        <v>18</v>
      </c>
      <c r="H354" s="7">
        <f t="shared" si="9"/>
        <v>0.3888888888888889</v>
      </c>
    </row>
    <row r="355" spans="1:8" ht="15" customHeight="1" x14ac:dyDescent="0.25">
      <c r="A355" t="s">
        <v>58</v>
      </c>
      <c r="B355" t="s">
        <v>621</v>
      </c>
      <c r="D355" s="13" t="s">
        <v>622</v>
      </c>
      <c r="E355" s="13">
        <v>100</v>
      </c>
      <c r="F355" s="6">
        <f>68/100</f>
        <v>0.68</v>
      </c>
      <c r="G355" s="6">
        <v>2</v>
      </c>
      <c r="H355" s="7">
        <f t="shared" si="9"/>
        <v>0.65999999999999992</v>
      </c>
    </row>
    <row r="356" spans="1:8" ht="15" customHeight="1" x14ac:dyDescent="0.25">
      <c r="A356" t="s">
        <v>58</v>
      </c>
      <c r="B356" t="s">
        <v>621</v>
      </c>
      <c r="D356" s="13" t="s">
        <v>623</v>
      </c>
      <c r="E356" s="13">
        <v>100</v>
      </c>
      <c r="F356" s="6">
        <v>2.9</v>
      </c>
      <c r="G356" s="6">
        <v>5</v>
      </c>
      <c r="H356" s="7">
        <f t="shared" si="9"/>
        <v>0.42000000000000004</v>
      </c>
    </row>
    <row r="357" spans="1:8" ht="15" customHeight="1" x14ac:dyDescent="0.25">
      <c r="A357" t="s">
        <v>58</v>
      </c>
      <c r="B357" t="s">
        <v>294</v>
      </c>
      <c r="C357" s="19" t="s">
        <v>624</v>
      </c>
      <c r="D357" s="13" t="s">
        <v>625</v>
      </c>
      <c r="E357" s="13">
        <v>2</v>
      </c>
      <c r="F357" s="6">
        <v>75</v>
      </c>
      <c r="G357" s="6">
        <v>120</v>
      </c>
      <c r="H357" s="7">
        <f t="shared" si="9"/>
        <v>0.375</v>
      </c>
    </row>
    <row r="358" spans="1:8" ht="15" customHeight="1" x14ac:dyDescent="0.25">
      <c r="A358" t="s">
        <v>58</v>
      </c>
      <c r="B358" t="s">
        <v>419</v>
      </c>
      <c r="D358" s="13" t="s">
        <v>626</v>
      </c>
      <c r="E358" s="13">
        <v>10</v>
      </c>
      <c r="F358" s="6">
        <f>210/10</f>
        <v>21</v>
      </c>
      <c r="G358" s="6">
        <v>30</v>
      </c>
      <c r="H358" s="7">
        <f t="shared" si="9"/>
        <v>0.3</v>
      </c>
    </row>
    <row r="359" spans="1:8" ht="15" customHeight="1" x14ac:dyDescent="0.25">
      <c r="A359" t="s">
        <v>58</v>
      </c>
      <c r="B359" t="s">
        <v>419</v>
      </c>
      <c r="D359" s="13" t="s">
        <v>627</v>
      </c>
      <c r="E359" s="13">
        <v>10</v>
      </c>
      <c r="F359" s="6">
        <f>210/10</f>
        <v>21</v>
      </c>
      <c r="G359" s="6">
        <v>30</v>
      </c>
      <c r="H359" s="7">
        <f t="shared" si="9"/>
        <v>0.3</v>
      </c>
    </row>
    <row r="360" spans="1:8" ht="15" customHeight="1" x14ac:dyDescent="0.25">
      <c r="A360" t="s">
        <v>58</v>
      </c>
      <c r="B360" t="s">
        <v>419</v>
      </c>
      <c r="D360" s="13" t="s">
        <v>628</v>
      </c>
      <c r="E360" s="13">
        <v>20</v>
      </c>
      <c r="F360" s="6">
        <f>229/20</f>
        <v>11.45</v>
      </c>
      <c r="G360" s="6">
        <v>15</v>
      </c>
      <c r="H360" s="7">
        <f t="shared" si="9"/>
        <v>0.23666666666666672</v>
      </c>
    </row>
    <row r="361" spans="1:8" ht="15" customHeight="1" x14ac:dyDescent="0.25">
      <c r="A361" t="s">
        <v>58</v>
      </c>
      <c r="B361" t="s">
        <v>110</v>
      </c>
      <c r="C361" s="19" t="s">
        <v>187</v>
      </c>
      <c r="D361" s="13" t="s">
        <v>188</v>
      </c>
      <c r="E361" s="13">
        <v>3</v>
      </c>
      <c r="F361" s="6">
        <v>66</v>
      </c>
      <c r="G361" s="6">
        <v>100</v>
      </c>
      <c r="H361" s="7">
        <f t="shared" si="9"/>
        <v>0.34</v>
      </c>
    </row>
    <row r="362" spans="1:8" ht="15" customHeight="1" x14ac:dyDescent="0.25">
      <c r="A362" t="s">
        <v>58</v>
      </c>
      <c r="B362" t="s">
        <v>629</v>
      </c>
      <c r="C362" s="19" t="s">
        <v>630</v>
      </c>
      <c r="D362" s="13" t="s">
        <v>631</v>
      </c>
      <c r="E362" s="13">
        <v>3</v>
      </c>
      <c r="F362" s="6">
        <v>34</v>
      </c>
      <c r="G362" s="6">
        <v>45</v>
      </c>
      <c r="H362" s="7">
        <f t="shared" si="9"/>
        <v>0.24444444444444444</v>
      </c>
    </row>
    <row r="363" spans="1:8" ht="15" customHeight="1" x14ac:dyDescent="0.25">
      <c r="A363" t="s">
        <v>58</v>
      </c>
      <c r="B363" t="s">
        <v>629</v>
      </c>
      <c r="C363" s="19" t="s">
        <v>632</v>
      </c>
      <c r="D363" s="13" t="s">
        <v>633</v>
      </c>
      <c r="E363" s="13">
        <v>10</v>
      </c>
      <c r="F363" s="6">
        <v>24.5</v>
      </c>
      <c r="G363" s="6">
        <v>30</v>
      </c>
      <c r="H363" s="7">
        <f t="shared" si="9"/>
        <v>0.18333333333333332</v>
      </c>
    </row>
    <row r="364" spans="1:8" ht="15" customHeight="1" x14ac:dyDescent="0.25">
      <c r="A364" t="s">
        <v>58</v>
      </c>
      <c r="B364" t="s">
        <v>629</v>
      </c>
      <c r="C364" s="19" t="s">
        <v>634</v>
      </c>
      <c r="D364" s="13" t="s">
        <v>635</v>
      </c>
      <c r="E364" s="13">
        <v>3</v>
      </c>
      <c r="F364" s="6">
        <v>16.5</v>
      </c>
      <c r="G364" s="6">
        <v>30</v>
      </c>
      <c r="H364" s="7">
        <f t="shared" si="9"/>
        <v>0.45</v>
      </c>
    </row>
    <row r="365" spans="1:8" ht="15" customHeight="1" x14ac:dyDescent="0.25">
      <c r="A365" t="s">
        <v>58</v>
      </c>
      <c r="B365" t="s">
        <v>172</v>
      </c>
      <c r="C365" s="19" t="s">
        <v>636</v>
      </c>
      <c r="D365" s="13" t="s">
        <v>637</v>
      </c>
      <c r="E365" s="13">
        <v>10</v>
      </c>
      <c r="F365" s="6">
        <f>220/10</f>
        <v>22</v>
      </c>
      <c r="G365" s="6">
        <f>480/10</f>
        <v>48</v>
      </c>
      <c r="H365" s="7">
        <f t="shared" si="9"/>
        <v>0.54166666666666663</v>
      </c>
    </row>
    <row r="366" spans="1:8" ht="15" customHeight="1" x14ac:dyDescent="0.25">
      <c r="A366" t="s">
        <v>58</v>
      </c>
      <c r="B366" t="s">
        <v>214</v>
      </c>
      <c r="D366" s="13" t="s">
        <v>638</v>
      </c>
      <c r="E366" s="13">
        <v>5</v>
      </c>
      <c r="F366" s="6">
        <v>12.5</v>
      </c>
      <c r="G366" s="6">
        <v>15</v>
      </c>
      <c r="H366" s="7">
        <f t="shared" si="9"/>
        <v>0.16666666666666666</v>
      </c>
    </row>
    <row r="367" spans="1:8" ht="15" customHeight="1" x14ac:dyDescent="0.25">
      <c r="A367" t="s">
        <v>58</v>
      </c>
      <c r="B367" t="s">
        <v>214</v>
      </c>
      <c r="D367" s="13" t="s">
        <v>639</v>
      </c>
      <c r="E367" s="13">
        <v>5</v>
      </c>
      <c r="F367" s="6">
        <v>19.5</v>
      </c>
      <c r="G367" s="6">
        <v>25</v>
      </c>
      <c r="H367" s="7">
        <f t="shared" si="9"/>
        <v>0.22</v>
      </c>
    </row>
    <row r="368" spans="1:8" ht="15" customHeight="1" x14ac:dyDescent="0.25">
      <c r="A368" t="s">
        <v>58</v>
      </c>
      <c r="B368" t="s">
        <v>214</v>
      </c>
      <c r="D368" s="13" t="s">
        <v>640</v>
      </c>
      <c r="E368" s="13">
        <v>3</v>
      </c>
      <c r="F368" s="6">
        <v>32</v>
      </c>
      <c r="G368" s="6">
        <v>40</v>
      </c>
      <c r="H368" s="7">
        <f t="shared" si="9"/>
        <v>0.2</v>
      </c>
    </row>
    <row r="369" spans="1:8" ht="15" customHeight="1" x14ac:dyDescent="0.25">
      <c r="A369" t="s">
        <v>58</v>
      </c>
      <c r="B369" t="s">
        <v>214</v>
      </c>
      <c r="D369" s="13" t="s">
        <v>641</v>
      </c>
      <c r="E369" s="13">
        <v>2</v>
      </c>
      <c r="F369" s="6">
        <v>46.5</v>
      </c>
      <c r="G369" s="6">
        <v>60</v>
      </c>
      <c r="H369" s="7">
        <f t="shared" si="9"/>
        <v>0.22500000000000001</v>
      </c>
    </row>
    <row r="370" spans="1:8" ht="15" customHeight="1" x14ac:dyDescent="0.25">
      <c r="A370" t="s">
        <v>58</v>
      </c>
      <c r="B370" t="s">
        <v>214</v>
      </c>
      <c r="C370" s="19" t="s">
        <v>642</v>
      </c>
      <c r="D370" s="13" t="s">
        <v>643</v>
      </c>
      <c r="E370" s="13">
        <v>10</v>
      </c>
      <c r="F370" s="6">
        <v>16.7</v>
      </c>
      <c r="G370" s="6">
        <v>20</v>
      </c>
      <c r="H370" s="7">
        <f t="shared" si="9"/>
        <v>0.16500000000000004</v>
      </c>
    </row>
    <row r="371" spans="1:8" ht="15" customHeight="1" x14ac:dyDescent="0.25">
      <c r="A371" t="s">
        <v>58</v>
      </c>
      <c r="B371" t="s">
        <v>644</v>
      </c>
      <c r="D371" s="13" t="s">
        <v>645</v>
      </c>
      <c r="E371" s="13">
        <v>4</v>
      </c>
      <c r="F371" s="6">
        <f>68/4</f>
        <v>17</v>
      </c>
      <c r="G371" s="6">
        <v>25</v>
      </c>
      <c r="H371" s="7">
        <f t="shared" si="9"/>
        <v>0.32</v>
      </c>
    </row>
    <row r="372" spans="1:8" ht="15" customHeight="1" x14ac:dyDescent="0.25">
      <c r="A372" t="s">
        <v>58</v>
      </c>
      <c r="B372" t="s">
        <v>644</v>
      </c>
      <c r="D372" s="13" t="s">
        <v>646</v>
      </c>
      <c r="E372" s="13">
        <v>8</v>
      </c>
      <c r="F372" s="6">
        <f>20/4</f>
        <v>5</v>
      </c>
      <c r="G372" s="6">
        <v>7</v>
      </c>
      <c r="H372" s="7">
        <f t="shared" si="9"/>
        <v>0.2857142857142857</v>
      </c>
    </row>
    <row r="373" spans="1:8" ht="15" customHeight="1" x14ac:dyDescent="0.25">
      <c r="A373" t="s">
        <v>58</v>
      </c>
      <c r="B373" t="s">
        <v>214</v>
      </c>
      <c r="D373" s="13" t="s">
        <v>647</v>
      </c>
      <c r="E373" s="13">
        <v>10</v>
      </c>
      <c r="F373" s="6">
        <v>36.5</v>
      </c>
      <c r="G373" s="6">
        <v>45</v>
      </c>
      <c r="H373" s="7">
        <f t="shared" si="9"/>
        <v>0.18888888888888888</v>
      </c>
    </row>
    <row r="374" spans="1:8" ht="15" customHeight="1" x14ac:dyDescent="0.25">
      <c r="A374" t="s">
        <v>58</v>
      </c>
      <c r="B374" t="s">
        <v>334</v>
      </c>
      <c r="D374" s="13" t="s">
        <v>648</v>
      </c>
      <c r="E374" s="13">
        <v>10</v>
      </c>
      <c r="F374" s="6">
        <v>10</v>
      </c>
      <c r="G374" s="6">
        <v>30</v>
      </c>
      <c r="H374" s="7">
        <f t="shared" si="9"/>
        <v>0.66666666666666663</v>
      </c>
    </row>
    <row r="375" spans="1:8" ht="15" customHeight="1" x14ac:dyDescent="0.25">
      <c r="A375" t="s">
        <v>58</v>
      </c>
      <c r="B375" t="s">
        <v>334</v>
      </c>
      <c r="D375" s="13" t="s">
        <v>649</v>
      </c>
      <c r="E375" s="13">
        <v>10</v>
      </c>
      <c r="F375" s="6">
        <v>10</v>
      </c>
      <c r="G375" s="6">
        <v>30</v>
      </c>
      <c r="H375" s="7">
        <f t="shared" si="9"/>
        <v>0.66666666666666663</v>
      </c>
    </row>
    <row r="376" spans="1:8" ht="15" customHeight="1" x14ac:dyDescent="0.25">
      <c r="A376" t="s">
        <v>58</v>
      </c>
      <c r="B376" t="s">
        <v>334</v>
      </c>
      <c r="D376" s="13" t="s">
        <v>650</v>
      </c>
      <c r="E376" s="13">
        <v>10</v>
      </c>
      <c r="F376" s="6">
        <v>10</v>
      </c>
      <c r="G376" s="6">
        <v>30</v>
      </c>
      <c r="H376" s="7">
        <f t="shared" si="9"/>
        <v>0.66666666666666663</v>
      </c>
    </row>
    <row r="377" spans="1:8" ht="15" customHeight="1" x14ac:dyDescent="0.25">
      <c r="A377" t="s">
        <v>58</v>
      </c>
      <c r="B377" t="s">
        <v>334</v>
      </c>
      <c r="D377" s="13" t="s">
        <v>648</v>
      </c>
      <c r="E377" s="13">
        <v>10</v>
      </c>
      <c r="F377" s="6">
        <v>10</v>
      </c>
      <c r="G377" s="6">
        <v>30</v>
      </c>
      <c r="H377" s="7">
        <f t="shared" si="9"/>
        <v>0.66666666666666663</v>
      </c>
    </row>
    <row r="378" spans="1:8" ht="15" customHeight="1" x14ac:dyDescent="0.25">
      <c r="A378" t="s">
        <v>58</v>
      </c>
      <c r="B378" t="s">
        <v>481</v>
      </c>
      <c r="D378" s="13" t="s">
        <v>651</v>
      </c>
      <c r="E378" s="13">
        <v>200</v>
      </c>
      <c r="F378" s="6">
        <f>24/100</f>
        <v>0.24</v>
      </c>
      <c r="G378" s="6">
        <v>1</v>
      </c>
      <c r="H378" s="7">
        <f t="shared" si="9"/>
        <v>0.76</v>
      </c>
    </row>
    <row r="379" spans="1:8" ht="15" customHeight="1" x14ac:dyDescent="0.25">
      <c r="A379" t="s">
        <v>58</v>
      </c>
      <c r="B379" t="s">
        <v>294</v>
      </c>
      <c r="D379" s="13" t="s">
        <v>652</v>
      </c>
      <c r="E379" s="13">
        <v>12</v>
      </c>
      <c r="F379" s="6">
        <f>43/12</f>
        <v>3.5833333333333335</v>
      </c>
      <c r="G379" s="6">
        <v>10</v>
      </c>
      <c r="H379" s="7">
        <f t="shared" si="9"/>
        <v>0.64166666666666661</v>
      </c>
    </row>
    <row r="380" spans="1:8" ht="15" customHeight="1" x14ac:dyDescent="0.25">
      <c r="A380" t="s">
        <v>58</v>
      </c>
      <c r="B380" t="s">
        <v>481</v>
      </c>
      <c r="D380" s="13" t="s">
        <v>653</v>
      </c>
      <c r="E380" s="13">
        <v>100</v>
      </c>
      <c r="F380" s="6">
        <f>208/100</f>
        <v>2.08</v>
      </c>
      <c r="G380" s="6">
        <f>360/100</f>
        <v>3.6</v>
      </c>
      <c r="H380" s="7">
        <f t="shared" si="9"/>
        <v>0.42222222222222222</v>
      </c>
    </row>
    <row r="381" spans="1:8" ht="15" customHeight="1" x14ac:dyDescent="0.25">
      <c r="A381" t="s">
        <v>58</v>
      </c>
      <c r="B381" t="s">
        <v>113</v>
      </c>
      <c r="D381" s="13" t="s">
        <v>654</v>
      </c>
      <c r="E381" s="13">
        <v>10</v>
      </c>
      <c r="F381" s="6">
        <f>9.2</f>
        <v>9.1999999999999993</v>
      </c>
      <c r="G381" s="6">
        <v>18</v>
      </c>
      <c r="H381" s="7">
        <f t="shared" si="9"/>
        <v>0.48888888888888893</v>
      </c>
    </row>
    <row r="382" spans="1:8" ht="15" customHeight="1" x14ac:dyDescent="0.25">
      <c r="A382" t="s">
        <v>58</v>
      </c>
      <c r="B382" t="s">
        <v>268</v>
      </c>
      <c r="D382" s="13" t="s">
        <v>655</v>
      </c>
      <c r="E382" s="13">
        <v>3</v>
      </c>
      <c r="F382" s="6">
        <v>35</v>
      </c>
      <c r="G382" s="6">
        <v>54</v>
      </c>
      <c r="H382" s="7">
        <f t="shared" si="9"/>
        <v>0.35185185185185186</v>
      </c>
    </row>
    <row r="383" spans="1:8" ht="15" customHeight="1" x14ac:dyDescent="0.25">
      <c r="A383" t="s">
        <v>58</v>
      </c>
      <c r="B383" t="s">
        <v>77</v>
      </c>
      <c r="C383" s="19" t="s">
        <v>656</v>
      </c>
      <c r="D383" s="13" t="s">
        <v>657</v>
      </c>
      <c r="E383" s="13">
        <v>10</v>
      </c>
      <c r="F383" s="6">
        <f>57/10</f>
        <v>5.7</v>
      </c>
      <c r="G383" s="6">
        <v>17</v>
      </c>
      <c r="H383" s="7">
        <f t="shared" si="9"/>
        <v>0.66470588235294126</v>
      </c>
    </row>
    <row r="384" spans="1:8" ht="15" customHeight="1" x14ac:dyDescent="0.25">
      <c r="A384" t="s">
        <v>58</v>
      </c>
      <c r="B384" t="s">
        <v>25</v>
      </c>
      <c r="C384" s="19" t="s">
        <v>658</v>
      </c>
      <c r="D384" s="13" t="s">
        <v>659</v>
      </c>
      <c r="E384" s="13">
        <v>6</v>
      </c>
      <c r="F384" s="6">
        <v>33.5</v>
      </c>
      <c r="G384" s="6">
        <v>45</v>
      </c>
      <c r="H384" s="7">
        <f t="shared" si="9"/>
        <v>0.25555555555555554</v>
      </c>
    </row>
    <row r="385" spans="1:8" ht="15" customHeight="1" x14ac:dyDescent="0.25">
      <c r="A385" t="s">
        <v>58</v>
      </c>
      <c r="B385" t="s">
        <v>294</v>
      </c>
      <c r="D385" s="13" t="s">
        <v>660</v>
      </c>
      <c r="E385" s="13">
        <v>6</v>
      </c>
      <c r="F385" s="6">
        <f>104/6</f>
        <v>17.333333333333332</v>
      </c>
      <c r="G385" s="6">
        <v>25</v>
      </c>
      <c r="H385" s="7">
        <f t="shared" si="9"/>
        <v>0.3066666666666667</v>
      </c>
    </row>
    <row r="386" spans="1:8" ht="15" customHeight="1" x14ac:dyDescent="0.25">
      <c r="A386" t="s">
        <v>58</v>
      </c>
      <c r="B386" t="s">
        <v>294</v>
      </c>
      <c r="D386" s="13" t="s">
        <v>661</v>
      </c>
      <c r="E386" s="13">
        <v>3</v>
      </c>
      <c r="F386" s="6">
        <f>104/3</f>
        <v>34.666666666666664</v>
      </c>
      <c r="G386" s="6">
        <v>50</v>
      </c>
      <c r="H386" s="7">
        <f t="shared" si="9"/>
        <v>0.3066666666666667</v>
      </c>
    </row>
    <row r="387" spans="1:8" ht="15" customHeight="1" x14ac:dyDescent="0.25">
      <c r="A387" t="s">
        <v>58</v>
      </c>
      <c r="B387" t="s">
        <v>621</v>
      </c>
      <c r="D387" s="13" t="s">
        <v>662</v>
      </c>
      <c r="E387" s="13">
        <v>4</v>
      </c>
      <c r="F387" s="6">
        <f>22.5</f>
        <v>22.5</v>
      </c>
      <c r="G387" s="6">
        <v>30</v>
      </c>
      <c r="H387" s="7">
        <f t="shared" si="9"/>
        <v>0.25</v>
      </c>
    </row>
    <row r="388" spans="1:8" ht="15" customHeight="1" x14ac:dyDescent="0.25">
      <c r="A388" t="s">
        <v>58</v>
      </c>
      <c r="B388" t="s">
        <v>621</v>
      </c>
      <c r="D388" s="13" t="s">
        <v>663</v>
      </c>
      <c r="E388" s="13">
        <v>6</v>
      </c>
      <c r="F388" s="6">
        <f>108/6</f>
        <v>18</v>
      </c>
      <c r="G388" s="6">
        <v>25</v>
      </c>
      <c r="H388" s="7">
        <f t="shared" si="9"/>
        <v>0.28000000000000003</v>
      </c>
    </row>
    <row r="389" spans="1:8" ht="15" customHeight="1" x14ac:dyDescent="0.25">
      <c r="A389" t="s">
        <v>58</v>
      </c>
      <c r="B389" t="s">
        <v>481</v>
      </c>
      <c r="D389" s="13" t="s">
        <v>664</v>
      </c>
      <c r="E389" s="13">
        <v>100</v>
      </c>
      <c r="F389" s="6">
        <f>21.5/100</f>
        <v>0.215</v>
      </c>
      <c r="G389" s="6">
        <v>1</v>
      </c>
      <c r="H389" s="7">
        <f t="shared" si="9"/>
        <v>0.78500000000000003</v>
      </c>
    </row>
    <row r="390" spans="1:8" ht="15" customHeight="1" x14ac:dyDescent="0.25">
      <c r="A390" t="s">
        <v>58</v>
      </c>
      <c r="B390" t="s">
        <v>481</v>
      </c>
      <c r="D390" s="13" t="s">
        <v>665</v>
      </c>
      <c r="E390">
        <f>100*10</f>
        <v>1000</v>
      </c>
      <c r="F390" s="6">
        <f>36/100</f>
        <v>0.36</v>
      </c>
      <c r="G390" s="6">
        <v>1</v>
      </c>
      <c r="H390" s="7">
        <f t="shared" si="9"/>
        <v>0.64</v>
      </c>
    </row>
    <row r="391" spans="1:8" ht="15" customHeight="1" x14ac:dyDescent="0.25">
      <c r="A391" t="s">
        <v>58</v>
      </c>
      <c r="B391" t="s">
        <v>113</v>
      </c>
      <c r="C391" s="19" t="s">
        <v>666</v>
      </c>
      <c r="D391" s="13" t="s">
        <v>667</v>
      </c>
      <c r="E391">
        <v>24</v>
      </c>
      <c r="F391" s="6">
        <v>7.3</v>
      </c>
      <c r="G391" s="6">
        <v>10</v>
      </c>
      <c r="H391" s="7">
        <f t="shared" si="9"/>
        <v>0.27</v>
      </c>
    </row>
    <row r="392" spans="1:8" ht="15" customHeight="1" x14ac:dyDescent="0.25">
      <c r="A392" t="s">
        <v>58</v>
      </c>
      <c r="B392" t="s">
        <v>113</v>
      </c>
      <c r="C392" s="19" t="s">
        <v>668</v>
      </c>
      <c r="D392" s="13" t="s">
        <v>669</v>
      </c>
      <c r="E392">
        <v>24</v>
      </c>
      <c r="F392" s="6">
        <v>13.25</v>
      </c>
      <c r="G392" s="6">
        <v>18</v>
      </c>
      <c r="H392" s="7">
        <f t="shared" si="9"/>
        <v>0.2638888888888889</v>
      </c>
    </row>
    <row r="393" spans="1:8" ht="15" customHeight="1" x14ac:dyDescent="0.25">
      <c r="A393" t="s">
        <v>58</v>
      </c>
      <c r="B393" t="s">
        <v>113</v>
      </c>
      <c r="C393" s="19" t="s">
        <v>670</v>
      </c>
      <c r="D393" s="13" t="s">
        <v>671</v>
      </c>
      <c r="E393">
        <v>12</v>
      </c>
      <c r="F393" s="6">
        <v>18</v>
      </c>
      <c r="G393" s="6">
        <v>25</v>
      </c>
      <c r="H393" s="7">
        <f t="shared" si="9"/>
        <v>0.28000000000000003</v>
      </c>
    </row>
    <row r="394" spans="1:8" ht="15" customHeight="1" x14ac:dyDescent="0.25">
      <c r="A394" t="s">
        <v>672</v>
      </c>
      <c r="B394" t="s">
        <v>54</v>
      </c>
      <c r="C394" s="19" t="s">
        <v>673</v>
      </c>
      <c r="D394" s="13" t="s">
        <v>674</v>
      </c>
      <c r="E394">
        <v>48</v>
      </c>
      <c r="F394" s="6">
        <v>10.65</v>
      </c>
      <c r="G394" s="6">
        <v>15</v>
      </c>
      <c r="H394" s="7">
        <f t="shared" ref="H394:H478" si="10">(G394-F394)/MAX(F394,G394)</f>
        <v>0.28999999999999998</v>
      </c>
    </row>
    <row r="395" spans="1:8" ht="15" customHeight="1" x14ac:dyDescent="0.25">
      <c r="A395" t="s">
        <v>672</v>
      </c>
      <c r="B395" t="s">
        <v>54</v>
      </c>
      <c r="C395" s="19" t="s">
        <v>675</v>
      </c>
      <c r="D395" s="13" t="s">
        <v>676</v>
      </c>
      <c r="E395">
        <v>6</v>
      </c>
      <c r="F395" s="6">
        <v>17.75</v>
      </c>
      <c r="G395" s="6">
        <v>25</v>
      </c>
      <c r="H395" s="7">
        <f t="shared" si="10"/>
        <v>0.28999999999999998</v>
      </c>
    </row>
    <row r="396" spans="1:8" ht="15" customHeight="1" x14ac:dyDescent="0.25">
      <c r="A396" t="s">
        <v>672</v>
      </c>
      <c r="B396" t="s">
        <v>54</v>
      </c>
      <c r="C396" s="19" t="s">
        <v>677</v>
      </c>
      <c r="D396" s="13" t="s">
        <v>678</v>
      </c>
      <c r="E396">
        <v>336</v>
      </c>
      <c r="F396" s="6">
        <v>10.65</v>
      </c>
      <c r="G396" s="6">
        <v>15</v>
      </c>
      <c r="H396" s="7">
        <f t="shared" si="10"/>
        <v>0.28999999999999998</v>
      </c>
    </row>
    <row r="397" spans="1:8" ht="15" customHeight="1" x14ac:dyDescent="0.25">
      <c r="A397" t="s">
        <v>672</v>
      </c>
      <c r="B397" t="s">
        <v>54</v>
      </c>
      <c r="C397" s="19" t="s">
        <v>679</v>
      </c>
      <c r="D397" s="13" t="s">
        <v>680</v>
      </c>
      <c r="E397">
        <v>42</v>
      </c>
      <c r="F397" s="6">
        <v>17.04</v>
      </c>
      <c r="G397" s="6">
        <v>24</v>
      </c>
      <c r="H397" s="7">
        <f t="shared" si="10"/>
        <v>0.29000000000000004</v>
      </c>
    </row>
    <row r="398" spans="1:8" ht="15" customHeight="1" x14ac:dyDescent="0.25">
      <c r="A398" t="s">
        <v>672</v>
      </c>
      <c r="B398" t="s">
        <v>54</v>
      </c>
      <c r="C398" s="19" t="s">
        <v>681</v>
      </c>
      <c r="D398" s="13" t="s">
        <v>682</v>
      </c>
      <c r="E398">
        <v>48</v>
      </c>
      <c r="F398" s="6">
        <v>10.65</v>
      </c>
      <c r="G398" s="6">
        <v>15</v>
      </c>
      <c r="H398" s="7">
        <f t="shared" si="10"/>
        <v>0.28999999999999998</v>
      </c>
    </row>
    <row r="399" spans="1:8" ht="15" customHeight="1" x14ac:dyDescent="0.25">
      <c r="A399" t="s">
        <v>672</v>
      </c>
      <c r="B399" t="s">
        <v>54</v>
      </c>
      <c r="C399" s="19" t="s">
        <v>666</v>
      </c>
      <c r="D399" s="13" t="s">
        <v>683</v>
      </c>
      <c r="E399">
        <v>24</v>
      </c>
      <c r="F399" s="6">
        <v>7.1</v>
      </c>
      <c r="G399" s="6">
        <v>10</v>
      </c>
      <c r="H399" s="7">
        <f t="shared" si="10"/>
        <v>0.29000000000000004</v>
      </c>
    </row>
    <row r="400" spans="1:8" ht="15" customHeight="1" x14ac:dyDescent="0.25">
      <c r="A400" t="s">
        <v>672</v>
      </c>
      <c r="B400" t="s">
        <v>59</v>
      </c>
      <c r="C400" s="19" t="s">
        <v>684</v>
      </c>
      <c r="D400" s="13" t="s">
        <v>685</v>
      </c>
      <c r="E400">
        <v>5</v>
      </c>
      <c r="F400" s="6">
        <v>170</v>
      </c>
      <c r="G400" s="6">
        <v>295</v>
      </c>
      <c r="H400" s="7">
        <f t="shared" si="10"/>
        <v>0.42372881355932202</v>
      </c>
    </row>
    <row r="401" spans="1:8" ht="15" customHeight="1" x14ac:dyDescent="0.25">
      <c r="A401" t="s">
        <v>672</v>
      </c>
      <c r="B401" t="s">
        <v>54</v>
      </c>
      <c r="C401" s="19" t="s">
        <v>686</v>
      </c>
      <c r="D401" s="13" t="s">
        <v>687</v>
      </c>
      <c r="E401">
        <v>84</v>
      </c>
      <c r="F401" s="6">
        <v>17.75</v>
      </c>
      <c r="G401" s="6">
        <v>25</v>
      </c>
      <c r="H401" s="7">
        <f t="shared" si="10"/>
        <v>0.28999999999999998</v>
      </c>
    </row>
    <row r="402" spans="1:8" ht="15" customHeight="1" x14ac:dyDescent="0.25">
      <c r="A402" t="s">
        <v>672</v>
      </c>
      <c r="B402" t="s">
        <v>263</v>
      </c>
      <c r="C402" s="19" t="s">
        <v>670</v>
      </c>
      <c r="D402" s="13" t="s">
        <v>671</v>
      </c>
      <c r="E402">
        <v>48</v>
      </c>
      <c r="F402" s="6">
        <v>17.75</v>
      </c>
      <c r="G402" s="6">
        <v>25</v>
      </c>
      <c r="H402" s="7">
        <f t="shared" si="10"/>
        <v>0.28999999999999998</v>
      </c>
    </row>
    <row r="403" spans="1:8" ht="15" customHeight="1" x14ac:dyDescent="0.25">
      <c r="A403" t="s">
        <v>672</v>
      </c>
      <c r="B403" t="s">
        <v>54</v>
      </c>
      <c r="C403" s="19" t="s">
        <v>688</v>
      </c>
      <c r="D403" s="13" t="s">
        <v>689</v>
      </c>
      <c r="E403">
        <v>80</v>
      </c>
      <c r="F403" s="6">
        <v>7.1</v>
      </c>
      <c r="G403" s="6">
        <v>10</v>
      </c>
      <c r="H403" s="7">
        <f t="shared" si="10"/>
        <v>0.29000000000000004</v>
      </c>
    </row>
    <row r="404" spans="1:8" ht="15" customHeight="1" x14ac:dyDescent="0.25">
      <c r="A404" t="s">
        <v>58</v>
      </c>
      <c r="B404" t="s">
        <v>88</v>
      </c>
      <c r="C404" s="19" t="s">
        <v>690</v>
      </c>
      <c r="D404" s="13" t="s">
        <v>691</v>
      </c>
      <c r="E404">
        <v>2</v>
      </c>
      <c r="F404" s="6">
        <v>55</v>
      </c>
      <c r="G404" s="6">
        <v>85</v>
      </c>
      <c r="H404" s="7">
        <f t="shared" si="10"/>
        <v>0.35294117647058826</v>
      </c>
    </row>
    <row r="405" spans="1:8" ht="15" customHeight="1" x14ac:dyDescent="0.25">
      <c r="A405" t="s">
        <v>672</v>
      </c>
      <c r="B405" t="s">
        <v>25</v>
      </c>
      <c r="C405" s="19" t="s">
        <v>692</v>
      </c>
      <c r="D405" s="13" t="s">
        <v>693</v>
      </c>
      <c r="E405">
        <v>10</v>
      </c>
      <c r="F405" s="6">
        <f>G405*71%</f>
        <v>7.1</v>
      </c>
      <c r="G405" s="6">
        <v>10</v>
      </c>
      <c r="H405" s="7">
        <f t="shared" si="10"/>
        <v>0.29000000000000004</v>
      </c>
    </row>
    <row r="406" spans="1:8" ht="15" customHeight="1" x14ac:dyDescent="0.25">
      <c r="A406" t="s">
        <v>694</v>
      </c>
      <c r="B406" t="s">
        <v>695</v>
      </c>
      <c r="D406" s="13" t="s">
        <v>696</v>
      </c>
      <c r="E406">
        <v>3</v>
      </c>
      <c r="F406" s="6">
        <v>40</v>
      </c>
      <c r="G406" s="6">
        <v>85</v>
      </c>
      <c r="H406" s="7">
        <f t="shared" si="10"/>
        <v>0.52941176470588236</v>
      </c>
    </row>
    <row r="407" spans="1:8" ht="15" customHeight="1" x14ac:dyDescent="0.25">
      <c r="A407" t="s">
        <v>694</v>
      </c>
      <c r="B407" t="s">
        <v>695</v>
      </c>
      <c r="D407" s="13" t="s">
        <v>697</v>
      </c>
      <c r="E407">
        <v>3</v>
      </c>
      <c r="F407" s="6">
        <v>30</v>
      </c>
      <c r="G407" s="6">
        <v>80</v>
      </c>
      <c r="H407" s="7">
        <f t="shared" si="10"/>
        <v>0.625</v>
      </c>
    </row>
    <row r="408" spans="1:8" ht="15" customHeight="1" x14ac:dyDescent="0.25">
      <c r="A408" t="s">
        <v>694</v>
      </c>
      <c r="B408" t="s">
        <v>695</v>
      </c>
      <c r="C408" s="19" t="s">
        <v>698</v>
      </c>
      <c r="D408" s="13" t="s">
        <v>699</v>
      </c>
      <c r="E408">
        <v>2</v>
      </c>
      <c r="F408" s="6">
        <v>190</v>
      </c>
      <c r="G408" s="6">
        <v>369</v>
      </c>
      <c r="H408" s="7">
        <f t="shared" si="10"/>
        <v>0.48509485094850946</v>
      </c>
    </row>
    <row r="409" spans="1:8" ht="15" customHeight="1" x14ac:dyDescent="0.25">
      <c r="A409" t="s">
        <v>700</v>
      </c>
      <c r="B409" t="s">
        <v>701</v>
      </c>
      <c r="C409" s="19" t="s">
        <v>702</v>
      </c>
      <c r="D409" s="13" t="s">
        <v>703</v>
      </c>
      <c r="E409">
        <v>1</v>
      </c>
      <c r="F409" s="6">
        <v>465</v>
      </c>
      <c r="G409" s="6">
        <v>820</v>
      </c>
      <c r="H409" s="7">
        <f t="shared" si="10"/>
        <v>0.43292682926829268</v>
      </c>
    </row>
    <row r="410" spans="1:8" ht="15" customHeight="1" x14ac:dyDescent="0.25">
      <c r="A410" t="s">
        <v>700</v>
      </c>
      <c r="B410" t="s">
        <v>701</v>
      </c>
      <c r="C410" s="19" t="s">
        <v>704</v>
      </c>
      <c r="D410" s="13" t="s">
        <v>703</v>
      </c>
      <c r="E410">
        <v>1</v>
      </c>
      <c r="F410" s="6">
        <v>498</v>
      </c>
      <c r="G410" s="6">
        <v>845</v>
      </c>
      <c r="H410" s="7">
        <f t="shared" si="10"/>
        <v>0.41065088757396451</v>
      </c>
    </row>
    <row r="411" spans="1:8" ht="15" customHeight="1" x14ac:dyDescent="0.25">
      <c r="A411" t="s">
        <v>700</v>
      </c>
      <c r="B411" t="s">
        <v>701</v>
      </c>
      <c r="C411" s="19" t="s">
        <v>705</v>
      </c>
      <c r="D411" s="13" t="s">
        <v>706</v>
      </c>
      <c r="E411">
        <v>1</v>
      </c>
      <c r="F411" s="6">
        <v>138</v>
      </c>
      <c r="G411" s="6">
        <v>250</v>
      </c>
      <c r="H411" s="7">
        <f t="shared" si="10"/>
        <v>0.44800000000000001</v>
      </c>
    </row>
    <row r="412" spans="1:8" ht="15" customHeight="1" x14ac:dyDescent="0.25">
      <c r="A412" t="s">
        <v>700</v>
      </c>
      <c r="B412" t="s">
        <v>701</v>
      </c>
      <c r="C412" s="19" t="s">
        <v>707</v>
      </c>
      <c r="D412" s="13" t="s">
        <v>708</v>
      </c>
      <c r="E412">
        <v>1</v>
      </c>
      <c r="F412" s="6">
        <v>144</v>
      </c>
      <c r="G412" s="6">
        <v>275</v>
      </c>
      <c r="H412" s="7">
        <f t="shared" si="10"/>
        <v>0.47636363636363638</v>
      </c>
    </row>
    <row r="413" spans="1:8" ht="15" customHeight="1" x14ac:dyDescent="0.25">
      <c r="A413" t="s">
        <v>700</v>
      </c>
      <c r="B413" t="s">
        <v>701</v>
      </c>
      <c r="C413" s="19" t="s">
        <v>709</v>
      </c>
      <c r="D413" s="13" t="s">
        <v>710</v>
      </c>
      <c r="E413">
        <v>1</v>
      </c>
      <c r="F413" s="6">
        <v>165</v>
      </c>
      <c r="G413" s="6">
        <v>320</v>
      </c>
      <c r="H413" s="7">
        <f t="shared" si="10"/>
        <v>0.484375</v>
      </c>
    </row>
    <row r="414" spans="1:8" ht="15" customHeight="1" x14ac:dyDescent="0.25">
      <c r="A414" t="s">
        <v>700</v>
      </c>
      <c r="B414" t="s">
        <v>701</v>
      </c>
      <c r="D414" s="13" t="s">
        <v>711</v>
      </c>
      <c r="E414">
        <v>2</v>
      </c>
      <c r="F414" s="6">
        <v>135</v>
      </c>
      <c r="G414" s="6">
        <v>265</v>
      </c>
      <c r="H414" s="7">
        <f t="shared" si="10"/>
        <v>0.49056603773584906</v>
      </c>
    </row>
    <row r="415" spans="1:8" ht="15" customHeight="1" x14ac:dyDescent="0.25">
      <c r="A415" t="s">
        <v>700</v>
      </c>
      <c r="B415" t="s">
        <v>701</v>
      </c>
      <c r="D415" s="13" t="s">
        <v>712</v>
      </c>
      <c r="E415">
        <v>1</v>
      </c>
      <c r="F415" s="6">
        <v>450</v>
      </c>
      <c r="G415" s="6">
        <v>695</v>
      </c>
      <c r="H415" s="7">
        <f t="shared" si="10"/>
        <v>0.35251798561151076</v>
      </c>
    </row>
    <row r="416" spans="1:8" ht="15" customHeight="1" x14ac:dyDescent="0.25">
      <c r="A416" t="s">
        <v>700</v>
      </c>
      <c r="B416" t="s">
        <v>701</v>
      </c>
      <c r="D416" s="13" t="s">
        <v>713</v>
      </c>
      <c r="E416">
        <v>3</v>
      </c>
      <c r="F416" s="6">
        <v>345</v>
      </c>
      <c r="G416" s="6">
        <v>725</v>
      </c>
      <c r="H416" s="7">
        <f t="shared" si="10"/>
        <v>0.52413793103448281</v>
      </c>
    </row>
    <row r="417" spans="1:8" ht="15" customHeight="1" x14ac:dyDescent="0.25">
      <c r="A417" t="s">
        <v>700</v>
      </c>
      <c r="B417" t="s">
        <v>701</v>
      </c>
      <c r="D417" s="13" t="s">
        <v>714</v>
      </c>
      <c r="E417">
        <v>1</v>
      </c>
      <c r="F417" s="6">
        <v>300</v>
      </c>
      <c r="G417" s="6">
        <v>710</v>
      </c>
      <c r="H417" s="7">
        <f t="shared" si="10"/>
        <v>0.57746478873239437</v>
      </c>
    </row>
    <row r="418" spans="1:8" ht="15" customHeight="1" x14ac:dyDescent="0.25">
      <c r="A418" t="s">
        <v>715</v>
      </c>
      <c r="B418" t="s">
        <v>259</v>
      </c>
      <c r="C418" s="19" t="s">
        <v>716</v>
      </c>
      <c r="D418" s="13" t="s">
        <v>717</v>
      </c>
      <c r="E418">
        <v>2</v>
      </c>
      <c r="F418" s="6">
        <f>152/2</f>
        <v>76</v>
      </c>
      <c r="G418" s="6">
        <v>95</v>
      </c>
      <c r="H418" s="7">
        <f t="shared" si="10"/>
        <v>0.2</v>
      </c>
    </row>
    <row r="419" spans="1:8" ht="15" customHeight="1" x14ac:dyDescent="0.25">
      <c r="A419" t="s">
        <v>715</v>
      </c>
      <c r="B419" t="s">
        <v>77</v>
      </c>
      <c r="C419" s="19" t="s">
        <v>718</v>
      </c>
      <c r="D419" s="13" t="s">
        <v>719</v>
      </c>
      <c r="E419">
        <v>3</v>
      </c>
      <c r="F419" s="6">
        <f>40/3</f>
        <v>13.333333333333334</v>
      </c>
      <c r="G419" s="6">
        <v>40</v>
      </c>
      <c r="H419" s="7">
        <f t="shared" si="10"/>
        <v>0.66666666666666663</v>
      </c>
    </row>
    <row r="420" spans="1:8" ht="15" customHeight="1" x14ac:dyDescent="0.25">
      <c r="A420" t="s">
        <v>715</v>
      </c>
      <c r="B420" t="s">
        <v>77</v>
      </c>
      <c r="C420" s="19" t="s">
        <v>720</v>
      </c>
      <c r="D420" s="13" t="s">
        <v>721</v>
      </c>
      <c r="E420">
        <v>5</v>
      </c>
      <c r="F420" s="6">
        <f>30/5</f>
        <v>6</v>
      </c>
      <c r="G420" s="6">
        <v>30</v>
      </c>
      <c r="H420" s="7">
        <f t="shared" si="10"/>
        <v>0.8</v>
      </c>
    </row>
    <row r="421" spans="1:8" ht="15" customHeight="1" x14ac:dyDescent="0.25">
      <c r="A421" t="s">
        <v>715</v>
      </c>
      <c r="B421" t="s">
        <v>77</v>
      </c>
      <c r="D421" s="13" t="s">
        <v>722</v>
      </c>
      <c r="E421">
        <v>2</v>
      </c>
      <c r="F421" s="6">
        <f>50/2</f>
        <v>25</v>
      </c>
      <c r="G421" s="6">
        <v>50</v>
      </c>
      <c r="H421" s="7">
        <f t="shared" si="10"/>
        <v>0.5</v>
      </c>
    </row>
    <row r="422" spans="1:8" ht="15" customHeight="1" x14ac:dyDescent="0.25">
      <c r="A422" t="s">
        <v>715</v>
      </c>
      <c r="B422" t="s">
        <v>489</v>
      </c>
      <c r="C422" s="19" t="s">
        <v>723</v>
      </c>
      <c r="D422" s="13" t="s">
        <v>724</v>
      </c>
      <c r="E422">
        <v>3</v>
      </c>
      <c r="F422" s="6">
        <f>180/3</f>
        <v>60</v>
      </c>
      <c r="G422" s="6">
        <v>75</v>
      </c>
      <c r="H422" s="7">
        <f t="shared" si="10"/>
        <v>0.2</v>
      </c>
    </row>
    <row r="423" spans="1:8" ht="15" customHeight="1" x14ac:dyDescent="0.25">
      <c r="A423" t="s">
        <v>715</v>
      </c>
      <c r="B423" t="s">
        <v>288</v>
      </c>
      <c r="D423" s="13" t="s">
        <v>725</v>
      </c>
      <c r="E423">
        <v>3</v>
      </c>
      <c r="F423" s="6">
        <f>228/3</f>
        <v>76</v>
      </c>
      <c r="G423" s="6">
        <v>95</v>
      </c>
      <c r="H423" s="7">
        <f t="shared" si="10"/>
        <v>0.2</v>
      </c>
    </row>
    <row r="424" spans="1:8" ht="15" customHeight="1" x14ac:dyDescent="0.25">
      <c r="A424" t="s">
        <v>715</v>
      </c>
      <c r="B424" t="s">
        <v>294</v>
      </c>
      <c r="D424" s="13" t="s">
        <v>726</v>
      </c>
      <c r="E424">
        <v>10</v>
      </c>
      <c r="F424" s="6">
        <f>64/10</f>
        <v>6.4</v>
      </c>
      <c r="G424" s="6">
        <f>80/10</f>
        <v>8</v>
      </c>
      <c r="H424" s="7">
        <f t="shared" si="10"/>
        <v>0.19999999999999996</v>
      </c>
    </row>
    <row r="425" spans="1:8" ht="15" customHeight="1" x14ac:dyDescent="0.25">
      <c r="A425" t="s">
        <v>715</v>
      </c>
      <c r="B425" t="s">
        <v>294</v>
      </c>
      <c r="D425" s="13" t="s">
        <v>727</v>
      </c>
      <c r="E425">
        <v>12</v>
      </c>
      <c r="F425" s="6">
        <f>104/12</f>
        <v>8.6666666666666661</v>
      </c>
      <c r="G425" s="6">
        <f>130/12</f>
        <v>10.833333333333334</v>
      </c>
      <c r="H425" s="7">
        <f t="shared" si="10"/>
        <v>0.20000000000000009</v>
      </c>
    </row>
    <row r="426" spans="1:8" ht="15" customHeight="1" x14ac:dyDescent="0.25">
      <c r="A426" t="s">
        <v>715</v>
      </c>
      <c r="B426" t="s">
        <v>728</v>
      </c>
      <c r="D426" s="13" t="s">
        <v>729</v>
      </c>
      <c r="E426">
        <v>6</v>
      </c>
      <c r="F426" s="6">
        <f>192/6</f>
        <v>32</v>
      </c>
      <c r="G426" s="6">
        <v>40</v>
      </c>
      <c r="H426" s="7">
        <f t="shared" si="10"/>
        <v>0.2</v>
      </c>
    </row>
    <row r="427" spans="1:8" ht="15" customHeight="1" x14ac:dyDescent="0.25">
      <c r="A427" t="s">
        <v>715</v>
      </c>
      <c r="B427" t="s">
        <v>730</v>
      </c>
      <c r="C427" s="19" t="s">
        <v>731</v>
      </c>
      <c r="D427" s="13" t="s">
        <v>732</v>
      </c>
      <c r="E427">
        <v>8</v>
      </c>
      <c r="F427" s="6">
        <f>160/8</f>
        <v>20</v>
      </c>
      <c r="G427" s="6">
        <v>25</v>
      </c>
      <c r="H427" s="7">
        <f t="shared" si="10"/>
        <v>0.2</v>
      </c>
    </row>
    <row r="428" spans="1:8" ht="15" customHeight="1" x14ac:dyDescent="0.25">
      <c r="A428" t="s">
        <v>715</v>
      </c>
      <c r="B428" t="s">
        <v>481</v>
      </c>
      <c r="C428" s="19" t="s">
        <v>733</v>
      </c>
      <c r="D428" s="13" t="s">
        <v>734</v>
      </c>
      <c r="E428">
        <v>5</v>
      </c>
      <c r="F428" s="6">
        <f>50/5</f>
        <v>10</v>
      </c>
      <c r="G428" s="6">
        <v>10</v>
      </c>
      <c r="H428" s="7">
        <f t="shared" si="10"/>
        <v>0</v>
      </c>
    </row>
    <row r="429" spans="1:8" ht="15" customHeight="1" x14ac:dyDescent="0.25">
      <c r="A429" t="s">
        <v>715</v>
      </c>
      <c r="B429" t="s">
        <v>25</v>
      </c>
      <c r="C429" s="19" t="s">
        <v>735</v>
      </c>
      <c r="D429" s="13" t="s">
        <v>736</v>
      </c>
      <c r="E429">
        <v>6</v>
      </c>
      <c r="F429" s="6">
        <f>192/6</f>
        <v>32</v>
      </c>
      <c r="G429" s="6">
        <v>45</v>
      </c>
      <c r="H429" s="7">
        <f t="shared" si="10"/>
        <v>0.28888888888888886</v>
      </c>
    </row>
    <row r="430" spans="1:8" ht="15" customHeight="1" x14ac:dyDescent="0.25">
      <c r="A430" t="s">
        <v>715</v>
      </c>
      <c r="B430" t="s">
        <v>737</v>
      </c>
      <c r="D430" s="13" t="s">
        <v>738</v>
      </c>
      <c r="E430">
        <v>4</v>
      </c>
      <c r="F430" s="6">
        <f>140/4</f>
        <v>35</v>
      </c>
      <c r="G430" s="6">
        <v>45</v>
      </c>
      <c r="H430" s="7">
        <f t="shared" si="10"/>
        <v>0.22222222222222221</v>
      </c>
    </row>
    <row r="431" spans="1:8" ht="15" customHeight="1" x14ac:dyDescent="0.25">
      <c r="A431" t="s">
        <v>739</v>
      </c>
      <c r="B431" t="s">
        <v>621</v>
      </c>
      <c r="D431" s="13" t="s">
        <v>740</v>
      </c>
      <c r="E431">
        <v>25</v>
      </c>
      <c r="F431" s="6">
        <v>10</v>
      </c>
      <c r="G431" s="6">
        <v>13</v>
      </c>
      <c r="H431" s="7">
        <f t="shared" si="10"/>
        <v>0.23076923076923078</v>
      </c>
    </row>
    <row r="432" spans="1:8" ht="15" customHeight="1" x14ac:dyDescent="0.25">
      <c r="A432" t="s">
        <v>739</v>
      </c>
      <c r="B432" t="s">
        <v>621</v>
      </c>
      <c r="D432" s="13" t="s">
        <v>741</v>
      </c>
      <c r="E432">
        <v>25</v>
      </c>
      <c r="F432" s="6">
        <f>150/25</f>
        <v>6</v>
      </c>
      <c r="G432" s="6">
        <v>8</v>
      </c>
      <c r="H432" s="7">
        <f t="shared" si="10"/>
        <v>0.25</v>
      </c>
    </row>
    <row r="433" spans="1:8" ht="15" customHeight="1" x14ac:dyDescent="0.25">
      <c r="A433" t="s">
        <v>739</v>
      </c>
      <c r="B433" t="s">
        <v>621</v>
      </c>
      <c r="C433" s="19" t="s">
        <v>742</v>
      </c>
      <c r="D433" s="13" t="s">
        <v>743</v>
      </c>
      <c r="E433">
        <v>5</v>
      </c>
      <c r="F433" s="6">
        <f>65</f>
        <v>65</v>
      </c>
      <c r="G433" s="6">
        <v>85</v>
      </c>
      <c r="H433" s="7">
        <f t="shared" si="10"/>
        <v>0.23529411764705882</v>
      </c>
    </row>
    <row r="434" spans="1:8" ht="15" customHeight="1" x14ac:dyDescent="0.25">
      <c r="A434" t="s">
        <v>739</v>
      </c>
      <c r="B434" t="s">
        <v>621</v>
      </c>
      <c r="D434" s="13" t="s">
        <v>744</v>
      </c>
      <c r="E434">
        <v>100</v>
      </c>
      <c r="F434" s="6">
        <v>2.75</v>
      </c>
      <c r="G434" s="6">
        <v>4</v>
      </c>
      <c r="H434" s="7">
        <f t="shared" si="10"/>
        <v>0.3125</v>
      </c>
    </row>
    <row r="435" spans="1:8" ht="15" customHeight="1" x14ac:dyDescent="0.25">
      <c r="A435" t="s">
        <v>739</v>
      </c>
      <c r="B435" t="s">
        <v>621</v>
      </c>
      <c r="D435" s="13" t="s">
        <v>745</v>
      </c>
      <c r="E435">
        <v>100</v>
      </c>
      <c r="F435" s="6">
        <f>80/100</f>
        <v>0.8</v>
      </c>
      <c r="G435" s="6">
        <v>2</v>
      </c>
      <c r="H435" s="7">
        <f t="shared" si="10"/>
        <v>0.6</v>
      </c>
    </row>
    <row r="436" spans="1:8" ht="15" customHeight="1" x14ac:dyDescent="0.25">
      <c r="A436" t="s">
        <v>739</v>
      </c>
      <c r="B436" t="s">
        <v>621</v>
      </c>
      <c r="D436" s="13" t="s">
        <v>746</v>
      </c>
      <c r="E436">
        <v>100</v>
      </c>
      <c r="F436" s="6">
        <f>138/100</f>
        <v>1.38</v>
      </c>
      <c r="G436" s="6">
        <v>3.25</v>
      </c>
      <c r="H436" s="7">
        <f t="shared" si="10"/>
        <v>0.57538461538461538</v>
      </c>
    </row>
    <row r="437" spans="1:8" ht="15" customHeight="1" x14ac:dyDescent="0.25">
      <c r="A437" t="s">
        <v>739</v>
      </c>
      <c r="B437" t="s">
        <v>621</v>
      </c>
      <c r="D437" s="13" t="s">
        <v>747</v>
      </c>
      <c r="E437">
        <v>50</v>
      </c>
      <c r="F437" s="6">
        <f>114/50</f>
        <v>2.2799999999999998</v>
      </c>
      <c r="G437" s="6">
        <v>3.25</v>
      </c>
      <c r="H437" s="7">
        <f t="shared" si="10"/>
        <v>0.2984615384615385</v>
      </c>
    </row>
    <row r="438" spans="1:8" ht="15" customHeight="1" x14ac:dyDescent="0.25">
      <c r="A438" t="s">
        <v>739</v>
      </c>
      <c r="B438" t="s">
        <v>621</v>
      </c>
      <c r="D438" s="13" t="s">
        <v>748</v>
      </c>
      <c r="E438">
        <v>25</v>
      </c>
      <c r="F438" s="6">
        <f>800/250</f>
        <v>3.2</v>
      </c>
      <c r="G438" s="6">
        <v>5</v>
      </c>
      <c r="H438" s="7">
        <f t="shared" si="10"/>
        <v>0.36</v>
      </c>
    </row>
    <row r="439" spans="1:8" ht="15" customHeight="1" x14ac:dyDescent="0.25">
      <c r="A439" t="s">
        <v>739</v>
      </c>
      <c r="B439" t="s">
        <v>749</v>
      </c>
      <c r="D439" s="13" t="s">
        <v>750</v>
      </c>
      <c r="E439">
        <v>1</v>
      </c>
      <c r="F439" s="6">
        <v>495</v>
      </c>
      <c r="G439" s="6">
        <v>775</v>
      </c>
      <c r="H439" s="7">
        <f t="shared" si="10"/>
        <v>0.36129032258064514</v>
      </c>
    </row>
    <row r="440" spans="1:8" ht="15" customHeight="1" x14ac:dyDescent="0.25">
      <c r="A440" t="s">
        <v>58</v>
      </c>
      <c r="B440" t="s">
        <v>481</v>
      </c>
      <c r="D440" s="13" t="s">
        <v>751</v>
      </c>
      <c r="E440">
        <f>12*3</f>
        <v>36</v>
      </c>
      <c r="F440" s="6">
        <f>37/12</f>
        <v>3.0833333333333335</v>
      </c>
      <c r="G440" s="6">
        <v>5</v>
      </c>
      <c r="H440" s="7">
        <f t="shared" si="10"/>
        <v>0.3833333333333333</v>
      </c>
    </row>
    <row r="441" spans="1:8" ht="15" customHeight="1" x14ac:dyDescent="0.25">
      <c r="A441" t="s">
        <v>752</v>
      </c>
      <c r="B441" t="s">
        <v>753</v>
      </c>
      <c r="D441" s="13" t="s">
        <v>754</v>
      </c>
      <c r="E441">
        <v>1</v>
      </c>
      <c r="F441" s="6">
        <v>140</v>
      </c>
      <c r="G441" s="6">
        <v>175</v>
      </c>
      <c r="H441" s="7">
        <f t="shared" si="10"/>
        <v>0.2</v>
      </c>
    </row>
    <row r="442" spans="1:8" ht="15" customHeight="1" x14ac:dyDescent="0.25">
      <c r="A442" t="s">
        <v>752</v>
      </c>
      <c r="B442" t="s">
        <v>753</v>
      </c>
      <c r="D442" s="13" t="s">
        <v>755</v>
      </c>
      <c r="E442">
        <v>1</v>
      </c>
      <c r="F442" s="6">
        <v>140</v>
      </c>
      <c r="G442" s="6">
        <v>175</v>
      </c>
      <c r="H442" s="7">
        <f t="shared" si="10"/>
        <v>0.2</v>
      </c>
    </row>
    <row r="443" spans="1:8" ht="15" customHeight="1" x14ac:dyDescent="0.25">
      <c r="A443" t="s">
        <v>752</v>
      </c>
      <c r="B443" t="s">
        <v>753</v>
      </c>
      <c r="D443" s="13" t="s">
        <v>756</v>
      </c>
      <c r="E443">
        <v>1</v>
      </c>
      <c r="F443" s="6">
        <v>150</v>
      </c>
      <c r="G443" s="6">
        <v>190</v>
      </c>
      <c r="H443" s="7">
        <f t="shared" si="10"/>
        <v>0.21052631578947367</v>
      </c>
    </row>
    <row r="444" spans="1:8" ht="15" customHeight="1" x14ac:dyDescent="0.25">
      <c r="A444" t="s">
        <v>752</v>
      </c>
      <c r="B444" t="s">
        <v>370</v>
      </c>
      <c r="D444" s="13" t="s">
        <v>757</v>
      </c>
      <c r="E444">
        <v>100</v>
      </c>
      <c r="F444" s="6">
        <f>240/100</f>
        <v>2.4</v>
      </c>
      <c r="G444" s="6">
        <v>4</v>
      </c>
      <c r="H444" s="7">
        <f t="shared" si="10"/>
        <v>0.4</v>
      </c>
    </row>
    <row r="445" spans="1:8" ht="15" customHeight="1" x14ac:dyDescent="0.25">
      <c r="A445" t="s">
        <v>752</v>
      </c>
      <c r="B445" t="s">
        <v>370</v>
      </c>
      <c r="D445" s="13" t="s">
        <v>758</v>
      </c>
      <c r="E445">
        <v>100</v>
      </c>
      <c r="F445" s="6">
        <f>210/100</f>
        <v>2.1</v>
      </c>
      <c r="G445" s="6">
        <v>3.5</v>
      </c>
      <c r="H445" s="7">
        <f t="shared" si="10"/>
        <v>0.39999999999999997</v>
      </c>
    </row>
    <row r="446" spans="1:8" ht="15" customHeight="1" x14ac:dyDescent="0.25">
      <c r="A446" t="s">
        <v>759</v>
      </c>
      <c r="B446" t="s">
        <v>737</v>
      </c>
      <c r="C446" s="19" t="s">
        <v>760</v>
      </c>
      <c r="D446" s="13" t="s">
        <v>761</v>
      </c>
      <c r="E446">
        <v>1</v>
      </c>
      <c r="F446" s="6">
        <v>392</v>
      </c>
      <c r="G446" s="6">
        <v>560</v>
      </c>
      <c r="H446" s="7">
        <f t="shared" si="10"/>
        <v>0.3</v>
      </c>
    </row>
    <row r="447" spans="1:8" ht="15" customHeight="1" x14ac:dyDescent="0.25">
      <c r="A447" t="s">
        <v>759</v>
      </c>
      <c r="B447" t="s">
        <v>737</v>
      </c>
      <c r="C447" s="19" t="s">
        <v>762</v>
      </c>
      <c r="D447" s="13" t="s">
        <v>763</v>
      </c>
      <c r="E447">
        <v>1</v>
      </c>
      <c r="F447" s="6">
        <v>476</v>
      </c>
      <c r="G447" s="6">
        <v>680</v>
      </c>
      <c r="H447" s="7">
        <f t="shared" si="10"/>
        <v>0.3</v>
      </c>
    </row>
    <row r="448" spans="1:8" ht="15" customHeight="1" x14ac:dyDescent="0.25">
      <c r="A448" t="s">
        <v>759</v>
      </c>
      <c r="B448" t="s">
        <v>749</v>
      </c>
      <c r="C448" s="19" t="s">
        <v>764</v>
      </c>
      <c r="D448" s="13" t="s">
        <v>765</v>
      </c>
      <c r="E448">
        <v>1</v>
      </c>
      <c r="F448" s="6">
        <v>490</v>
      </c>
      <c r="G448" s="6">
        <v>700</v>
      </c>
      <c r="H448" s="7">
        <f t="shared" si="10"/>
        <v>0.3</v>
      </c>
    </row>
    <row r="449" spans="1:9" ht="15" customHeight="1" x14ac:dyDescent="0.25">
      <c r="A449" t="s">
        <v>759</v>
      </c>
      <c r="B449" t="s">
        <v>88</v>
      </c>
      <c r="C449" s="19" t="s">
        <v>766</v>
      </c>
      <c r="D449" s="13" t="s">
        <v>767</v>
      </c>
      <c r="E449">
        <v>1</v>
      </c>
      <c r="F449" s="6">
        <v>90.9</v>
      </c>
      <c r="G449" s="6">
        <v>130</v>
      </c>
      <c r="H449" s="7">
        <f t="shared" si="10"/>
        <v>0.30076923076923073</v>
      </c>
    </row>
    <row r="450" spans="1:9" ht="15" customHeight="1" x14ac:dyDescent="0.25">
      <c r="A450" t="s">
        <v>759</v>
      </c>
      <c r="B450" t="s">
        <v>88</v>
      </c>
      <c r="C450" s="19" t="s">
        <v>768</v>
      </c>
      <c r="D450" s="13" t="s">
        <v>769</v>
      </c>
      <c r="E450">
        <v>2</v>
      </c>
      <c r="F450" s="6">
        <f>181.9/2</f>
        <v>90.95</v>
      </c>
      <c r="G450" s="6">
        <v>130</v>
      </c>
      <c r="H450" s="7">
        <f t="shared" si="10"/>
        <v>0.30038461538461536</v>
      </c>
    </row>
    <row r="451" spans="1:9" ht="15" customHeight="1" x14ac:dyDescent="0.25">
      <c r="A451" t="s">
        <v>759</v>
      </c>
      <c r="B451" t="s">
        <v>770</v>
      </c>
      <c r="C451" s="19" t="s">
        <v>771</v>
      </c>
      <c r="D451" s="13" t="s">
        <v>772</v>
      </c>
      <c r="E451">
        <v>3</v>
      </c>
      <c r="F451" s="6">
        <f>504/3</f>
        <v>168</v>
      </c>
      <c r="G451" s="6">
        <v>240</v>
      </c>
      <c r="H451" s="7">
        <f t="shared" si="10"/>
        <v>0.3</v>
      </c>
    </row>
    <row r="452" spans="1:9" ht="15" customHeight="1" x14ac:dyDescent="0.25">
      <c r="A452" t="s">
        <v>759</v>
      </c>
      <c r="B452" t="s">
        <v>54</v>
      </c>
      <c r="C452" s="19" t="s">
        <v>773</v>
      </c>
      <c r="D452" s="13" t="s">
        <v>774</v>
      </c>
      <c r="E452">
        <v>336</v>
      </c>
      <c r="F452" s="6">
        <f>3425.6/336</f>
        <v>10.195238095238095</v>
      </c>
      <c r="G452" s="6">
        <v>15</v>
      </c>
      <c r="H452" s="7">
        <f t="shared" si="10"/>
        <v>0.32031746031746039</v>
      </c>
      <c r="I452" s="21"/>
    </row>
    <row r="453" spans="1:9" ht="15" customHeight="1" x14ac:dyDescent="0.25">
      <c r="A453" t="s">
        <v>759</v>
      </c>
      <c r="B453" t="s">
        <v>54</v>
      </c>
      <c r="C453" s="19" t="s">
        <v>775</v>
      </c>
      <c r="D453" s="13" t="s">
        <v>776</v>
      </c>
      <c r="E453">
        <v>336</v>
      </c>
      <c r="F453" s="6">
        <f>3425.6/336</f>
        <v>10.195238095238095</v>
      </c>
      <c r="G453" s="6">
        <v>15</v>
      </c>
      <c r="H453" s="7">
        <f t="shared" si="10"/>
        <v>0.32031746031746039</v>
      </c>
    </row>
    <row r="454" spans="1:9" ht="15" customHeight="1" x14ac:dyDescent="0.25">
      <c r="A454" t="s">
        <v>759</v>
      </c>
      <c r="B454" t="s">
        <v>54</v>
      </c>
      <c r="C454" s="19" t="s">
        <v>777</v>
      </c>
      <c r="D454" s="13" t="s">
        <v>778</v>
      </c>
      <c r="E454">
        <v>168</v>
      </c>
      <c r="F454" s="6">
        <f>2855.9/168</f>
        <v>16.999404761904763</v>
      </c>
      <c r="G454" s="6">
        <v>30</v>
      </c>
      <c r="H454" s="7">
        <f t="shared" si="10"/>
        <v>0.43335317460317457</v>
      </c>
    </row>
    <row r="455" spans="1:9" ht="15" customHeight="1" x14ac:dyDescent="0.25">
      <c r="A455" t="s">
        <v>759</v>
      </c>
      <c r="B455" t="s">
        <v>54</v>
      </c>
      <c r="C455" s="19" t="s">
        <v>779</v>
      </c>
      <c r="D455" s="13" t="s">
        <v>780</v>
      </c>
      <c r="E455">
        <v>108</v>
      </c>
      <c r="F455" s="6">
        <f>3304.4/108</f>
        <v>30.596296296296298</v>
      </c>
      <c r="G455" s="6">
        <v>45</v>
      </c>
      <c r="H455" s="7">
        <f t="shared" si="10"/>
        <v>0.32008230452674891</v>
      </c>
    </row>
    <row r="456" spans="1:9" ht="15" customHeight="1" x14ac:dyDescent="0.25">
      <c r="A456" t="s">
        <v>759</v>
      </c>
      <c r="B456" t="s">
        <v>54</v>
      </c>
      <c r="C456" s="19" t="s">
        <v>781</v>
      </c>
      <c r="D456" s="13" t="s">
        <v>782</v>
      </c>
      <c r="E456">
        <v>120</v>
      </c>
      <c r="F456" s="6">
        <f>3263.4/120</f>
        <v>27.195</v>
      </c>
      <c r="G456" s="6">
        <v>40</v>
      </c>
      <c r="H456" s="7">
        <f t="shared" si="10"/>
        <v>0.32012499999999999</v>
      </c>
    </row>
    <row r="457" spans="1:9" ht="15" customHeight="1" x14ac:dyDescent="0.25">
      <c r="A457" t="s">
        <v>58</v>
      </c>
      <c r="B457" t="s">
        <v>370</v>
      </c>
      <c r="D457" s="13" t="s">
        <v>783</v>
      </c>
      <c r="E457">
        <v>5</v>
      </c>
      <c r="F457" s="6">
        <f>16.5</f>
        <v>16.5</v>
      </c>
      <c r="G457" s="6">
        <v>45</v>
      </c>
      <c r="H457" s="7">
        <f t="shared" si="10"/>
        <v>0.6333333333333333</v>
      </c>
    </row>
    <row r="458" spans="1:9" ht="15" customHeight="1" x14ac:dyDescent="0.25">
      <c r="A458" t="s">
        <v>58</v>
      </c>
      <c r="B458" t="s">
        <v>370</v>
      </c>
      <c r="D458" s="13" t="s">
        <v>784</v>
      </c>
      <c r="E458">
        <v>6</v>
      </c>
      <c r="F458" s="6">
        <f>16.5</f>
        <v>16.5</v>
      </c>
      <c r="G458" s="6">
        <v>50</v>
      </c>
      <c r="H458" s="7">
        <f t="shared" si="10"/>
        <v>0.67</v>
      </c>
    </row>
    <row r="459" spans="1:9" ht="15" customHeight="1" x14ac:dyDescent="0.25">
      <c r="A459" t="s">
        <v>393</v>
      </c>
      <c r="B459" t="s">
        <v>701</v>
      </c>
      <c r="D459" s="13" t="s">
        <v>785</v>
      </c>
      <c r="E459">
        <v>2</v>
      </c>
      <c r="G459" s="6">
        <v>210</v>
      </c>
      <c r="H459" s="7">
        <f t="shared" si="10"/>
        <v>1</v>
      </c>
    </row>
    <row r="460" spans="1:9" ht="15" customHeight="1" x14ac:dyDescent="0.25">
      <c r="A460" t="s">
        <v>8</v>
      </c>
      <c r="B460" t="s">
        <v>11</v>
      </c>
      <c r="C460" s="19" t="s">
        <v>786</v>
      </c>
      <c r="D460" s="13" t="s">
        <v>787</v>
      </c>
      <c r="E460">
        <v>2</v>
      </c>
      <c r="F460" s="6">
        <v>39</v>
      </c>
      <c r="G460" s="6">
        <v>130</v>
      </c>
      <c r="H460" s="7">
        <f t="shared" si="10"/>
        <v>0.7</v>
      </c>
    </row>
    <row r="461" spans="1:9" x14ac:dyDescent="0.25">
      <c r="A461" t="s">
        <v>788</v>
      </c>
      <c r="B461" t="s">
        <v>164</v>
      </c>
      <c r="D461" s="13" t="s">
        <v>789</v>
      </c>
      <c r="E461">
        <v>10</v>
      </c>
      <c r="F461" s="6">
        <f>150/10</f>
        <v>15</v>
      </c>
      <c r="G461" s="6">
        <v>25</v>
      </c>
      <c r="H461" s="7">
        <f t="shared" si="10"/>
        <v>0.4</v>
      </c>
    </row>
    <row r="462" spans="1:9" x14ac:dyDescent="0.25">
      <c r="A462" t="s">
        <v>788</v>
      </c>
      <c r="B462" t="s">
        <v>164</v>
      </c>
      <c r="D462" s="13" t="s">
        <v>790</v>
      </c>
      <c r="E462">
        <v>10</v>
      </c>
      <c r="F462" s="6">
        <f>150/10</f>
        <v>15</v>
      </c>
      <c r="G462" s="6">
        <v>25</v>
      </c>
      <c r="H462" s="7">
        <f t="shared" si="10"/>
        <v>0.4</v>
      </c>
    </row>
    <row r="463" spans="1:9" x14ac:dyDescent="0.25">
      <c r="A463" t="s">
        <v>788</v>
      </c>
      <c r="B463" t="s">
        <v>164</v>
      </c>
      <c r="D463" s="13" t="s">
        <v>791</v>
      </c>
      <c r="E463">
        <v>10</v>
      </c>
      <c r="F463" s="6">
        <f>150/10</f>
        <v>15</v>
      </c>
      <c r="G463" s="6">
        <v>25</v>
      </c>
      <c r="H463" s="7">
        <f t="shared" si="10"/>
        <v>0.4</v>
      </c>
    </row>
    <row r="464" spans="1:9" x14ac:dyDescent="0.25">
      <c r="A464" t="s">
        <v>788</v>
      </c>
      <c r="B464" t="s">
        <v>164</v>
      </c>
      <c r="D464" s="13" t="s">
        <v>792</v>
      </c>
      <c r="E464">
        <v>10</v>
      </c>
      <c r="F464" s="6">
        <f>125/10</f>
        <v>12.5</v>
      </c>
      <c r="G464" s="6">
        <v>20</v>
      </c>
      <c r="H464" s="7">
        <f t="shared" si="10"/>
        <v>0.375</v>
      </c>
    </row>
    <row r="465" spans="1:8" x14ac:dyDescent="0.25">
      <c r="A465" t="s">
        <v>788</v>
      </c>
      <c r="B465" t="s">
        <v>164</v>
      </c>
      <c r="D465" s="13" t="s">
        <v>793</v>
      </c>
      <c r="E465">
        <v>10</v>
      </c>
      <c r="F465" s="6">
        <f t="shared" ref="F465:F466" si="11">125/10</f>
        <v>12.5</v>
      </c>
      <c r="G465" s="6">
        <v>20</v>
      </c>
      <c r="H465" s="7">
        <f t="shared" si="10"/>
        <v>0.375</v>
      </c>
    </row>
    <row r="466" spans="1:8" x14ac:dyDescent="0.25">
      <c r="A466" t="s">
        <v>788</v>
      </c>
      <c r="B466" t="s">
        <v>164</v>
      </c>
      <c r="D466" s="13" t="s">
        <v>794</v>
      </c>
      <c r="E466">
        <v>10</v>
      </c>
      <c r="F466" s="6">
        <f t="shared" si="11"/>
        <v>12.5</v>
      </c>
      <c r="G466" s="6">
        <v>20</v>
      </c>
      <c r="H466" s="7">
        <f t="shared" si="10"/>
        <v>0.375</v>
      </c>
    </row>
    <row r="467" spans="1:8" x14ac:dyDescent="0.25">
      <c r="A467" t="s">
        <v>788</v>
      </c>
      <c r="B467" t="s">
        <v>191</v>
      </c>
      <c r="C467" s="19" t="s">
        <v>795</v>
      </c>
      <c r="D467" s="13" t="s">
        <v>796</v>
      </c>
      <c r="E467">
        <v>5</v>
      </c>
      <c r="F467" s="6">
        <f>112.5/5</f>
        <v>22.5</v>
      </c>
      <c r="G467" s="6">
        <v>30</v>
      </c>
      <c r="H467" s="7">
        <f t="shared" si="10"/>
        <v>0.25</v>
      </c>
    </row>
    <row r="468" spans="1:8" x14ac:dyDescent="0.25">
      <c r="A468" t="s">
        <v>788</v>
      </c>
      <c r="B468" t="s">
        <v>214</v>
      </c>
      <c r="C468" s="19" t="s">
        <v>797</v>
      </c>
      <c r="D468" s="13" t="s">
        <v>798</v>
      </c>
      <c r="E468">
        <v>30</v>
      </c>
      <c r="F468" s="6">
        <f>375/30</f>
        <v>12.5</v>
      </c>
      <c r="G468" s="6">
        <v>20</v>
      </c>
      <c r="H468" s="7">
        <f t="shared" si="10"/>
        <v>0.375</v>
      </c>
    </row>
    <row r="469" spans="1:8" x14ac:dyDescent="0.25">
      <c r="A469" t="s">
        <v>788</v>
      </c>
      <c r="B469" t="s">
        <v>196</v>
      </c>
      <c r="C469" s="19" t="s">
        <v>799</v>
      </c>
      <c r="D469" s="13" t="s">
        <v>800</v>
      </c>
      <c r="E469">
        <v>10</v>
      </c>
      <c r="F469" s="6">
        <f>146.5/10</f>
        <v>14.65</v>
      </c>
      <c r="G469" s="6">
        <v>25</v>
      </c>
      <c r="H469" s="7">
        <f t="shared" si="10"/>
        <v>0.41399999999999998</v>
      </c>
    </row>
    <row r="470" spans="1:8" x14ac:dyDescent="0.25">
      <c r="A470" t="s">
        <v>788</v>
      </c>
      <c r="B470" t="s">
        <v>110</v>
      </c>
      <c r="C470" s="19" t="s">
        <v>801</v>
      </c>
      <c r="D470" s="13" t="s">
        <v>802</v>
      </c>
      <c r="E470">
        <v>5</v>
      </c>
      <c r="F470" s="6">
        <f>295/5</f>
        <v>59</v>
      </c>
      <c r="G470" s="6">
        <v>100</v>
      </c>
      <c r="H470" s="7">
        <f t="shared" si="10"/>
        <v>0.41</v>
      </c>
    </row>
    <row r="471" spans="1:8" x14ac:dyDescent="0.25">
      <c r="A471" t="s">
        <v>788</v>
      </c>
      <c r="B471" t="s">
        <v>150</v>
      </c>
      <c r="C471" s="19" t="s">
        <v>803</v>
      </c>
      <c r="D471" s="13" t="s">
        <v>804</v>
      </c>
      <c r="E471">
        <v>50</v>
      </c>
      <c r="F471" s="6">
        <f>262.5/50</f>
        <v>5.25</v>
      </c>
      <c r="G471" s="6">
        <f>70/10</f>
        <v>7</v>
      </c>
      <c r="H471" s="7">
        <f t="shared" si="10"/>
        <v>0.25</v>
      </c>
    </row>
    <row r="472" spans="1:8" x14ac:dyDescent="0.25">
      <c r="A472" t="s">
        <v>788</v>
      </c>
      <c r="B472" t="s">
        <v>150</v>
      </c>
      <c r="C472" s="19" t="s">
        <v>805</v>
      </c>
      <c r="D472" s="13" t="s">
        <v>806</v>
      </c>
      <c r="E472">
        <v>10</v>
      </c>
      <c r="F472" s="6">
        <f>150/10</f>
        <v>15</v>
      </c>
      <c r="G472" s="6">
        <v>20</v>
      </c>
      <c r="H472" s="7">
        <f t="shared" si="10"/>
        <v>0.25</v>
      </c>
    </row>
    <row r="473" spans="1:8" x14ac:dyDescent="0.25">
      <c r="A473" t="s">
        <v>788</v>
      </c>
      <c r="B473" t="s">
        <v>291</v>
      </c>
      <c r="C473" s="19" t="s">
        <v>807</v>
      </c>
      <c r="D473" s="13" t="s">
        <v>808</v>
      </c>
      <c r="E473">
        <v>11</v>
      </c>
      <c r="F473" s="6">
        <f>75/10</f>
        <v>7.5</v>
      </c>
      <c r="G473" s="6">
        <v>10</v>
      </c>
      <c r="H473" s="7">
        <f t="shared" si="10"/>
        <v>0.25</v>
      </c>
    </row>
    <row r="474" spans="1:8" x14ac:dyDescent="0.25">
      <c r="A474" t="s">
        <v>788</v>
      </c>
      <c r="B474" t="s">
        <v>263</v>
      </c>
      <c r="C474" s="19" t="s">
        <v>809</v>
      </c>
      <c r="D474" s="13" t="s">
        <v>810</v>
      </c>
      <c r="E474">
        <v>2</v>
      </c>
      <c r="F474" s="6">
        <f>135/2</f>
        <v>67.5</v>
      </c>
      <c r="G474" s="6">
        <v>90</v>
      </c>
      <c r="H474" s="7">
        <f t="shared" si="10"/>
        <v>0.25</v>
      </c>
    </row>
    <row r="475" spans="1:8" x14ac:dyDescent="0.25">
      <c r="A475" t="s">
        <v>788</v>
      </c>
      <c r="B475" t="s">
        <v>104</v>
      </c>
      <c r="C475" s="19" t="s">
        <v>811</v>
      </c>
      <c r="D475" s="13" t="s">
        <v>812</v>
      </c>
      <c r="E475">
        <v>3</v>
      </c>
      <c r="F475" s="6">
        <f>225/3</f>
        <v>75</v>
      </c>
      <c r="G475" s="6">
        <v>100</v>
      </c>
      <c r="H475" s="7">
        <f t="shared" si="10"/>
        <v>0.25</v>
      </c>
    </row>
    <row r="476" spans="1:8" x14ac:dyDescent="0.25">
      <c r="A476" t="s">
        <v>788</v>
      </c>
      <c r="B476" t="s">
        <v>104</v>
      </c>
      <c r="C476" s="19" t="s">
        <v>813</v>
      </c>
      <c r="D476" s="13" t="s">
        <v>814</v>
      </c>
      <c r="E476">
        <v>3</v>
      </c>
      <c r="F476" s="6">
        <f>337.5/3</f>
        <v>112.5</v>
      </c>
      <c r="G476" s="6">
        <v>150</v>
      </c>
      <c r="H476" s="7">
        <f t="shared" si="10"/>
        <v>0.25</v>
      </c>
    </row>
    <row r="477" spans="1:8" x14ac:dyDescent="0.25">
      <c r="A477" t="s">
        <v>788</v>
      </c>
      <c r="B477" t="s">
        <v>291</v>
      </c>
      <c r="C477" s="19" t="s">
        <v>815</v>
      </c>
      <c r="D477" s="13" t="s">
        <v>816</v>
      </c>
      <c r="E477">
        <v>3</v>
      </c>
      <c r="F477" s="6">
        <f>90/3</f>
        <v>30</v>
      </c>
      <c r="G477" s="6">
        <v>40</v>
      </c>
      <c r="H477" s="7">
        <f t="shared" si="10"/>
        <v>0.25</v>
      </c>
    </row>
    <row r="478" spans="1:8" x14ac:dyDescent="0.25">
      <c r="A478" t="s">
        <v>788</v>
      </c>
      <c r="B478" t="s">
        <v>291</v>
      </c>
      <c r="C478" s="19" t="s">
        <v>817</v>
      </c>
      <c r="D478" s="13" t="s">
        <v>818</v>
      </c>
      <c r="E478">
        <v>3</v>
      </c>
      <c r="F478" s="6">
        <f>112.5/3</f>
        <v>37.5</v>
      </c>
      <c r="G478" s="6">
        <v>50</v>
      </c>
      <c r="H478" s="7">
        <f t="shared" si="10"/>
        <v>0.25</v>
      </c>
    </row>
    <row r="479" spans="1:8" x14ac:dyDescent="0.25">
      <c r="A479" t="s">
        <v>788</v>
      </c>
      <c r="B479" t="s">
        <v>263</v>
      </c>
      <c r="C479" s="19" t="s">
        <v>819</v>
      </c>
      <c r="D479" s="13" t="s">
        <v>820</v>
      </c>
      <c r="E479">
        <v>3</v>
      </c>
      <c r="F479" s="6">
        <f>135/3</f>
        <v>45</v>
      </c>
      <c r="G479" s="6">
        <v>60</v>
      </c>
      <c r="H479" s="7">
        <f t="shared" ref="H479:H513" si="12">(G479-F479)/MAX(F479,G479)</f>
        <v>0.25</v>
      </c>
    </row>
    <row r="480" spans="1:8" x14ac:dyDescent="0.25">
      <c r="A480" t="s">
        <v>788</v>
      </c>
      <c r="B480" t="s">
        <v>263</v>
      </c>
      <c r="C480" s="19" t="s">
        <v>821</v>
      </c>
      <c r="D480" s="13" t="s">
        <v>822</v>
      </c>
      <c r="E480">
        <v>3</v>
      </c>
      <c r="F480" s="6">
        <f>225/3</f>
        <v>75</v>
      </c>
      <c r="G480" s="6">
        <v>100</v>
      </c>
      <c r="H480" s="7">
        <f t="shared" si="12"/>
        <v>0.25</v>
      </c>
    </row>
    <row r="481" spans="1:8" x14ac:dyDescent="0.25">
      <c r="A481" t="s">
        <v>788</v>
      </c>
      <c r="B481" t="s">
        <v>263</v>
      </c>
      <c r="C481" s="19" t="s">
        <v>823</v>
      </c>
      <c r="D481" s="13" t="s">
        <v>824</v>
      </c>
      <c r="E481">
        <v>3</v>
      </c>
      <c r="F481" s="6">
        <f>337.5/3</f>
        <v>112.5</v>
      </c>
      <c r="G481" s="6">
        <v>150</v>
      </c>
      <c r="H481" s="7">
        <f t="shared" si="12"/>
        <v>0.25</v>
      </c>
    </row>
    <row r="482" spans="1:8" x14ac:dyDescent="0.25">
      <c r="A482" t="s">
        <v>788</v>
      </c>
      <c r="B482" t="s">
        <v>263</v>
      </c>
      <c r="C482" s="19" t="s">
        <v>825</v>
      </c>
      <c r="D482" s="13" t="s">
        <v>826</v>
      </c>
      <c r="E482">
        <v>2</v>
      </c>
      <c r="F482" s="6">
        <f>300/2</f>
        <v>150</v>
      </c>
      <c r="G482" s="6">
        <v>200</v>
      </c>
      <c r="H482" s="7">
        <f t="shared" si="12"/>
        <v>0.25</v>
      </c>
    </row>
    <row r="483" spans="1:8" x14ac:dyDescent="0.25">
      <c r="A483" t="s">
        <v>788</v>
      </c>
      <c r="B483" t="s">
        <v>263</v>
      </c>
      <c r="C483" s="19" t="s">
        <v>827</v>
      </c>
      <c r="D483" s="13" t="s">
        <v>828</v>
      </c>
      <c r="E483">
        <v>10</v>
      </c>
      <c r="F483" s="6">
        <f>210/10</f>
        <v>21</v>
      </c>
      <c r="G483" s="6">
        <v>30</v>
      </c>
      <c r="H483" s="7">
        <f t="shared" si="12"/>
        <v>0.3</v>
      </c>
    </row>
    <row r="484" spans="1:8" x14ac:dyDescent="0.25">
      <c r="A484" t="s">
        <v>788</v>
      </c>
      <c r="B484" t="s">
        <v>263</v>
      </c>
      <c r="C484" s="19" t="s">
        <v>829</v>
      </c>
      <c r="D484" s="13" t="s">
        <v>830</v>
      </c>
      <c r="E484">
        <v>3</v>
      </c>
      <c r="F484" s="6">
        <f>78.75/3</f>
        <v>26.25</v>
      </c>
      <c r="G484" s="6">
        <v>35</v>
      </c>
      <c r="H484" s="7">
        <f t="shared" si="12"/>
        <v>0.25</v>
      </c>
    </row>
    <row r="485" spans="1:8" x14ac:dyDescent="0.25">
      <c r="A485" t="s">
        <v>788</v>
      </c>
      <c r="B485" t="s">
        <v>164</v>
      </c>
      <c r="D485" s="13" t="s">
        <v>831</v>
      </c>
      <c r="E485">
        <v>10</v>
      </c>
      <c r="F485" s="6">
        <f>200/10</f>
        <v>20</v>
      </c>
      <c r="G485" s="6">
        <v>25</v>
      </c>
      <c r="H485" s="7">
        <f t="shared" si="12"/>
        <v>0.2</v>
      </c>
    </row>
    <row r="486" spans="1:8" x14ac:dyDescent="0.25">
      <c r="A486" t="s">
        <v>832</v>
      </c>
      <c r="B486" t="s">
        <v>263</v>
      </c>
      <c r="C486" s="19" t="s">
        <v>833</v>
      </c>
      <c r="D486" s="13" t="s">
        <v>834</v>
      </c>
      <c r="E486">
        <v>1</v>
      </c>
      <c r="F486" s="6">
        <f>139/2</f>
        <v>69.5</v>
      </c>
      <c r="G486" s="6">
        <v>99</v>
      </c>
      <c r="H486" s="7">
        <f t="shared" si="12"/>
        <v>0.29797979797979796</v>
      </c>
    </row>
    <row r="487" spans="1:8" x14ac:dyDescent="0.25">
      <c r="A487" t="s">
        <v>832</v>
      </c>
      <c r="B487" t="s">
        <v>263</v>
      </c>
      <c r="C487" s="19" t="s">
        <v>835</v>
      </c>
      <c r="D487" s="13" t="s">
        <v>836</v>
      </c>
      <c r="E487">
        <v>1</v>
      </c>
      <c r="F487" s="6">
        <f>139/2</f>
        <v>69.5</v>
      </c>
      <c r="G487" s="6">
        <v>99</v>
      </c>
      <c r="H487" s="7">
        <f t="shared" si="12"/>
        <v>0.29797979797979796</v>
      </c>
    </row>
    <row r="488" spans="1:8" x14ac:dyDescent="0.25">
      <c r="A488" t="s">
        <v>832</v>
      </c>
      <c r="B488" t="s">
        <v>113</v>
      </c>
      <c r="C488" s="19" t="s">
        <v>837</v>
      </c>
      <c r="D488" s="13" t="s">
        <v>838</v>
      </c>
      <c r="E488">
        <v>2</v>
      </c>
      <c r="F488" s="6">
        <f>48/2</f>
        <v>24</v>
      </c>
      <c r="G488" s="6">
        <v>40</v>
      </c>
      <c r="H488" s="7">
        <f t="shared" si="12"/>
        <v>0.4</v>
      </c>
    </row>
    <row r="489" spans="1:8" x14ac:dyDescent="0.25">
      <c r="A489" t="s">
        <v>832</v>
      </c>
      <c r="B489" t="s">
        <v>113</v>
      </c>
      <c r="D489" s="13" t="s">
        <v>839</v>
      </c>
      <c r="E489">
        <v>8</v>
      </c>
      <c r="F489" s="6">
        <f>240/8</f>
        <v>30</v>
      </c>
      <c r="G489" s="6">
        <v>50</v>
      </c>
      <c r="H489" s="7">
        <f t="shared" si="12"/>
        <v>0.4</v>
      </c>
    </row>
    <row r="490" spans="1:8" x14ac:dyDescent="0.25">
      <c r="A490" t="s">
        <v>832</v>
      </c>
      <c r="B490" t="s">
        <v>113</v>
      </c>
      <c r="D490" s="13" t="s">
        <v>840</v>
      </c>
      <c r="E490">
        <v>2</v>
      </c>
      <c r="F490" s="6">
        <f>30/2</f>
        <v>15</v>
      </c>
      <c r="G490" s="6">
        <v>25</v>
      </c>
      <c r="H490" s="7">
        <f t="shared" si="12"/>
        <v>0.4</v>
      </c>
    </row>
    <row r="491" spans="1:8" x14ac:dyDescent="0.25">
      <c r="A491" t="s">
        <v>832</v>
      </c>
      <c r="B491" t="s">
        <v>113</v>
      </c>
      <c r="D491" s="13" t="s">
        <v>841</v>
      </c>
      <c r="E491">
        <v>1</v>
      </c>
      <c r="F491" s="6">
        <v>105</v>
      </c>
      <c r="G491" s="6">
        <v>150</v>
      </c>
      <c r="H491" s="7">
        <f t="shared" si="12"/>
        <v>0.3</v>
      </c>
    </row>
    <row r="492" spans="1:8" x14ac:dyDescent="0.25">
      <c r="A492" t="s">
        <v>832</v>
      </c>
      <c r="B492" t="s">
        <v>113</v>
      </c>
      <c r="D492" s="13" t="s">
        <v>842</v>
      </c>
      <c r="E492">
        <v>2</v>
      </c>
      <c r="F492" s="6">
        <f>490/2</f>
        <v>245</v>
      </c>
      <c r="G492" s="6">
        <v>350</v>
      </c>
      <c r="H492" s="7">
        <f t="shared" si="12"/>
        <v>0.3</v>
      </c>
    </row>
    <row r="493" spans="1:8" x14ac:dyDescent="0.25">
      <c r="A493" t="s">
        <v>832</v>
      </c>
      <c r="B493" t="s">
        <v>113</v>
      </c>
      <c r="D493" s="13" t="s">
        <v>843</v>
      </c>
      <c r="E493">
        <v>1</v>
      </c>
      <c r="F493" s="6">
        <v>210</v>
      </c>
      <c r="G493" s="6">
        <v>300</v>
      </c>
      <c r="H493" s="7">
        <f t="shared" si="12"/>
        <v>0.3</v>
      </c>
    </row>
    <row r="494" spans="1:8" x14ac:dyDescent="0.25">
      <c r="A494" t="s">
        <v>832</v>
      </c>
      <c r="B494" t="s">
        <v>113</v>
      </c>
      <c r="D494" s="13" t="s">
        <v>844</v>
      </c>
      <c r="E494">
        <v>1</v>
      </c>
      <c r="F494" s="6">
        <v>199</v>
      </c>
      <c r="G494" s="6">
        <v>285</v>
      </c>
      <c r="H494" s="7">
        <f t="shared" si="12"/>
        <v>0.30175438596491228</v>
      </c>
    </row>
    <row r="495" spans="1:8" x14ac:dyDescent="0.25">
      <c r="A495" t="s">
        <v>832</v>
      </c>
      <c r="B495" t="s">
        <v>113</v>
      </c>
      <c r="D495" s="13" t="s">
        <v>845</v>
      </c>
      <c r="E495">
        <v>1</v>
      </c>
      <c r="F495" s="6">
        <v>210</v>
      </c>
      <c r="G495" s="6">
        <v>300</v>
      </c>
      <c r="H495" s="7">
        <f t="shared" si="12"/>
        <v>0.3</v>
      </c>
    </row>
    <row r="496" spans="1:8" x14ac:dyDescent="0.25">
      <c r="A496" t="s">
        <v>832</v>
      </c>
      <c r="B496" t="s">
        <v>113</v>
      </c>
      <c r="D496" s="13" t="s">
        <v>846</v>
      </c>
      <c r="E496">
        <v>1</v>
      </c>
      <c r="F496" s="6">
        <v>105</v>
      </c>
      <c r="G496" s="6">
        <v>150</v>
      </c>
      <c r="H496" s="7">
        <f t="shared" si="12"/>
        <v>0.3</v>
      </c>
    </row>
    <row r="497" spans="1:8" x14ac:dyDescent="0.25">
      <c r="A497" t="s">
        <v>832</v>
      </c>
      <c r="B497" t="s">
        <v>113</v>
      </c>
      <c r="D497" s="13" t="s">
        <v>847</v>
      </c>
      <c r="E497">
        <v>1</v>
      </c>
      <c r="F497" s="6">
        <v>210</v>
      </c>
      <c r="G497" s="6">
        <v>300</v>
      </c>
      <c r="H497" s="7">
        <f t="shared" si="12"/>
        <v>0.3</v>
      </c>
    </row>
    <row r="498" spans="1:8" x14ac:dyDescent="0.25">
      <c r="A498" t="s">
        <v>832</v>
      </c>
      <c r="B498" t="s">
        <v>113</v>
      </c>
      <c r="D498" s="13" t="s">
        <v>848</v>
      </c>
      <c r="E498">
        <v>1</v>
      </c>
      <c r="F498" s="6">
        <v>210</v>
      </c>
      <c r="G498" s="6">
        <v>300</v>
      </c>
      <c r="H498" s="7">
        <f t="shared" si="12"/>
        <v>0.3</v>
      </c>
    </row>
    <row r="499" spans="1:8" x14ac:dyDescent="0.25">
      <c r="A499" t="s">
        <v>832</v>
      </c>
      <c r="B499" t="s">
        <v>113</v>
      </c>
      <c r="C499" s="19" t="s">
        <v>849</v>
      </c>
      <c r="D499" s="13" t="s">
        <v>850</v>
      </c>
      <c r="E499">
        <v>2</v>
      </c>
      <c r="F499" s="6">
        <f>42/2</f>
        <v>21</v>
      </c>
      <c r="G499" s="6">
        <v>30</v>
      </c>
      <c r="H499" s="7">
        <f t="shared" si="12"/>
        <v>0.3</v>
      </c>
    </row>
    <row r="500" spans="1:8" x14ac:dyDescent="0.25">
      <c r="A500" t="s">
        <v>832</v>
      </c>
      <c r="B500" t="s">
        <v>113</v>
      </c>
      <c r="C500" s="19" t="s">
        <v>851</v>
      </c>
      <c r="D500" s="13" t="s">
        <v>852</v>
      </c>
      <c r="E500">
        <v>1</v>
      </c>
      <c r="F500" s="6">
        <v>30</v>
      </c>
      <c r="G500" s="6">
        <v>50</v>
      </c>
    </row>
    <row r="501" spans="1:8" x14ac:dyDescent="0.25">
      <c r="A501" t="s">
        <v>832</v>
      </c>
      <c r="B501" t="s">
        <v>113</v>
      </c>
      <c r="D501" s="13" t="s">
        <v>853</v>
      </c>
      <c r="E501">
        <v>1</v>
      </c>
      <c r="G501" s="6">
        <v>20</v>
      </c>
    </row>
    <row r="502" spans="1:8" x14ac:dyDescent="0.25">
      <c r="A502" t="s">
        <v>832</v>
      </c>
      <c r="B502" t="s">
        <v>113</v>
      </c>
      <c r="C502" s="19" t="s">
        <v>854</v>
      </c>
      <c r="D502" s="13" t="s">
        <v>855</v>
      </c>
      <c r="E502">
        <v>1</v>
      </c>
      <c r="G502" s="6">
        <v>20</v>
      </c>
    </row>
    <row r="503" spans="1:8" x14ac:dyDescent="0.25">
      <c r="A503" t="s">
        <v>832</v>
      </c>
      <c r="B503" t="s">
        <v>113</v>
      </c>
      <c r="C503" s="19" t="s">
        <v>856</v>
      </c>
      <c r="D503" s="13" t="s">
        <v>857</v>
      </c>
      <c r="E503">
        <v>1</v>
      </c>
      <c r="G503" s="6">
        <v>20</v>
      </c>
    </row>
    <row r="504" spans="1:8" x14ac:dyDescent="0.25">
      <c r="A504" t="s">
        <v>832</v>
      </c>
      <c r="B504" t="s">
        <v>113</v>
      </c>
      <c r="C504" s="19" t="s">
        <v>858</v>
      </c>
      <c r="D504" s="13" t="s">
        <v>859</v>
      </c>
      <c r="E504">
        <v>1</v>
      </c>
      <c r="G504" s="6">
        <v>20</v>
      </c>
    </row>
    <row r="505" spans="1:8" x14ac:dyDescent="0.25">
      <c r="A505" t="s">
        <v>832</v>
      </c>
      <c r="B505" t="s">
        <v>113</v>
      </c>
      <c r="C505" s="19" t="s">
        <v>860</v>
      </c>
      <c r="D505" s="13" t="s">
        <v>861</v>
      </c>
      <c r="E505">
        <v>2</v>
      </c>
      <c r="G505" s="6">
        <v>20</v>
      </c>
    </row>
    <row r="506" spans="1:8" x14ac:dyDescent="0.25">
      <c r="A506" t="s">
        <v>832</v>
      </c>
      <c r="B506" t="s">
        <v>113</v>
      </c>
      <c r="C506" s="19" t="s">
        <v>862</v>
      </c>
      <c r="D506" s="13" t="s">
        <v>863</v>
      </c>
      <c r="E506">
        <v>1</v>
      </c>
      <c r="G506" s="6">
        <v>20</v>
      </c>
    </row>
    <row r="507" spans="1:8" x14ac:dyDescent="0.25">
      <c r="A507" t="s">
        <v>832</v>
      </c>
      <c r="B507" t="s">
        <v>113</v>
      </c>
      <c r="C507" s="19" t="s">
        <v>864</v>
      </c>
      <c r="D507" s="13" t="s">
        <v>865</v>
      </c>
      <c r="E507">
        <v>2</v>
      </c>
      <c r="G507" s="6">
        <v>20</v>
      </c>
    </row>
    <row r="508" spans="1:8" x14ac:dyDescent="0.25">
      <c r="A508" t="s">
        <v>832</v>
      </c>
      <c r="B508" t="s">
        <v>113</v>
      </c>
      <c r="C508" s="19" t="s">
        <v>866</v>
      </c>
      <c r="D508" s="13" t="s">
        <v>867</v>
      </c>
      <c r="E508">
        <v>2</v>
      </c>
      <c r="G508" s="6">
        <v>20</v>
      </c>
    </row>
    <row r="509" spans="1:8" x14ac:dyDescent="0.25">
      <c r="A509" t="s">
        <v>832</v>
      </c>
      <c r="B509" t="s">
        <v>113</v>
      </c>
      <c r="C509" s="19" t="s">
        <v>868</v>
      </c>
      <c r="D509" s="13" t="s">
        <v>869</v>
      </c>
      <c r="E509">
        <v>1</v>
      </c>
      <c r="G509" s="6">
        <v>20</v>
      </c>
    </row>
    <row r="510" spans="1:8" x14ac:dyDescent="0.25">
      <c r="A510" t="s">
        <v>832</v>
      </c>
      <c r="B510" t="s">
        <v>113</v>
      </c>
      <c r="D510" s="13" t="s">
        <v>870</v>
      </c>
      <c r="E510">
        <v>2</v>
      </c>
      <c r="G510" s="6">
        <v>20</v>
      </c>
    </row>
    <row r="511" spans="1:8" x14ac:dyDescent="0.25">
      <c r="A511" t="s">
        <v>832</v>
      </c>
      <c r="B511" t="s">
        <v>263</v>
      </c>
      <c r="C511" s="19" t="s">
        <v>871</v>
      </c>
      <c r="D511" s="13" t="s">
        <v>872</v>
      </c>
      <c r="E511">
        <v>1</v>
      </c>
      <c r="G511" s="6">
        <v>20</v>
      </c>
    </row>
    <row r="512" spans="1:8" x14ac:dyDescent="0.25">
      <c r="A512" t="s">
        <v>832</v>
      </c>
      <c r="B512" t="s">
        <v>113</v>
      </c>
      <c r="C512" s="19" t="s">
        <v>873</v>
      </c>
      <c r="D512" s="13" t="s">
        <v>874</v>
      </c>
      <c r="E512">
        <v>1</v>
      </c>
      <c r="G512" s="6">
        <v>20</v>
      </c>
    </row>
    <row r="513" spans="1:7" x14ac:dyDescent="0.25">
      <c r="A513" t="s">
        <v>832</v>
      </c>
      <c r="B513" t="s">
        <v>113</v>
      </c>
      <c r="C513" s="19" t="s">
        <v>875</v>
      </c>
      <c r="D513" s="13" t="s">
        <v>876</v>
      </c>
      <c r="E513">
        <v>2</v>
      </c>
      <c r="G513" s="6">
        <v>20</v>
      </c>
    </row>
    <row r="514" spans="1:7" x14ac:dyDescent="0.25">
      <c r="A514" t="s">
        <v>832</v>
      </c>
      <c r="B514" t="s">
        <v>113</v>
      </c>
      <c r="C514" s="19" t="s">
        <v>877</v>
      </c>
      <c r="D514" s="13" t="s">
        <v>878</v>
      </c>
      <c r="E514">
        <v>2</v>
      </c>
      <c r="G514" s="6">
        <v>20</v>
      </c>
    </row>
    <row r="515" spans="1:7" x14ac:dyDescent="0.25">
      <c r="A515" t="s">
        <v>832</v>
      </c>
      <c r="B515" t="s">
        <v>113</v>
      </c>
      <c r="C515" s="19" t="s">
        <v>879</v>
      </c>
      <c r="D515" s="13" t="s">
        <v>880</v>
      </c>
      <c r="E515">
        <v>2</v>
      </c>
      <c r="G515" s="6">
        <v>20</v>
      </c>
    </row>
    <row r="516" spans="1:7" x14ac:dyDescent="0.25">
      <c r="A516" t="s">
        <v>832</v>
      </c>
      <c r="B516" t="s">
        <v>263</v>
      </c>
      <c r="C516" s="19" t="s">
        <v>881</v>
      </c>
      <c r="D516" s="13" t="s">
        <v>882</v>
      </c>
      <c r="E516">
        <v>2</v>
      </c>
      <c r="G516" s="6">
        <v>20</v>
      </c>
    </row>
    <row r="517" spans="1:7" x14ac:dyDescent="0.25">
      <c r="A517" t="s">
        <v>832</v>
      </c>
      <c r="B517" t="s">
        <v>113</v>
      </c>
      <c r="C517" s="19" t="s">
        <v>883</v>
      </c>
      <c r="D517" s="13" t="s">
        <v>884</v>
      </c>
      <c r="E517">
        <v>2</v>
      </c>
      <c r="F517" s="6">
        <f>63/2</f>
        <v>31.5</v>
      </c>
      <c r="G517" s="6">
        <v>45</v>
      </c>
    </row>
    <row r="518" spans="1:7" x14ac:dyDescent="0.25">
      <c r="A518" t="s">
        <v>832</v>
      </c>
      <c r="B518" t="s">
        <v>113</v>
      </c>
      <c r="C518" s="19" t="s">
        <v>885</v>
      </c>
      <c r="D518" s="13" t="s">
        <v>886</v>
      </c>
      <c r="E518">
        <v>1</v>
      </c>
      <c r="G518" s="6">
        <v>30</v>
      </c>
    </row>
    <row r="519" spans="1:7" x14ac:dyDescent="0.25">
      <c r="A519" t="s">
        <v>832</v>
      </c>
      <c r="B519" t="s">
        <v>113</v>
      </c>
      <c r="C519" s="19" t="s">
        <v>887</v>
      </c>
      <c r="D519" s="13" t="s">
        <v>888</v>
      </c>
      <c r="E519">
        <v>3</v>
      </c>
      <c r="F519" s="6">
        <v>15</v>
      </c>
      <c r="G519" s="6">
        <v>30</v>
      </c>
    </row>
    <row r="520" spans="1:7" x14ac:dyDescent="0.25">
      <c r="A520" t="s">
        <v>832</v>
      </c>
      <c r="B520" t="s">
        <v>113</v>
      </c>
      <c r="C520" s="19" t="s">
        <v>889</v>
      </c>
      <c r="D520" s="13" t="s">
        <v>890</v>
      </c>
      <c r="E520">
        <v>2</v>
      </c>
      <c r="G520" s="6">
        <v>30</v>
      </c>
    </row>
    <row r="521" spans="1:7" x14ac:dyDescent="0.25">
      <c r="A521" t="s">
        <v>832</v>
      </c>
      <c r="B521" t="s">
        <v>113</v>
      </c>
      <c r="D521" s="13" t="s">
        <v>891</v>
      </c>
      <c r="E521">
        <v>1</v>
      </c>
      <c r="G521" s="6">
        <v>30</v>
      </c>
    </row>
    <row r="522" spans="1:7" x14ac:dyDescent="0.25">
      <c r="A522" t="s">
        <v>832</v>
      </c>
      <c r="B522" t="s">
        <v>113</v>
      </c>
      <c r="C522" s="19" t="s">
        <v>892</v>
      </c>
      <c r="D522" s="13" t="s">
        <v>893</v>
      </c>
      <c r="E522">
        <v>1</v>
      </c>
      <c r="G522" s="6">
        <v>70</v>
      </c>
    </row>
    <row r="523" spans="1:7" x14ac:dyDescent="0.25">
      <c r="A523" t="s">
        <v>832</v>
      </c>
      <c r="B523" t="s">
        <v>113</v>
      </c>
      <c r="C523" s="19" t="s">
        <v>894</v>
      </c>
      <c r="D523" s="13" t="s">
        <v>895</v>
      </c>
      <c r="E523">
        <v>1</v>
      </c>
      <c r="F523" s="6">
        <f>84/2</f>
        <v>42</v>
      </c>
      <c r="G523" s="6">
        <v>70</v>
      </c>
    </row>
    <row r="524" spans="1:7" x14ac:dyDescent="0.25">
      <c r="A524" t="s">
        <v>832</v>
      </c>
      <c r="B524" t="s">
        <v>113</v>
      </c>
      <c r="C524" s="19" t="s">
        <v>896</v>
      </c>
      <c r="D524" s="13" t="s">
        <v>897</v>
      </c>
      <c r="E524">
        <v>1</v>
      </c>
      <c r="G524" s="6">
        <v>60</v>
      </c>
    </row>
    <row r="525" spans="1:7" x14ac:dyDescent="0.25">
      <c r="A525" t="s">
        <v>832</v>
      </c>
      <c r="B525" t="s">
        <v>113</v>
      </c>
      <c r="C525" s="19" t="s">
        <v>898</v>
      </c>
      <c r="D525" s="13" t="s">
        <v>899</v>
      </c>
      <c r="E525">
        <v>1</v>
      </c>
      <c r="G525" s="6">
        <v>60</v>
      </c>
    </row>
    <row r="526" spans="1:7" x14ac:dyDescent="0.25">
      <c r="A526" t="s">
        <v>832</v>
      </c>
      <c r="B526" t="s">
        <v>263</v>
      </c>
      <c r="C526" s="19" t="s">
        <v>900</v>
      </c>
      <c r="D526" s="13" t="s">
        <v>901</v>
      </c>
      <c r="E526">
        <v>1</v>
      </c>
      <c r="G526" s="6">
        <v>20</v>
      </c>
    </row>
    <row r="527" spans="1:7" x14ac:dyDescent="0.25">
      <c r="A527" t="s">
        <v>832</v>
      </c>
      <c r="B527" t="s">
        <v>113</v>
      </c>
      <c r="C527" s="19" t="s">
        <v>902</v>
      </c>
      <c r="D527" s="13" t="s">
        <v>903</v>
      </c>
      <c r="E527">
        <v>2</v>
      </c>
      <c r="G527" s="6">
        <v>30</v>
      </c>
    </row>
    <row r="528" spans="1:7" x14ac:dyDescent="0.25">
      <c r="A528" t="s">
        <v>832</v>
      </c>
      <c r="B528" t="s">
        <v>113</v>
      </c>
      <c r="C528" s="19" t="s">
        <v>904</v>
      </c>
      <c r="D528" s="13" t="s">
        <v>905</v>
      </c>
      <c r="E528">
        <v>2</v>
      </c>
      <c r="G528" s="6">
        <v>30</v>
      </c>
    </row>
    <row r="529" spans="1:7" x14ac:dyDescent="0.25">
      <c r="A529" t="s">
        <v>832</v>
      </c>
      <c r="B529" t="s">
        <v>113</v>
      </c>
      <c r="C529" s="19" t="s">
        <v>906</v>
      </c>
      <c r="D529" s="13" t="s">
        <v>907</v>
      </c>
      <c r="E529">
        <v>2</v>
      </c>
      <c r="G529" s="6">
        <v>30</v>
      </c>
    </row>
    <row r="530" spans="1:7" x14ac:dyDescent="0.25">
      <c r="A530" t="s">
        <v>832</v>
      </c>
      <c r="B530" t="s">
        <v>113</v>
      </c>
      <c r="C530" s="19" t="s">
        <v>908</v>
      </c>
      <c r="D530" s="13" t="s">
        <v>909</v>
      </c>
      <c r="E530">
        <v>2</v>
      </c>
      <c r="G530" s="6">
        <v>30</v>
      </c>
    </row>
    <row r="531" spans="1:7" x14ac:dyDescent="0.25">
      <c r="A531" t="s">
        <v>832</v>
      </c>
      <c r="B531" t="s">
        <v>113</v>
      </c>
      <c r="D531" s="13" t="s">
        <v>910</v>
      </c>
      <c r="E531">
        <v>2</v>
      </c>
      <c r="G531" s="6">
        <v>30</v>
      </c>
    </row>
    <row r="532" spans="1:7" x14ac:dyDescent="0.25">
      <c r="A532" t="s">
        <v>832</v>
      </c>
      <c r="B532" t="s">
        <v>113</v>
      </c>
      <c r="C532" s="19" t="s">
        <v>911</v>
      </c>
      <c r="D532" s="13" t="s">
        <v>912</v>
      </c>
      <c r="E532">
        <v>1</v>
      </c>
      <c r="G532" s="6">
        <v>60</v>
      </c>
    </row>
    <row r="533" spans="1:7" x14ac:dyDescent="0.25">
      <c r="A533" t="s">
        <v>832</v>
      </c>
      <c r="B533" t="s">
        <v>263</v>
      </c>
      <c r="C533" s="19" t="s">
        <v>913</v>
      </c>
      <c r="D533" s="13" t="s">
        <v>914</v>
      </c>
      <c r="E533">
        <v>2</v>
      </c>
      <c r="F533" s="6">
        <f>48/2</f>
        <v>24</v>
      </c>
      <c r="G533" s="6">
        <v>40</v>
      </c>
    </row>
    <row r="534" spans="1:7" x14ac:dyDescent="0.25">
      <c r="A534" t="s">
        <v>832</v>
      </c>
      <c r="B534" t="s">
        <v>113</v>
      </c>
      <c r="C534" s="19" t="s">
        <v>915</v>
      </c>
      <c r="D534" s="13" t="s">
        <v>916</v>
      </c>
      <c r="E534">
        <v>2</v>
      </c>
      <c r="F534" s="6">
        <f>67/2</f>
        <v>33.5</v>
      </c>
      <c r="G534" s="6">
        <v>50</v>
      </c>
    </row>
    <row r="535" spans="1:7" x14ac:dyDescent="0.25">
      <c r="A535" t="s">
        <v>832</v>
      </c>
      <c r="B535" t="s">
        <v>113</v>
      </c>
      <c r="C535" s="19" t="s">
        <v>917</v>
      </c>
      <c r="D535" s="13" t="s">
        <v>918</v>
      </c>
      <c r="E535">
        <v>1</v>
      </c>
      <c r="F535" s="6">
        <f>84/4</f>
        <v>21</v>
      </c>
      <c r="G535" s="6">
        <v>30</v>
      </c>
    </row>
    <row r="536" spans="1:7" x14ac:dyDescent="0.25">
      <c r="A536" t="s">
        <v>832</v>
      </c>
      <c r="B536" t="s">
        <v>113</v>
      </c>
      <c r="C536" s="19" t="s">
        <v>919</v>
      </c>
      <c r="D536" s="13" t="s">
        <v>920</v>
      </c>
      <c r="E536">
        <v>1</v>
      </c>
      <c r="F536" s="6">
        <f>84/4</f>
        <v>21</v>
      </c>
      <c r="G536" s="6">
        <v>30</v>
      </c>
    </row>
    <row r="537" spans="1:7" x14ac:dyDescent="0.25">
      <c r="A537" t="s">
        <v>832</v>
      </c>
      <c r="B537" t="s">
        <v>113</v>
      </c>
      <c r="C537" s="19" t="s">
        <v>921</v>
      </c>
      <c r="D537" s="13" t="s">
        <v>918</v>
      </c>
      <c r="E537">
        <v>1</v>
      </c>
      <c r="F537" s="6">
        <f>84/4</f>
        <v>21</v>
      </c>
      <c r="G537" s="6">
        <v>30</v>
      </c>
    </row>
    <row r="538" spans="1:7" x14ac:dyDescent="0.25">
      <c r="A538" t="s">
        <v>832</v>
      </c>
      <c r="B538" t="s">
        <v>113</v>
      </c>
      <c r="C538" s="19" t="s">
        <v>922</v>
      </c>
      <c r="D538" s="13" t="s">
        <v>923</v>
      </c>
      <c r="E538">
        <v>1</v>
      </c>
      <c r="F538" s="6">
        <f>84/4</f>
        <v>21</v>
      </c>
      <c r="G538" s="6">
        <v>30</v>
      </c>
    </row>
    <row r="539" spans="1:7" x14ac:dyDescent="0.25">
      <c r="A539" t="s">
        <v>832</v>
      </c>
      <c r="B539" t="s">
        <v>113</v>
      </c>
      <c r="C539" s="19" t="s">
        <v>924</v>
      </c>
      <c r="D539" s="13" t="s">
        <v>925</v>
      </c>
      <c r="E539">
        <v>1</v>
      </c>
      <c r="G539" s="6">
        <v>25</v>
      </c>
    </row>
    <row r="540" spans="1:7" x14ac:dyDescent="0.25">
      <c r="A540" t="s">
        <v>832</v>
      </c>
      <c r="B540" t="s">
        <v>113</v>
      </c>
      <c r="C540" s="19" t="s">
        <v>926</v>
      </c>
      <c r="D540" s="13" t="s">
        <v>927</v>
      </c>
      <c r="E540">
        <v>1</v>
      </c>
      <c r="G540" s="6">
        <v>70</v>
      </c>
    </row>
    <row r="541" spans="1:7" x14ac:dyDescent="0.25">
      <c r="A541" t="s">
        <v>832</v>
      </c>
      <c r="B541" t="s">
        <v>113</v>
      </c>
      <c r="D541" s="13" t="s">
        <v>928</v>
      </c>
      <c r="E541">
        <v>1</v>
      </c>
      <c r="G541" s="6">
        <v>70</v>
      </c>
    </row>
    <row r="542" spans="1:7" x14ac:dyDescent="0.25">
      <c r="A542" t="s">
        <v>832</v>
      </c>
      <c r="B542" t="s">
        <v>113</v>
      </c>
      <c r="C542" s="19" t="s">
        <v>929</v>
      </c>
      <c r="D542" s="13" t="s">
        <v>930</v>
      </c>
      <c r="E542">
        <v>1</v>
      </c>
      <c r="F542" s="6">
        <v>28</v>
      </c>
      <c r="G542" s="6">
        <v>40</v>
      </c>
    </row>
    <row r="543" spans="1:7" x14ac:dyDescent="0.25">
      <c r="A543" t="s">
        <v>832</v>
      </c>
      <c r="B543" t="s">
        <v>113</v>
      </c>
      <c r="C543" s="19" t="s">
        <v>931</v>
      </c>
      <c r="D543" s="13" t="s">
        <v>932</v>
      </c>
      <c r="E543">
        <v>1</v>
      </c>
      <c r="F543" s="6">
        <v>42</v>
      </c>
      <c r="G543" s="6">
        <v>60</v>
      </c>
    </row>
    <row r="544" spans="1:7" x14ac:dyDescent="0.25">
      <c r="A544" t="s">
        <v>832</v>
      </c>
      <c r="B544" t="s">
        <v>113</v>
      </c>
      <c r="D544" s="13" t="s">
        <v>933</v>
      </c>
      <c r="E544">
        <v>1</v>
      </c>
      <c r="F544" s="6">
        <v>15</v>
      </c>
      <c r="G544" s="6">
        <v>30</v>
      </c>
    </row>
    <row r="545" spans="1:8" x14ac:dyDescent="0.25">
      <c r="A545" t="s">
        <v>832</v>
      </c>
      <c r="B545" t="s">
        <v>113</v>
      </c>
      <c r="C545" s="19" t="s">
        <v>934</v>
      </c>
      <c r="D545" s="13" t="s">
        <v>935</v>
      </c>
      <c r="E545">
        <v>3</v>
      </c>
      <c r="F545" s="6">
        <f>360/12</f>
        <v>30</v>
      </c>
      <c r="G545" s="6">
        <v>60</v>
      </c>
    </row>
    <row r="546" spans="1:8" x14ac:dyDescent="0.25">
      <c r="A546" t="s">
        <v>832</v>
      </c>
      <c r="B546" t="s">
        <v>113</v>
      </c>
      <c r="C546" s="19" t="s">
        <v>936</v>
      </c>
      <c r="D546" s="13" t="s">
        <v>937</v>
      </c>
      <c r="E546">
        <v>4</v>
      </c>
      <c r="F546" s="6">
        <f t="shared" ref="F546:F548" si="13">360/12</f>
        <v>30</v>
      </c>
      <c r="G546" s="6">
        <v>60</v>
      </c>
    </row>
    <row r="547" spans="1:8" x14ac:dyDescent="0.25">
      <c r="A547" t="s">
        <v>832</v>
      </c>
      <c r="B547" t="s">
        <v>113</v>
      </c>
      <c r="C547" s="19" t="s">
        <v>938</v>
      </c>
      <c r="D547" s="13" t="s">
        <v>939</v>
      </c>
      <c r="E547">
        <v>2</v>
      </c>
      <c r="F547" s="6">
        <f t="shared" si="13"/>
        <v>30</v>
      </c>
      <c r="G547" s="6">
        <v>60</v>
      </c>
    </row>
    <row r="548" spans="1:8" x14ac:dyDescent="0.25">
      <c r="A548" t="s">
        <v>832</v>
      </c>
      <c r="B548" t="s">
        <v>113</v>
      </c>
      <c r="C548" s="19" t="s">
        <v>940</v>
      </c>
      <c r="D548" s="13" t="s">
        <v>941</v>
      </c>
      <c r="E548">
        <v>3</v>
      </c>
      <c r="F548" s="6">
        <f t="shared" si="13"/>
        <v>30</v>
      </c>
      <c r="G548" s="6">
        <v>60</v>
      </c>
    </row>
    <row r="549" spans="1:8" x14ac:dyDescent="0.25">
      <c r="A549" t="s">
        <v>832</v>
      </c>
      <c r="B549" t="s">
        <v>113</v>
      </c>
      <c r="C549" s="19" t="s">
        <v>942</v>
      </c>
      <c r="D549" s="13" t="s">
        <v>867</v>
      </c>
      <c r="E549">
        <v>1</v>
      </c>
      <c r="F549" s="6">
        <v>42</v>
      </c>
      <c r="G549" s="6">
        <v>60</v>
      </c>
    </row>
    <row r="550" spans="1:8" x14ac:dyDescent="0.25">
      <c r="A550" t="s">
        <v>832</v>
      </c>
      <c r="B550" t="s">
        <v>943</v>
      </c>
      <c r="D550" s="13" t="s">
        <v>944</v>
      </c>
      <c r="E550">
        <v>1</v>
      </c>
      <c r="F550" s="6">
        <v>120</v>
      </c>
      <c r="G550" s="6">
        <v>175</v>
      </c>
      <c r="H550" s="7">
        <f t="shared" ref="H550" si="14">(G550-F550)/MAX(F550,G550)</f>
        <v>0.31428571428571428</v>
      </c>
    </row>
  </sheetData>
  <autoFilter ref="A1:J550"/>
  <conditionalFormatting sqref="C1:C476 C478:C1048576">
    <cfRule type="duplicateValues" dxfId="1" priority="2"/>
  </conditionalFormatting>
  <conditionalFormatting sqref="C47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Navas</dc:creator>
  <cp:lastModifiedBy>Navas</cp:lastModifiedBy>
  <dcterms:created xsi:type="dcterms:W3CDTF">2017-06-29T17:06:10Z</dcterms:created>
  <dcterms:modified xsi:type="dcterms:W3CDTF">2017-06-29T17:06:40Z</dcterms:modified>
</cp:coreProperties>
</file>