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mpt\Box Sync\Proposal Info\2014\DC Ranch\PRICING\Final\"/>
    </mc:Choice>
  </mc:AlternateContent>
  <bookViews>
    <workbookView xWindow="240" yWindow="105" windowWidth="19155" windowHeight="8505"/>
  </bookViews>
  <sheets>
    <sheet name="Pricing Submission" sheetId="2" r:id="rId1"/>
    <sheet name="Budget File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19" i="3" l="1"/>
  <c r="D19" i="3" s="1"/>
  <c r="D18" i="3"/>
  <c r="D12" i="3"/>
  <c r="D13" i="3" s="1"/>
  <c r="C14" i="2" l="1"/>
  <c r="C20" i="3" l="1"/>
  <c r="D20" i="3" l="1"/>
  <c r="D21" i="3" s="1"/>
  <c r="C25" i="3" s="1"/>
  <c r="C21" i="3"/>
  <c r="E10" i="3" l="1"/>
  <c r="F10" i="3" s="1"/>
  <c r="E6" i="3"/>
  <c r="F6" i="3" s="1"/>
  <c r="E9" i="3"/>
  <c r="F9" i="3" s="1"/>
  <c r="E5" i="3"/>
  <c r="F5" i="3" s="1"/>
  <c r="E8" i="3"/>
  <c r="F8" i="3" s="1"/>
  <c r="E7" i="3"/>
  <c r="F7" i="3" s="1"/>
  <c r="E11" i="2"/>
  <c r="E7" i="2"/>
  <c r="E10" i="2"/>
  <c r="E9" i="2"/>
  <c r="E12" i="2"/>
  <c r="E8" i="2"/>
  <c r="G12" i="2" l="1"/>
  <c r="F12" i="2"/>
  <c r="G11" i="2"/>
  <c r="F11" i="2"/>
  <c r="F9" i="2"/>
  <c r="G9" i="2"/>
  <c r="G10" i="2"/>
  <c r="F10" i="2"/>
  <c r="G8" i="2"/>
  <c r="F8" i="2"/>
  <c r="G7" i="2"/>
  <c r="F7" i="2"/>
  <c r="F12" i="3"/>
  <c r="F13" i="3" s="1"/>
  <c r="C24" i="3" s="1"/>
  <c r="C26" i="3" s="1"/>
  <c r="C27" i="3" s="1"/>
  <c r="G14" i="2" l="1"/>
</calcChain>
</file>

<file path=xl/sharedStrings.xml><?xml version="1.0" encoding="utf-8"?>
<sst xmlns="http://schemas.openxmlformats.org/spreadsheetml/2006/main" count="77" uniqueCount="66">
  <si>
    <t>AlliedBarton Security Services</t>
  </si>
  <si>
    <t>Position</t>
  </si>
  <si>
    <t>Weekly Hours</t>
  </si>
  <si>
    <t>Hourly Wage Rate</t>
  </si>
  <si>
    <t>Hourly Bill Rate</t>
  </si>
  <si>
    <t>Holiday/OT Rate</t>
  </si>
  <si>
    <t xml:space="preserve">Hourly Bill Rates inclusive of the following costs: </t>
  </si>
  <si>
    <t>Wage</t>
  </si>
  <si>
    <t>Overtime Premium</t>
  </si>
  <si>
    <t>Training Labor</t>
  </si>
  <si>
    <t>Background Screening</t>
  </si>
  <si>
    <t>All background screening, drug testing, motor vehicle registration checks, and other checks and screening</t>
  </si>
  <si>
    <t>Uniforms</t>
  </si>
  <si>
    <t>Equipment</t>
  </si>
  <si>
    <t>Any miscellaneous costs, such as office supplies, tuition reimbursement, 401K, life insurance elections, etc.</t>
  </si>
  <si>
    <t>Other Billable Costs</t>
  </si>
  <si>
    <t>Holiday Pay</t>
  </si>
  <si>
    <t>Medical Benefits</t>
  </si>
  <si>
    <t>Estimated Totals</t>
  </si>
  <si>
    <t>Annual Price</t>
  </si>
  <si>
    <t xml:space="preserve">Includes uniform costs, including and applicable maintenance and replacement costs </t>
  </si>
  <si>
    <t>Site Supervisor</t>
  </si>
  <si>
    <t>Overhead and Profit</t>
  </si>
  <si>
    <t>Site, Branch and Corporate Overhead and Profit</t>
  </si>
  <si>
    <t>All holiday labor will be billed separately as incurred. This includes all applicable payroll taxes, and insurances for the following holidays: New Year's Day, Memorial Day, July 4th, Labor Day, Thanksgiving Day and Christmas Day.</t>
  </si>
  <si>
    <t>Miscellaneous Costs</t>
  </si>
  <si>
    <t>Security Officer Level 1</t>
  </si>
  <si>
    <t>Security Officer Level 2</t>
  </si>
  <si>
    <t>Security Officer Level 3</t>
  </si>
  <si>
    <t>Security Officer Level 4</t>
  </si>
  <si>
    <t>Account Manager</t>
  </si>
  <si>
    <t>Payroll Taxes</t>
  </si>
  <si>
    <t>FICA, FUTA, SUTA</t>
  </si>
  <si>
    <t>Insrances</t>
  </si>
  <si>
    <t>Worker's Compensation, General Liability Insurance.</t>
  </si>
  <si>
    <t xml:space="preserve">Includes one cell phone, 2 laptops, printer. </t>
  </si>
  <si>
    <t>Vacation</t>
  </si>
  <si>
    <t>Vehicle</t>
  </si>
  <si>
    <t>DC Ranch Association: Pricing Submission</t>
  </si>
  <si>
    <t>Estimated Billing</t>
  </si>
  <si>
    <t>Client Budget Estimate</t>
  </si>
  <si>
    <t>Direct Billing</t>
  </si>
  <si>
    <t>Service Item</t>
  </si>
  <si>
    <t>Monthly Cost</t>
  </si>
  <si>
    <t>Annual Cost</t>
  </si>
  <si>
    <t>Electric Golf Cart</t>
  </si>
  <si>
    <t xml:space="preserve">Holidays </t>
  </si>
  <si>
    <t>3 Prius Sedans</t>
  </si>
  <si>
    <t>Total Estimated Direct Bills</t>
  </si>
  <si>
    <t>Annual Estimates</t>
  </si>
  <si>
    <t xml:space="preserve">Sub Total Annual Billings </t>
  </si>
  <si>
    <t>Weekly Estimate</t>
  </si>
  <si>
    <t>Annual Estimate</t>
  </si>
  <si>
    <t>Sub Total Direct Bill Back Items</t>
  </si>
  <si>
    <t>These Estimates do not include applicable sales tax for the State of Arizona</t>
  </si>
  <si>
    <t>Estimated Weekly Total</t>
  </si>
  <si>
    <t>Estimated Annual  Total</t>
  </si>
  <si>
    <t>Payment Terms: Weekly Billing, Net 15 Days payment</t>
  </si>
  <si>
    <t>Vacation includes new hire vacation based on the ABSS new hire schedule, should tenured employees be grandfathered their Vacation will be billed directly at their corresponding straight time billing rates.</t>
  </si>
  <si>
    <t>24 Hours Initial OJT, 8 Hours refreseher</t>
  </si>
  <si>
    <t>Competitive market wages to attract talent to meet the expectations of DC Ranch Association, Outlined in detail on the pricing submission table.</t>
  </si>
  <si>
    <t>Other Notes</t>
  </si>
  <si>
    <t>The billing rate is subject to adjustment over the life of the contract for statutory changes to reflect the increases in costs to AlliedBarton Security Services.</t>
  </si>
  <si>
    <t>The payment terms will be Weekly Billing, net 15 day payment.</t>
  </si>
  <si>
    <t>Includes assumptions for Affordable Care Act</t>
  </si>
  <si>
    <t xml:space="preserve">3 Prius 4 Dr Sedan's at approximately $843 per month per vehicle, and 1 Electric golf cart at approximately  $265 per month.  Maintenance and fuel provided by client and not billed to vendor.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</si>
</sst>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44" fontId="0" fillId="0" borderId="3" xfId="1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vertical="center"/>
    </xf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" xfId="0" applyFill="1" applyBorder="1"/>
    <xf numFmtId="0" fontId="5" fillId="0" borderId="3" xfId="0" applyFont="1" applyFill="1" applyBorder="1"/>
    <xf numFmtId="8" fontId="5" fillId="0" borderId="3" xfId="0" applyNumberFormat="1" applyFont="1" applyBorder="1"/>
    <xf numFmtId="44" fontId="5" fillId="0" borderId="3" xfId="1" applyFont="1" applyBorder="1"/>
    <xf numFmtId="0" fontId="5" fillId="0" borderId="0" xfId="0" applyFont="1"/>
    <xf numFmtId="0" fontId="0" fillId="0" borderId="3" xfId="0" applyFont="1" applyFill="1" applyBorder="1"/>
    <xf numFmtId="0" fontId="0" fillId="0" borderId="0" xfId="0" applyFont="1"/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/>
    <xf numFmtId="44" fontId="0" fillId="0" borderId="3" xfId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44" fontId="1" fillId="0" borderId="3" xfId="1" applyFont="1" applyBorder="1"/>
    <xf numFmtId="44" fontId="0" fillId="0" borderId="3" xfId="0" applyNumberForma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Fill="1" applyBorder="1"/>
    <xf numFmtId="1" fontId="5" fillId="0" borderId="0" xfId="0" applyNumberFormat="1" applyFont="1" applyBorder="1" applyAlignment="1">
      <alignment horizontal="center"/>
    </xf>
    <xf numFmtId="8" fontId="5" fillId="0" borderId="0" xfId="0" applyNumberFormat="1" applyFont="1" applyBorder="1"/>
    <xf numFmtId="44" fontId="5" fillId="0" borderId="0" xfId="1" applyFont="1" applyBorder="1"/>
    <xf numFmtId="0" fontId="4" fillId="0" borderId="18" xfId="0" applyFont="1" applyBorder="1" applyAlignment="1">
      <alignment vertical="center"/>
    </xf>
    <xf numFmtId="44" fontId="0" fillId="0" borderId="0" xfId="0" applyNumberFormat="1"/>
    <xf numFmtId="3" fontId="0" fillId="0" borderId="0" xfId="0" applyNumberFormat="1"/>
    <xf numFmtId="44" fontId="3" fillId="0" borderId="3" xfId="1" applyFont="1" applyBorder="1"/>
    <xf numFmtId="44" fontId="6" fillId="0" borderId="3" xfId="1" applyFont="1" applyBorder="1"/>
    <xf numFmtId="44" fontId="0" fillId="0" borderId="3" xfId="1" applyFont="1" applyFill="1" applyBorder="1"/>
    <xf numFmtId="44" fontId="0" fillId="0" borderId="0" xfId="1" applyFont="1"/>
    <xf numFmtId="164" fontId="0" fillId="0" borderId="3" xfId="2" applyNumberFormat="1" applyFont="1" applyBorder="1" applyAlignment="1">
      <alignment horizontal="center"/>
    </xf>
    <xf numFmtId="0" fontId="0" fillId="0" borderId="21" xfId="0" applyBorder="1"/>
    <xf numFmtId="0" fontId="0" fillId="0" borderId="0" xfId="0" applyBorder="1"/>
    <xf numFmtId="44" fontId="0" fillId="0" borderId="25" xfId="1" applyFont="1" applyBorder="1"/>
    <xf numFmtId="0" fontId="0" fillId="0" borderId="26" xfId="0" applyBorder="1"/>
    <xf numFmtId="44" fontId="0" fillId="0" borderId="19" xfId="1" applyFont="1" applyBorder="1"/>
    <xf numFmtId="44" fontId="0" fillId="0" borderId="27" xfId="1" applyFont="1" applyBorder="1"/>
    <xf numFmtId="0" fontId="0" fillId="0" borderId="1" xfId="0" applyBorder="1"/>
    <xf numFmtId="44" fontId="0" fillId="0" borderId="20" xfId="1" applyFont="1" applyBorder="1"/>
    <xf numFmtId="0" fontId="0" fillId="3" borderId="22" xfId="0" applyFill="1" applyBorder="1"/>
    <xf numFmtId="0" fontId="0" fillId="3" borderId="23" xfId="0" applyFill="1" applyBorder="1"/>
    <xf numFmtId="164" fontId="0" fillId="3" borderId="23" xfId="2" applyNumberFormat="1" applyFont="1" applyFill="1" applyBorder="1"/>
    <xf numFmtId="0" fontId="0" fillId="3" borderId="24" xfId="0" applyFill="1" applyBorder="1"/>
    <xf numFmtId="0" fontId="8" fillId="0" borderId="1" xfId="0" applyFont="1" applyBorder="1"/>
    <xf numFmtId="0" fontId="8" fillId="0" borderId="2" xfId="0" applyFont="1" applyBorder="1"/>
    <xf numFmtId="164" fontId="8" fillId="0" borderId="2" xfId="2" applyNumberFormat="1" applyFont="1" applyBorder="1"/>
    <xf numFmtId="44" fontId="8" fillId="0" borderId="20" xfId="1" applyFont="1" applyBorder="1"/>
    <xf numFmtId="0" fontId="8" fillId="0" borderId="26" xfId="0" applyFont="1" applyBorder="1"/>
    <xf numFmtId="44" fontId="8" fillId="0" borderId="19" xfId="1" applyFont="1" applyBorder="1"/>
    <xf numFmtId="164" fontId="8" fillId="0" borderId="19" xfId="2" applyNumberFormat="1" applyFont="1" applyBorder="1"/>
    <xf numFmtId="0" fontId="8" fillId="0" borderId="19" xfId="0" applyFont="1" applyBorder="1"/>
    <xf numFmtId="44" fontId="8" fillId="0" borderId="27" xfId="1" applyFont="1" applyBorder="1"/>
    <xf numFmtId="0" fontId="0" fillId="0" borderId="25" xfId="0" applyBorder="1"/>
    <xf numFmtId="44" fontId="0" fillId="0" borderId="0" xfId="1" applyFont="1" applyBorder="1"/>
    <xf numFmtId="44" fontId="0" fillId="0" borderId="2" xfId="1" applyFont="1" applyBorder="1"/>
    <xf numFmtId="0" fontId="0" fillId="3" borderId="3" xfId="0" applyFill="1" applyBorder="1"/>
    <xf numFmtId="44" fontId="0" fillId="3" borderId="3" xfId="1" applyFont="1" applyFill="1" applyBorder="1"/>
    <xf numFmtId="43" fontId="0" fillId="0" borderId="0" xfId="0" applyNumberFormat="1"/>
    <xf numFmtId="0" fontId="4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4" fillId="0" borderId="16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ampt/AppData/Local/Microsoft/Windows/Temporary%20Internet%20Files/Content.Outlook/72A0B3YF/DC%20Ranch-14-70012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ssumptions"/>
      <sheetName val="P&amp;L"/>
      <sheetName val="Labor Buildup"/>
      <sheetName val="Subcontractor"/>
      <sheetName val="SOW"/>
      <sheetName val="Staff Consumable Summary"/>
      <sheetName val="Vehicles"/>
      <sheetName val="Training"/>
      <sheetName val="2015 ACA Estimate"/>
      <sheetName val="Current Commission Plan"/>
      <sheetName val="Overhead.Unbilled Labor"/>
      <sheetName val="Key RFP reqt"/>
      <sheetName val="COST BREAKDOWN"/>
      <sheetName val="RFP Review"/>
      <sheetName val="Pricing Log"/>
      <sheetName val="REF STATE NAMES"/>
    </sheetNames>
    <sheetDataSet>
      <sheetData sheetId="0">
        <row r="43">
          <cell r="I43">
            <v>1.3790192373582282</v>
          </cell>
        </row>
      </sheetData>
      <sheetData sheetId="1"/>
      <sheetData sheetId="2">
        <row r="8">
          <cell r="B8">
            <v>11439.946285714283</v>
          </cell>
        </row>
      </sheetData>
      <sheetData sheetId="3"/>
      <sheetData sheetId="4"/>
      <sheetData sheetId="5"/>
      <sheetData sheetId="6"/>
      <sheetData sheetId="7">
        <row r="3">
          <cell r="O3">
            <v>842.71999999999991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8"/>
  <sheetViews>
    <sheetView tabSelected="1" zoomScaleNormal="100" workbookViewId="0">
      <selection activeCell="B2" sqref="B2"/>
    </sheetView>
  </sheetViews>
  <sheetFormatPr defaultRowHeight="15" x14ac:dyDescent="0.25"/>
  <cols>
    <col min="1" max="1" width="1.42578125" customWidth="1"/>
    <col min="2" max="2" width="28.5703125" customWidth="1"/>
    <col min="3" max="3" width="16.7109375" customWidth="1"/>
    <col min="4" max="4" width="20.140625" customWidth="1"/>
    <col min="5" max="6" width="19.28515625" customWidth="1"/>
    <col min="7" max="7" width="20.42578125" bestFit="1" customWidth="1"/>
    <col min="8" max="8" width="1.7109375" customWidth="1"/>
    <col min="10" max="10" width="14.28515625" bestFit="1" customWidth="1"/>
    <col min="12" max="12" width="17.85546875" customWidth="1"/>
    <col min="13" max="13" width="17.28515625" customWidth="1"/>
  </cols>
  <sheetData>
    <row r="1" spans="2:7" x14ac:dyDescent="0.25">
      <c r="B1" s="17" t="s">
        <v>38</v>
      </c>
    </row>
    <row r="3" spans="2:7" ht="15.75" x14ac:dyDescent="0.25">
      <c r="B3" s="73" t="s">
        <v>0</v>
      </c>
      <c r="C3" s="74"/>
      <c r="D3" s="74"/>
      <c r="E3" s="74"/>
      <c r="F3" s="74"/>
      <c r="G3" s="74"/>
    </row>
    <row r="5" spans="2:7" x14ac:dyDescent="0.25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19</v>
      </c>
    </row>
    <row r="6" spans="2:7" x14ac:dyDescent="0.25">
      <c r="B6" s="3"/>
      <c r="C6" s="4"/>
      <c r="D6" s="4"/>
      <c r="E6" s="4"/>
      <c r="F6" s="4"/>
      <c r="G6" s="4"/>
    </row>
    <row r="7" spans="2:7" x14ac:dyDescent="0.25">
      <c r="B7" s="3" t="s">
        <v>26</v>
      </c>
      <c r="C7" s="5">
        <v>314</v>
      </c>
      <c r="D7" s="22">
        <v>13</v>
      </c>
      <c r="E7" s="25">
        <f>D7*[1]Summary!$I$43</f>
        <v>17.927250085656965</v>
      </c>
      <c r="F7" s="6">
        <f t="shared" ref="F7:F8" si="0">E7*1.5</f>
        <v>26.890875128485447</v>
      </c>
      <c r="G7" s="6">
        <f t="shared" ref="G7:G12" si="1">E7*C7*52</f>
        <v>292716.1393986069</v>
      </c>
    </row>
    <row r="8" spans="2:7" x14ac:dyDescent="0.25">
      <c r="B8" s="21" t="s">
        <v>27</v>
      </c>
      <c r="C8" s="5">
        <v>188</v>
      </c>
      <c r="D8" s="6">
        <v>13.5</v>
      </c>
      <c r="E8" s="25">
        <f>D8*[1]Summary!$I$43</f>
        <v>18.616759704336079</v>
      </c>
      <c r="F8" s="6">
        <f t="shared" si="0"/>
        <v>27.925139556504121</v>
      </c>
      <c r="G8" s="6">
        <f t="shared" si="1"/>
        <v>181997.44286958952</v>
      </c>
    </row>
    <row r="9" spans="2:7" s="19" customFormat="1" x14ac:dyDescent="0.25">
      <c r="B9" s="3" t="s">
        <v>28</v>
      </c>
      <c r="C9" s="5">
        <v>628</v>
      </c>
      <c r="D9" s="6">
        <v>13.75</v>
      </c>
      <c r="E9" s="25">
        <f>D9*[1]Summary!$I$43</f>
        <v>18.961514513675638</v>
      </c>
      <c r="F9" s="6">
        <f>E9*1.5</f>
        <v>28.442271770513457</v>
      </c>
      <c r="G9" s="6">
        <f t="shared" si="1"/>
        <v>619207.21795859165</v>
      </c>
    </row>
    <row r="10" spans="2:7" s="17" customFormat="1" x14ac:dyDescent="0.25">
      <c r="B10" s="18" t="s">
        <v>29</v>
      </c>
      <c r="C10" s="23">
        <v>126</v>
      </c>
      <c r="D10" s="6">
        <v>14</v>
      </c>
      <c r="E10" s="25">
        <f>D10*[1]Summary!$I$43</f>
        <v>19.306269323015194</v>
      </c>
      <c r="F10" s="6">
        <f>E10*1.5</f>
        <v>28.95940398452279</v>
      </c>
      <c r="G10" s="6">
        <f t="shared" si="1"/>
        <v>126494.67660439556</v>
      </c>
    </row>
    <row r="11" spans="2:7" x14ac:dyDescent="0.25">
      <c r="B11" s="18" t="s">
        <v>21</v>
      </c>
      <c r="C11" s="23">
        <v>168</v>
      </c>
      <c r="D11" s="24">
        <v>13.5</v>
      </c>
      <c r="E11" s="25">
        <f>D11*[1]Summary!$I$43</f>
        <v>18.616759704336079</v>
      </c>
      <c r="F11" s="6">
        <f t="shared" ref="F11:F12" si="2">E11*1.5</f>
        <v>27.925139556504121</v>
      </c>
      <c r="G11" s="6">
        <f t="shared" si="1"/>
        <v>162636.01277708</v>
      </c>
    </row>
    <row r="12" spans="2:7" s="17" customFormat="1" x14ac:dyDescent="0.25">
      <c r="B12" s="13" t="s">
        <v>30</v>
      </c>
      <c r="C12" s="5">
        <v>40</v>
      </c>
      <c r="D12" s="6">
        <v>23.076923076923077</v>
      </c>
      <c r="E12" s="25">
        <f>D12*[1]Summary!$I$43</f>
        <v>31.823520862112957</v>
      </c>
      <c r="F12" s="6">
        <f t="shared" si="2"/>
        <v>47.735281293169436</v>
      </c>
      <c r="G12" s="6">
        <f t="shared" si="1"/>
        <v>66192.923393194957</v>
      </c>
    </row>
    <row r="13" spans="2:7" x14ac:dyDescent="0.25">
      <c r="B13" s="13"/>
      <c r="C13" s="4"/>
      <c r="D13" s="6"/>
      <c r="E13" s="6"/>
      <c r="F13" s="6"/>
      <c r="G13" s="6"/>
    </row>
    <row r="14" spans="2:7" x14ac:dyDescent="0.25">
      <c r="B14" s="14" t="s">
        <v>18</v>
      </c>
      <c r="C14" s="20">
        <f>SUM(C7:C13)</f>
        <v>1464</v>
      </c>
      <c r="D14" s="15"/>
      <c r="E14" s="16"/>
      <c r="F14" s="16"/>
      <c r="G14" s="16">
        <f>SUM(G7:G12)</f>
        <v>1449244.4130014586</v>
      </c>
    </row>
    <row r="15" spans="2:7" x14ac:dyDescent="0.25">
      <c r="B15" s="31"/>
      <c r="C15" s="32"/>
      <c r="D15" s="33"/>
      <c r="E15" s="34"/>
      <c r="F15" s="34"/>
      <c r="G15" s="34"/>
    </row>
    <row r="16" spans="2:7" ht="15.75" customHeight="1" thickBot="1" x14ac:dyDescent="0.3"/>
    <row r="17" spans="2:7" ht="33.75" customHeight="1" thickBot="1" x14ac:dyDescent="0.3">
      <c r="B17" s="7" t="s">
        <v>6</v>
      </c>
      <c r="C17" s="8"/>
      <c r="D17" s="8"/>
      <c r="E17" s="8"/>
      <c r="F17" s="8"/>
      <c r="G17" s="9"/>
    </row>
    <row r="18" spans="2:7" ht="31.5" customHeight="1" x14ac:dyDescent="0.25">
      <c r="B18" s="10" t="s">
        <v>7</v>
      </c>
      <c r="C18" s="75" t="s">
        <v>60</v>
      </c>
      <c r="D18" s="75"/>
      <c r="E18" s="76"/>
      <c r="F18" s="76"/>
      <c r="G18" s="77"/>
    </row>
    <row r="19" spans="2:7" ht="34.5" customHeight="1" x14ac:dyDescent="0.25">
      <c r="B19" s="26" t="s">
        <v>31</v>
      </c>
      <c r="C19" s="70" t="s">
        <v>32</v>
      </c>
      <c r="D19" s="70"/>
      <c r="E19" s="71"/>
      <c r="F19" s="71"/>
      <c r="G19" s="72"/>
    </row>
    <row r="20" spans="2:7" ht="15" customHeight="1" x14ac:dyDescent="0.25">
      <c r="B20" s="26" t="s">
        <v>33</v>
      </c>
      <c r="C20" s="70" t="s">
        <v>34</v>
      </c>
      <c r="D20" s="70"/>
      <c r="E20" s="71"/>
      <c r="F20" s="71"/>
      <c r="G20" s="72"/>
    </row>
    <row r="21" spans="2:7" ht="15.75" customHeight="1" x14ac:dyDescent="0.25">
      <c r="B21" s="26" t="s">
        <v>8</v>
      </c>
      <c r="C21" s="70"/>
      <c r="D21" s="70"/>
      <c r="E21" s="71"/>
      <c r="F21" s="71"/>
      <c r="G21" s="72"/>
    </row>
    <row r="22" spans="2:7" ht="15" customHeight="1" x14ac:dyDescent="0.25">
      <c r="B22" s="27" t="s">
        <v>9</v>
      </c>
      <c r="C22" s="70" t="s">
        <v>59</v>
      </c>
      <c r="D22" s="70"/>
      <c r="E22" s="71"/>
      <c r="F22" s="71"/>
      <c r="G22" s="72"/>
    </row>
    <row r="23" spans="2:7" x14ac:dyDescent="0.25">
      <c r="B23" s="28" t="s">
        <v>17</v>
      </c>
      <c r="C23" s="70" t="s">
        <v>64</v>
      </c>
      <c r="D23" s="70"/>
      <c r="E23" s="71"/>
      <c r="F23" s="71"/>
      <c r="G23" s="72"/>
    </row>
    <row r="24" spans="2:7" ht="15.75" x14ac:dyDescent="0.25">
      <c r="B24" s="27" t="s">
        <v>10</v>
      </c>
      <c r="C24" s="70" t="s">
        <v>11</v>
      </c>
      <c r="D24" s="70"/>
      <c r="E24" s="71"/>
      <c r="F24" s="71"/>
      <c r="G24" s="72"/>
    </row>
    <row r="25" spans="2:7" x14ac:dyDescent="0.25">
      <c r="B25" s="26" t="s">
        <v>12</v>
      </c>
      <c r="C25" s="70" t="s">
        <v>20</v>
      </c>
      <c r="D25" s="70"/>
      <c r="E25" s="71"/>
      <c r="F25" s="71"/>
      <c r="G25" s="72"/>
    </row>
    <row r="26" spans="2:7" x14ac:dyDescent="0.25">
      <c r="B26" s="26" t="s">
        <v>13</v>
      </c>
      <c r="C26" s="70" t="s">
        <v>35</v>
      </c>
      <c r="D26" s="70"/>
      <c r="E26" s="71"/>
      <c r="F26" s="71"/>
      <c r="G26" s="72"/>
    </row>
    <row r="27" spans="2:7" x14ac:dyDescent="0.25">
      <c r="B27" s="26" t="s">
        <v>25</v>
      </c>
      <c r="C27" s="70" t="s">
        <v>14</v>
      </c>
      <c r="D27" s="70"/>
      <c r="E27" s="71"/>
      <c r="F27" s="71"/>
      <c r="G27" s="72"/>
    </row>
    <row r="28" spans="2:7" ht="33.75" customHeight="1" x14ac:dyDescent="0.25">
      <c r="B28" s="35" t="s">
        <v>36</v>
      </c>
      <c r="C28" s="70" t="s">
        <v>58</v>
      </c>
      <c r="D28" s="70"/>
      <c r="E28" s="71"/>
      <c r="F28" s="71"/>
      <c r="G28" s="72"/>
    </row>
    <row r="29" spans="2:7" ht="15.75" thickBot="1" x14ac:dyDescent="0.3">
      <c r="B29" s="29" t="s">
        <v>22</v>
      </c>
      <c r="C29" s="81" t="s">
        <v>23</v>
      </c>
      <c r="D29" s="81"/>
      <c r="E29" s="82"/>
      <c r="F29" s="82"/>
      <c r="G29" s="83"/>
    </row>
    <row r="30" spans="2:7" x14ac:dyDescent="0.25">
      <c r="B30" s="30"/>
      <c r="C30" s="11"/>
      <c r="D30" s="11"/>
      <c r="E30" s="12"/>
      <c r="F30" s="12"/>
      <c r="G30" s="12"/>
    </row>
    <row r="31" spans="2:7" ht="15.75" thickBot="1" x14ac:dyDescent="0.3"/>
    <row r="32" spans="2:7" ht="15.75" thickBot="1" x14ac:dyDescent="0.3">
      <c r="B32" s="7" t="s">
        <v>15</v>
      </c>
      <c r="C32" s="8"/>
      <c r="D32" s="8"/>
      <c r="E32" s="8"/>
      <c r="F32" s="8"/>
      <c r="G32" s="9"/>
    </row>
    <row r="33" spans="2:10" ht="45" customHeight="1" x14ac:dyDescent="0.25">
      <c r="B33" s="10" t="s">
        <v>16</v>
      </c>
      <c r="C33" s="75" t="s">
        <v>24</v>
      </c>
      <c r="D33" s="75"/>
      <c r="E33" s="76"/>
      <c r="F33" s="76"/>
      <c r="G33" s="77"/>
      <c r="J33" s="36"/>
    </row>
    <row r="34" spans="2:10" ht="39.75" customHeight="1" thickBot="1" x14ac:dyDescent="0.3">
      <c r="B34" s="29" t="s">
        <v>37</v>
      </c>
      <c r="C34" s="78" t="s">
        <v>65</v>
      </c>
      <c r="D34" s="79"/>
      <c r="E34" s="79"/>
      <c r="F34" s="79"/>
      <c r="G34" s="80"/>
      <c r="J34" s="36"/>
    </row>
    <row r="35" spans="2:10" ht="15.75" thickBot="1" x14ac:dyDescent="0.3">
      <c r="J35" s="37"/>
    </row>
    <row r="36" spans="2:10" ht="15.75" thickBot="1" x14ac:dyDescent="0.3">
      <c r="B36" s="7" t="s">
        <v>61</v>
      </c>
      <c r="C36" s="8"/>
      <c r="D36" s="8"/>
      <c r="E36" s="8"/>
      <c r="F36" s="8"/>
      <c r="G36" s="9"/>
    </row>
    <row r="37" spans="2:10" ht="30.75" customHeight="1" thickBot="1" x14ac:dyDescent="0.3">
      <c r="B37" s="10"/>
      <c r="C37" s="75" t="s">
        <v>62</v>
      </c>
      <c r="D37" s="75"/>
      <c r="E37" s="76"/>
      <c r="F37" s="76"/>
      <c r="G37" s="77"/>
    </row>
    <row r="38" spans="2:10" ht="15.75" x14ac:dyDescent="0.25">
      <c r="B38" s="10"/>
      <c r="C38" s="75" t="s">
        <v>63</v>
      </c>
      <c r="D38" s="75"/>
      <c r="E38" s="76"/>
      <c r="F38" s="76"/>
      <c r="G38" s="77"/>
    </row>
  </sheetData>
  <mergeCells count="17">
    <mergeCell ref="C34:G34"/>
    <mergeCell ref="C37:G37"/>
    <mergeCell ref="C38:G38"/>
    <mergeCell ref="C22:G22"/>
    <mergeCell ref="C33:G33"/>
    <mergeCell ref="C23:G23"/>
    <mergeCell ref="C27:G27"/>
    <mergeCell ref="C29:G29"/>
    <mergeCell ref="C24:G24"/>
    <mergeCell ref="C25:G25"/>
    <mergeCell ref="C26:G26"/>
    <mergeCell ref="C28:G28"/>
    <mergeCell ref="C20:G20"/>
    <mergeCell ref="B3:G3"/>
    <mergeCell ref="C18:G18"/>
    <mergeCell ref="C19:G19"/>
    <mergeCell ref="C21:G21"/>
  </mergeCells>
  <pageMargins left="0.7" right="0.7" top="0.75" bottom="0.75" header="0.3" footer="0.3"/>
  <pageSetup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zoomScaleNormal="100" workbookViewId="0">
      <selection activeCell="E19" sqref="E19"/>
    </sheetView>
  </sheetViews>
  <sheetFormatPr defaultRowHeight="15" x14ac:dyDescent="0.25"/>
  <cols>
    <col min="2" max="2" width="28.5703125" bestFit="1" customWidth="1"/>
    <col min="3" max="3" width="19" style="41" bestFit="1" customWidth="1"/>
    <col min="4" max="4" width="13.7109375" bestFit="1" customWidth="1"/>
    <col min="5" max="5" width="15.42578125" bestFit="1" customWidth="1"/>
    <col min="6" max="6" width="18.7109375" bestFit="1" customWidth="1"/>
    <col min="7" max="7" width="15.7109375" bestFit="1" customWidth="1"/>
    <col min="8" max="8" width="12.85546875" bestFit="1" customWidth="1"/>
    <col min="9" max="9" width="14.28515625" bestFit="1" customWidth="1"/>
  </cols>
  <sheetData>
    <row r="1" spans="2:8" x14ac:dyDescent="0.25">
      <c r="B1" s="17" t="s">
        <v>40</v>
      </c>
    </row>
    <row r="3" spans="2:8" x14ac:dyDescent="0.25">
      <c r="B3" s="84" t="s">
        <v>39</v>
      </c>
      <c r="C3" s="85"/>
      <c r="D3" s="85"/>
      <c r="E3" s="85"/>
      <c r="F3" s="86"/>
    </row>
    <row r="4" spans="2:8" x14ac:dyDescent="0.25">
      <c r="B4" s="1" t="s">
        <v>1</v>
      </c>
      <c r="C4" s="38" t="s">
        <v>3</v>
      </c>
      <c r="D4" s="2" t="s">
        <v>2</v>
      </c>
      <c r="E4" s="2" t="s">
        <v>4</v>
      </c>
      <c r="F4" s="2" t="s">
        <v>19</v>
      </c>
    </row>
    <row r="5" spans="2:8" x14ac:dyDescent="0.25">
      <c r="B5" s="3" t="s">
        <v>26</v>
      </c>
      <c r="C5" s="6">
        <v>13</v>
      </c>
      <c r="D5" s="42">
        <v>314</v>
      </c>
      <c r="E5" s="25">
        <f>C5*[1]Summary!$I$43</f>
        <v>17.927250085656965</v>
      </c>
      <c r="F5" s="25">
        <f>E5*D5</f>
        <v>5629.1565268962868</v>
      </c>
      <c r="H5" s="69"/>
    </row>
    <row r="6" spans="2:8" x14ac:dyDescent="0.25">
      <c r="B6" s="21" t="s">
        <v>27</v>
      </c>
      <c r="C6" s="39">
        <v>13.5</v>
      </c>
      <c r="D6" s="42">
        <v>188</v>
      </c>
      <c r="E6" s="25">
        <f>C6*[1]Summary!$I$43</f>
        <v>18.616759704336079</v>
      </c>
      <c r="F6" s="25">
        <f t="shared" ref="F6:F10" si="0">E6*D6</f>
        <v>3499.950824415183</v>
      </c>
      <c r="H6" s="69"/>
    </row>
    <row r="7" spans="2:8" x14ac:dyDescent="0.25">
      <c r="B7" s="3" t="s">
        <v>28</v>
      </c>
      <c r="C7" s="6">
        <v>13.75</v>
      </c>
      <c r="D7" s="42">
        <v>628</v>
      </c>
      <c r="E7" s="25">
        <f>C7*[1]Summary!$I$43</f>
        <v>18.961514513675638</v>
      </c>
      <c r="F7" s="25">
        <f t="shared" si="0"/>
        <v>11907.831114588302</v>
      </c>
      <c r="H7" s="69"/>
    </row>
    <row r="8" spans="2:8" x14ac:dyDescent="0.25">
      <c r="B8" s="18" t="s">
        <v>29</v>
      </c>
      <c r="C8" s="40">
        <v>14</v>
      </c>
      <c r="D8" s="42">
        <v>126</v>
      </c>
      <c r="E8" s="25">
        <f>C8*[1]Summary!$I$43</f>
        <v>19.306269323015194</v>
      </c>
      <c r="F8" s="25">
        <f t="shared" si="0"/>
        <v>2432.5899346999145</v>
      </c>
      <c r="H8" s="69"/>
    </row>
    <row r="9" spans="2:8" x14ac:dyDescent="0.25">
      <c r="B9" s="18" t="s">
        <v>21</v>
      </c>
      <c r="C9" s="40">
        <v>13.5</v>
      </c>
      <c r="D9" s="42">
        <v>168</v>
      </c>
      <c r="E9" s="25">
        <f>C9*[1]Summary!$I$43</f>
        <v>18.616759704336079</v>
      </c>
      <c r="F9" s="25">
        <f t="shared" si="0"/>
        <v>3127.6156303284615</v>
      </c>
      <c r="H9" s="69"/>
    </row>
    <row r="10" spans="2:8" x14ac:dyDescent="0.25">
      <c r="B10" s="13" t="s">
        <v>30</v>
      </c>
      <c r="C10" s="40">
        <v>23.076923076923077</v>
      </c>
      <c r="D10" s="42">
        <v>40</v>
      </c>
      <c r="E10" s="25">
        <f>C10*[1]Summary!$I$43</f>
        <v>31.823520862112957</v>
      </c>
      <c r="F10" s="25">
        <f t="shared" si="0"/>
        <v>1272.9408344845183</v>
      </c>
      <c r="H10" s="69"/>
    </row>
    <row r="11" spans="2:8" ht="7.5" customHeight="1" x14ac:dyDescent="0.25">
      <c r="B11" s="51"/>
      <c r="C11" s="52"/>
      <c r="D11" s="53"/>
      <c r="E11" s="52"/>
      <c r="F11" s="54"/>
    </row>
    <row r="12" spans="2:8" x14ac:dyDescent="0.25">
      <c r="B12" s="55" t="s">
        <v>51</v>
      </c>
      <c r="C12" s="56"/>
      <c r="D12" s="57">
        <f>SUM(D5:D10)</f>
        <v>1464</v>
      </c>
      <c r="E12" s="56"/>
      <c r="F12" s="58">
        <f>SUM(F5:F10)</f>
        <v>27870.084865412668</v>
      </c>
    </row>
    <row r="13" spans="2:8" x14ac:dyDescent="0.25">
      <c r="B13" s="59" t="s">
        <v>52</v>
      </c>
      <c r="C13" s="60"/>
      <c r="D13" s="61">
        <f>D12*52</f>
        <v>76128</v>
      </c>
      <c r="E13" s="62"/>
      <c r="F13" s="63">
        <f>F12*52</f>
        <v>1449244.4130014586</v>
      </c>
    </row>
    <row r="16" spans="2:8" x14ac:dyDescent="0.25">
      <c r="B16" s="84" t="s">
        <v>41</v>
      </c>
      <c r="C16" s="85"/>
      <c r="D16" s="86"/>
    </row>
    <row r="17" spans="1:5" x14ac:dyDescent="0.25">
      <c r="B17" s="43" t="s">
        <v>42</v>
      </c>
      <c r="C17" s="44" t="s">
        <v>43</v>
      </c>
      <c r="D17" s="64" t="s">
        <v>44</v>
      </c>
    </row>
    <row r="18" spans="1:5" x14ac:dyDescent="0.25">
      <c r="B18" s="43" t="s">
        <v>45</v>
      </c>
      <c r="C18" s="65">
        <v>264.36</v>
      </c>
      <c r="D18" s="45">
        <f t="shared" ref="D18:D19" si="1">C18*12</f>
        <v>3172.32</v>
      </c>
    </row>
    <row r="19" spans="1:5" x14ac:dyDescent="0.25">
      <c r="B19" s="43" t="s">
        <v>47</v>
      </c>
      <c r="C19" s="65">
        <f>[1]Vehicles!$O$3*3</f>
        <v>2528.16</v>
      </c>
      <c r="D19" s="45">
        <f t="shared" si="1"/>
        <v>30337.919999999998</v>
      </c>
      <c r="E19" s="36"/>
    </row>
    <row r="20" spans="1:5" x14ac:dyDescent="0.25">
      <c r="B20" s="46" t="s">
        <v>46</v>
      </c>
      <c r="C20" s="47">
        <f>'[1]P&amp;L'!$B$8/12</f>
        <v>953.32885714285692</v>
      </c>
      <c r="D20" s="48">
        <f>C20*12</f>
        <v>11439.946285714283</v>
      </c>
    </row>
    <row r="21" spans="1:5" x14ac:dyDescent="0.25">
      <c r="B21" s="49" t="s">
        <v>48</v>
      </c>
      <c r="C21" s="66">
        <f>C18+C19+C20</f>
        <v>3745.848857142857</v>
      </c>
      <c r="D21" s="50">
        <f>D18+D19+D20</f>
        <v>44950.186285714284</v>
      </c>
    </row>
    <row r="23" spans="1:5" x14ac:dyDescent="0.25">
      <c r="B23" s="87" t="s">
        <v>49</v>
      </c>
      <c r="C23" s="87"/>
    </row>
    <row r="24" spans="1:5" x14ac:dyDescent="0.25">
      <c r="B24" s="67" t="s">
        <v>50</v>
      </c>
      <c r="C24" s="68">
        <f>F13</f>
        <v>1449244.4130014586</v>
      </c>
    </row>
    <row r="25" spans="1:5" x14ac:dyDescent="0.25">
      <c r="B25" s="67" t="s">
        <v>53</v>
      </c>
      <c r="C25" s="68">
        <f>D21</f>
        <v>44950.186285714284</v>
      </c>
    </row>
    <row r="26" spans="1:5" x14ac:dyDescent="0.25">
      <c r="B26" s="67" t="s">
        <v>56</v>
      </c>
      <c r="C26" s="68">
        <f>C24+C25</f>
        <v>1494194.599287173</v>
      </c>
    </row>
    <row r="27" spans="1:5" x14ac:dyDescent="0.25">
      <c r="B27" s="67" t="s">
        <v>55</v>
      </c>
      <c r="C27" s="68">
        <f>C26/52</f>
        <v>28734.511524753329</v>
      </c>
    </row>
    <row r="29" spans="1:5" x14ac:dyDescent="0.25">
      <c r="B29" s="88" t="s">
        <v>57</v>
      </c>
      <c r="C29" s="88"/>
    </row>
    <row r="31" spans="1:5" x14ac:dyDescent="0.25">
      <c r="A31" t="s">
        <v>54</v>
      </c>
    </row>
  </sheetData>
  <mergeCells count="4">
    <mergeCell ref="B16:D16"/>
    <mergeCell ref="B3:F3"/>
    <mergeCell ref="B23:C23"/>
    <mergeCell ref="B29:C29"/>
  </mergeCells>
  <pageMargins left="0.7" right="0.7" top="0.75" bottom="0.75" header="0.3" footer="0.3"/>
  <pageSetup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 Submission</vt:lpstr>
      <vt:lpstr>Budget 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Allied User</dc:creator>
  <cp:lastModifiedBy>Windows User</cp:lastModifiedBy>
  <cp:lastPrinted>2014-06-06T18:43:52Z</cp:lastPrinted>
  <dcterms:created xsi:type="dcterms:W3CDTF">2014-02-27T20:10:57Z</dcterms:created>
  <dcterms:modified xsi:type="dcterms:W3CDTF">2014-10-13T22:13:51Z</dcterms:modified>
</cp:coreProperties>
</file>