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1q3LqFGLRjmh8P0SBcaovddreZB6DvfoB6+BqALlcDxz7D2cJ8XLfOtlm4nexi18KWYbWFEz2mkwuhXV7e59yA==" workbookSaltValue="l8/Q5eOQMNUl1eJoQBNHVQ==" workbookSpinCount="100000" lockStructure="1"/>
  <bookViews>
    <workbookView xWindow="0" yWindow="0" windowWidth="22260" windowHeight="8805"/>
  </bookViews>
  <sheets>
    <sheet name="Template3" sheetId="5" r:id="rId1"/>
    <sheet name="Selection List" sheetId="1" state="hidden" r:id="rId2"/>
    <sheet name="Calculation" sheetId="3" state="hidden" r:id="rId3"/>
    <sheet name="Sayfa2" sheetId="2" state="hidden" r:id="rId4"/>
    <sheet name="Material Costs" sheetId="4" state="hidden" r:id="rId5"/>
  </sheets>
  <definedNames>
    <definedName name="_xlnm.Print_Area" localSheetId="0">Template3!$A$1:$E$118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5" l="1"/>
  <c r="B54" i="5"/>
  <c r="B53" i="5"/>
  <c r="G74" i="4" l="1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3" i="4"/>
  <c r="F4" i="4"/>
  <c r="F5" i="4"/>
  <c r="F6" i="4"/>
  <c r="F7" i="4"/>
  <c r="F8" i="4"/>
  <c r="F9" i="4"/>
  <c r="B22" i="3"/>
  <c r="B24" i="3" l="1"/>
  <c r="B23" i="3"/>
  <c r="B21" i="3"/>
  <c r="B19" i="3"/>
  <c r="B18" i="3" l="1"/>
  <c r="B17" i="3"/>
  <c r="B16" i="3"/>
  <c r="B15" i="3" l="1"/>
  <c r="B14" i="3"/>
  <c r="B11" i="3"/>
  <c r="B10" i="3"/>
  <c r="B9" i="3"/>
  <c r="B8" i="3"/>
  <c r="B7" i="3"/>
  <c r="B5" i="3"/>
  <c r="B4" i="3"/>
  <c r="B2" i="3"/>
  <c r="B1" i="3"/>
  <c r="B25" i="3" l="1"/>
  <c r="B25" i="1" l="1"/>
  <c r="B24" i="1" l="1"/>
  <c r="C5" i="2" l="1"/>
  <c r="C6" i="2"/>
  <c r="C7" i="2"/>
  <c r="C8" i="2"/>
  <c r="C9" i="2"/>
  <c r="C10" i="2"/>
  <c r="C11" i="2"/>
  <c r="C13" i="2"/>
  <c r="C16" i="2"/>
  <c r="C17" i="2"/>
  <c r="C18" i="2"/>
  <c r="C19" i="2"/>
  <c r="C20" i="2"/>
  <c r="C21" i="2"/>
  <c r="C22" i="2"/>
  <c r="C28" i="2"/>
  <c r="C29" i="2"/>
  <c r="C30" i="2"/>
  <c r="C31" i="2"/>
  <c r="C37" i="2"/>
  <c r="C40" i="2"/>
  <c r="C41" i="2"/>
  <c r="C42" i="2"/>
  <c r="C45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3" i="2"/>
  <c r="C4" i="2"/>
</calcChain>
</file>

<file path=xl/comments1.xml><?xml version="1.0" encoding="utf-8"?>
<comments xmlns="http://schemas.openxmlformats.org/spreadsheetml/2006/main">
  <authors>
    <author>Yazar</author>
  </authors>
  <commentList>
    <comment ref="A1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Available for B and F Flow Configuration</t>
        </r>
      </text>
    </comment>
    <comment ref="A2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@Ahmet Murat Tunç @Nadide Asuman Yaraş I see that in systemp selection we can also add 3 way valve. Maybe we can leave this option but mark that it is to be installed outside the unit?
Reply:
    @Anna Kondratenko added
Reply:
    @Ahmet Murat Tunç thank you</t>
        </r>
      </text>
    </comment>
    <comment ref="A2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add here option for extra temperature sensors
Reply:
    @Anna Kondratenko done</t>
        </r>
      </text>
    </comment>
    <comment ref="A3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in some cases there is requirement for no neutral power supply. Can we provide such option off the shelve?
Reply:
    @Anna Kondratenko If we add no neutral option, it will not be possible to add extra equipment's to the control panel on full option. I prefer to keep it as special requirement. As you know customer will not ask for full option %99 but it will be a risk for no reason. Also in Rennes, when we talked with customer, they were OK to give neutral. So, it wasn't really a requirement from customer side, they were also surprised when they saw the unit. They asked for neutral connection on FAT.
Reply:
    Addition to the SEmih when we choose without N, panel depth and dminesion is not enough. 
Reply:
    @Ahmet Murat Tunç @Semih Uyar ok, then we take it as special requirement</t>
        </r>
      </text>
    </comment>
    <comment ref="B4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please clarify here&gt; one user terminal will be common for group of XX units 
Reply:
    @Anna Kondratenko done</t>
        </r>
      </text>
    </comment>
    <comment ref="B4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@Nadide Asuman Yaraş @Ahmet Murat Tunç please clarify here that it will be text base
Reply:
    @Anna Kondratenko done.</t>
        </r>
      </text>
    </comment>
    <comment ref="B4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clarification regarding fans with passive harmonic filters on default
Reply:
    @Anna Kondratenko done</t>
        </r>
      </text>
    </comment>
    <comment ref="A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@Ahmet Murat Tunç @Nadide Asuman Yaraş add communicational protocols
Reply:
    @Anna Kondratenko done</t>
        </r>
      </text>
    </comment>
    <comment ref="A6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@Serhan Tayfun Arslan please clarify here it is air supply. 
Reply:
    @Serhan Tayfun Arslan what do you mean with all side? I would put next&gt; F - for frontal, B - bottom supply air to 3 sides in the false floor
Reply:
    @Anna Kondratenko By all side I mean airflow from all sides. I corrected F and B option.</t>
        </r>
      </text>
    </comment>
  </commentList>
</comments>
</file>

<file path=xl/connections.xml><?xml version="1.0" encoding="utf-8"?>
<connections xmlns="http://schemas.openxmlformats.org/spreadsheetml/2006/main">
  <connection id="1" sourceFile="N:\R&amp;D\01.ÜRÜNLER\71-GENIOX TERA\4.Geniox Tera C\14. Bill of Materials\02.Cost of Materials\PRICES FOR NOMENCLATURE SELECTION.xlsx" keepAlive="1" name="PRICES FOR NOMENCLATURE SELECTION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TERA C FAMILY ALL PRICE LIST$'" commandType="3"/>
  </connection>
  <connection id="2" sourceFile="N:\R&amp;D\01.ÜRÜNLER\71-GENIOX TERA\4.Geniox Tera C\14. Bill of Materials\02.Cost of Materials\PRICES FOR NOMENCLATURE SELECTION.xlsx" keepAlive="1" name="PRICES FOR NOMENCLATURE SELECTION1" type="5" refreshedVersion="0" new="1" background="1">
    <dbPr connection="Provider=Microsoft.ACE.OLEDB.12.0;Password=&quot;&quot;;User ID=Admin;Data Source=N:\R&amp;D\01.ÜRÜNLER\71-GENIOX TERA\4.Geniox Tera C\14. Bill of Materials\02.Cost of Materials\PRICES FOR NOMENCLATURE SELECTION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'TERA C FAMILY NOMENCLATURE$'" commandType="3"/>
  </connection>
</connections>
</file>

<file path=xl/sharedStrings.xml><?xml version="1.0" encoding="utf-8"?>
<sst xmlns="http://schemas.openxmlformats.org/spreadsheetml/2006/main" count="372" uniqueCount="245">
  <si>
    <r>
      <t>CAPACITY</t>
    </r>
    <r>
      <rPr>
        <sz val="11"/>
        <color theme="1"/>
        <rFont val="Arial Tur"/>
        <charset val="162"/>
      </rPr>
      <t>¹</t>
    </r>
  </si>
  <si>
    <t>FLOW CONFIGURATION</t>
  </si>
  <si>
    <t>PIPE SIDE</t>
  </si>
  <si>
    <t>WATER CONDITION</t>
  </si>
  <si>
    <t>HUMIDIFICATION</t>
  </si>
  <si>
    <t>ESP</t>
  </si>
  <si>
    <t>DAMPER</t>
  </si>
  <si>
    <t>Temp Sensors</t>
  </si>
  <si>
    <t>Leak Detaction</t>
  </si>
  <si>
    <t>Valve Options</t>
  </si>
  <si>
    <t>Corridor Control</t>
  </si>
  <si>
    <t>Power</t>
  </si>
  <si>
    <t>Power Supply</t>
  </si>
  <si>
    <t>Power Measurment</t>
  </si>
  <si>
    <t>HMI</t>
  </si>
  <si>
    <t>Harmonic Filter</t>
  </si>
  <si>
    <t>Panel Socket</t>
  </si>
  <si>
    <t>Fire Protection</t>
  </si>
  <si>
    <t>Communication Protocols for BMS</t>
  </si>
  <si>
    <t>WSCO and Teamwork</t>
  </si>
  <si>
    <t>Flow Direction</t>
  </si>
  <si>
    <t>Safety Water Control Options</t>
  </si>
  <si>
    <t>TOTAL COST</t>
  </si>
  <si>
    <t>B</t>
  </si>
  <si>
    <t>F</t>
  </si>
  <si>
    <t>M</t>
  </si>
  <si>
    <t>L</t>
  </si>
  <si>
    <t>R</t>
  </si>
  <si>
    <t>H</t>
  </si>
  <si>
    <t>S</t>
  </si>
  <si>
    <t>= STEAM HUMIDIFIER 15kg/h</t>
  </si>
  <si>
    <t>= 100 Pa ESP</t>
  </si>
  <si>
    <t>= 50 Pa ESP</t>
  </si>
  <si>
    <t>O</t>
  </si>
  <si>
    <t>N</t>
  </si>
  <si>
    <t>= Only 0-10V Cooling Demand output</t>
  </si>
  <si>
    <t>= Flowmeter and 0-10V Output</t>
  </si>
  <si>
    <t>= 3 Way Valve (Valve possitioned out of the unit at the pipe outlet,  bypass line should be done by customer)</t>
  </si>
  <si>
    <t>= 2 Way Valve</t>
  </si>
  <si>
    <t>E</t>
  </si>
  <si>
    <t>= 2 Way Valve w Energy Measurement</t>
  </si>
  <si>
    <t>P</t>
  </si>
  <si>
    <t>= Corridors dP and Temperature Sensor***</t>
  </si>
  <si>
    <t>= Corridors Double dP and Temperature Sensor***</t>
  </si>
  <si>
    <t>=Temperature Sensor ***</t>
  </si>
  <si>
    <t>= 400V /3P+N / 50hZ</t>
  </si>
  <si>
    <t>= 400V / 3P+N / 60Hz</t>
  </si>
  <si>
    <t>U</t>
  </si>
  <si>
    <t>A</t>
  </si>
  <si>
    <t>= None *</t>
  </si>
  <si>
    <t>= On Control Panel (Text-Based)</t>
  </si>
  <si>
    <t>= None **</t>
  </si>
  <si>
    <t>: Supply from the front side</t>
  </si>
  <si>
    <t>: Bottom supply air to 3 sides ( front, left and right)</t>
  </si>
  <si>
    <t>: All side</t>
  </si>
  <si>
    <t>: Shut Of Valve</t>
  </si>
  <si>
    <t>: None</t>
  </si>
  <si>
    <t>B= TOP SIDE RETURN BOTTOM SUPPLY; F= TOP SIDE RETURN FRONT SUPPLY; M= FRONT SIDE RETURN BOTTOM SUPPLY</t>
  </si>
  <si>
    <t>L=Left; R=Right</t>
  </si>
  <si>
    <t>S= STEAM HUMIDIFIER 15kg/h ; 0= NONE</t>
  </si>
  <si>
    <t>H= 100 Pa ESP; L= 50 Pa ESP ; S= …. Pa ESP</t>
  </si>
  <si>
    <t>1= ON TOP ; 0= NONE</t>
  </si>
  <si>
    <t>S= Wire Type ; O= Additional Leak Sensor</t>
  </si>
  <si>
    <t>CAPACITY</t>
  </si>
  <si>
    <t>0= 400V /3P+N / 50hZ; 1= 400V / 3P+N / 60Hz</t>
  </si>
  <si>
    <t>0= None **; 1= Active PFC</t>
  </si>
  <si>
    <t>0= None; A=CF Type Socket</t>
  </si>
  <si>
    <t>0=None; 1=BacNET IP; 2=BacNET MSTP; 3=Modbus RTU; 4=Modbus TCP/IP</t>
  </si>
  <si>
    <t>F : Supply from the front side; B : Bottom supply air to 3 sides ( front, left and right); A : All side</t>
  </si>
  <si>
    <t>Unit Code = TERA C</t>
  </si>
  <si>
    <t>S= Only Average Temp Sensor on Return/Supply Air; O= Additional Temp/Hum Sensor on Return/Supply Air</t>
  </si>
  <si>
    <t>N= 0-10V Output w Temp Measurement; F= 0-10V Output w Flow/Temp Measurement; 3= 3 Way Valve; 2= 2 Way Valve w Temp Measurement; E= 2 Way Smart Energy Management Valve (EV) P= 2 Way Flow-Pressure Independent Valve (PICV)</t>
  </si>
  <si>
    <t>0= None; 1= Corridors dP; 2= Double dP; 3= Corridor dP, Temperature &amp; Humidity Sensor; 4= Double Corridor dP, Temperature &amp; Humidity Sensor; 5=Temperature &amp; Humidity Sensor</t>
  </si>
  <si>
    <t>Corridor Sensor</t>
  </si>
  <si>
    <t>Power Input</t>
  </si>
  <si>
    <t>Power Option</t>
  </si>
  <si>
    <t>0= None *; 1= Magnetic Text Based Display with Ethernet Socket Connection; 2= Panel Mounted Touch Panel Display</t>
  </si>
  <si>
    <t>0= None; 1=Teamwork; 2=WSCO***; 3=Teamwork and WSCO</t>
  </si>
  <si>
    <t>0= None 0 : 1= Available</t>
  </si>
  <si>
    <t>* * There will be no display at all. One text-based screen can be used in all units. If you choose none, please consider that you have to buy one text-based at least. ** ** Please consider that all fans have its own passive harmonic filter ***If there is no electrical power measurement, WSCO will not be available.</t>
  </si>
  <si>
    <t>1= Corridor Temperature Sensor is only for monitoring</t>
  </si>
  <si>
    <t>2= Corridor Temperature Sensor will be included on supply air</t>
  </si>
  <si>
    <t>0: N/A; 1= Corridor Temperature Sensor is only for monitoring; 2= Corridor Temperature Sensor will be included on supply air</t>
  </si>
  <si>
    <t>TOTAL</t>
  </si>
  <si>
    <t>PLC Ext. Module</t>
  </si>
  <si>
    <t>N= None; A= ATS; B= ATS &amp; UltraCap; U= UltraCap</t>
  </si>
  <si>
    <t>0= None; 3= Energy Analyser</t>
  </si>
  <si>
    <t>N= None; 0= Shutdown on fire without sensor; 1= Continue on fire without sensor; 2= Shutdown with Smoke; 3= Continue with Smoke</t>
  </si>
  <si>
    <t>15: 150 kW; 17: 170 Kw; 23: 230 kW; 30: 300 Kw</t>
  </si>
  <si>
    <t>17=170</t>
  </si>
  <si>
    <t>23=230</t>
  </si>
  <si>
    <t>30=300</t>
  </si>
  <si>
    <t>B= TOP SIDE RETURN BOTTOM SUPPLY</t>
  </si>
  <si>
    <t>F= TOP SIDE RETURN FRONT SUPPLY</t>
  </si>
  <si>
    <t>M= FRONT SIDE RETURN BOTTOM SUPPLY</t>
  </si>
  <si>
    <t>L=Left</t>
  </si>
  <si>
    <t>R=Right</t>
  </si>
  <si>
    <t xml:space="preserve">L= 20/28 </t>
  </si>
  <si>
    <t xml:space="preserve">H=20/30 </t>
  </si>
  <si>
    <t>S= STEAM HUMIDIFIER 15kg/h</t>
  </si>
  <si>
    <t>0= NONE</t>
  </si>
  <si>
    <t>H= 100 Pa ESP</t>
  </si>
  <si>
    <t>L= 50 Pa ESP</t>
  </si>
  <si>
    <t>S= …. Pa ESP</t>
  </si>
  <si>
    <t>1= ON TOP</t>
  </si>
  <si>
    <t>Return/Supply Temp/Hum Sensors</t>
  </si>
  <si>
    <t>S= Only Average Temp Sensor on Return/Supply Air</t>
  </si>
  <si>
    <t>O= Additional Temp/Hum Sensor on Return/Supply Air</t>
  </si>
  <si>
    <t>Leak Detection</t>
  </si>
  <si>
    <t>S= Wire Type Water Leak Sensor</t>
  </si>
  <si>
    <t>O= Additional Wire Type Water Leak Sensor</t>
  </si>
  <si>
    <t>N= 0-10V Output w Temp Measurement</t>
  </si>
  <si>
    <t>F= 0-10V Output w Flow/Temp Measurement</t>
  </si>
  <si>
    <t>2= 2 Way Valve w Temp Measurement</t>
  </si>
  <si>
    <t>3= 3 Way Valve w Temp Measurement (Valve positioned out of the unit at the pipe outlet,  bypass line should be done by customer)</t>
  </si>
  <si>
    <t>E= 2 Way Smart Energy Management Valve (EV)</t>
  </si>
  <si>
    <t>P= 2 Way Flow-Pressure Independent Valve (PICV)</t>
  </si>
  <si>
    <t>0= None</t>
  </si>
  <si>
    <t xml:space="preserve">1= Corridor dP </t>
  </si>
  <si>
    <t>2= Double Corridor dP</t>
  </si>
  <si>
    <t>3= Corridor dP, Temperature &amp; Humidity Sensor</t>
  </si>
  <si>
    <t>4= Double Corridor dP, Temperature &amp; Humidity Sensor</t>
  </si>
  <si>
    <t>5=Temperature &amp; Humidity Sensor</t>
  </si>
  <si>
    <t>0= N/A</t>
  </si>
  <si>
    <t>0= 400V / 3P+N / 50 Hz</t>
  </si>
  <si>
    <t>1= 400V / 3P+N / 60 Hz</t>
  </si>
  <si>
    <t>Power Option &amp; 
ATS</t>
  </si>
  <si>
    <t>N= None</t>
  </si>
  <si>
    <t>A= ATS</t>
  </si>
  <si>
    <t>B= ATS &amp; UltraCap</t>
  </si>
  <si>
    <t>U= UltraCap</t>
  </si>
  <si>
    <t>3= Energy Analyser</t>
  </si>
  <si>
    <t>0= None *</t>
  </si>
  <si>
    <t>1= Magnetic Text Based Display with Ethernet Socket Connection</t>
  </si>
  <si>
    <t>2= Panel Mounted Touch Panel Display</t>
  </si>
  <si>
    <t>0= None **</t>
  </si>
  <si>
    <t>1= Active PFC</t>
  </si>
  <si>
    <t>A=CF Type Socket</t>
  </si>
  <si>
    <t>0= Shutdown on fire without sensor</t>
  </si>
  <si>
    <t>1= Continue on fire without sensor</t>
  </si>
  <si>
    <t>2= Shutdown with Smoke</t>
  </si>
  <si>
    <t>3= Continue with Smoke</t>
  </si>
  <si>
    <t>0=None</t>
  </si>
  <si>
    <t>1=BacNET IP</t>
  </si>
  <si>
    <t>2=BacNET MSTP</t>
  </si>
  <si>
    <t>3=Modbus RTU</t>
  </si>
  <si>
    <t>4=Modbus TCP/IP</t>
  </si>
  <si>
    <t>1=Teamwork</t>
  </si>
  <si>
    <t>2=WSCO***</t>
  </si>
  <si>
    <t>3=Teamwork and WSCO***</t>
  </si>
  <si>
    <t>F : Supply from the front side</t>
  </si>
  <si>
    <t>B : Bottom supply air to 3 sides ( front, left and right)</t>
  </si>
  <si>
    <t>A : All side</t>
  </si>
  <si>
    <t>Shut Of Valve</t>
  </si>
  <si>
    <t>1= Available</t>
  </si>
  <si>
    <t>2= Fans with Active PFC</t>
  </si>
  <si>
    <t>Project Name:</t>
  </si>
  <si>
    <t>Enter your data</t>
  </si>
  <si>
    <t>Unit:</t>
  </si>
  <si>
    <t>Geniox Tera C Macro CRAH</t>
  </si>
  <si>
    <t>Model:</t>
  </si>
  <si>
    <t>TERA 170</t>
  </si>
  <si>
    <t>Version 1.1.0.0</t>
  </si>
  <si>
    <t>Configuration</t>
  </si>
  <si>
    <t>TOP RETURN BOTTOM SUPPLY</t>
  </si>
  <si>
    <t>Cooling capacity</t>
  </si>
  <si>
    <t>Airflow</t>
  </si>
  <si>
    <t>Supply/Return air temperature</t>
  </si>
  <si>
    <t>14.2/44</t>
  </si>
  <si>
    <t>Power supply</t>
  </si>
  <si>
    <t>400V-3PH-N-PE-50Hz</t>
  </si>
  <si>
    <t>Dimensions (W x L x H)</t>
  </si>
  <si>
    <t>4082 x 1082 x 3200 mm</t>
  </si>
  <si>
    <t>Casing/Frame Details</t>
  </si>
  <si>
    <t>Panel Thickness</t>
  </si>
  <si>
    <t>60 mm</t>
  </si>
  <si>
    <t>Panel Insulation Type / Density</t>
  </si>
  <si>
    <t>Rock wool 60kg/m3</t>
  </si>
  <si>
    <t>Panel External Sheet</t>
  </si>
  <si>
    <t>Panel Internal Sheet</t>
  </si>
  <si>
    <t>Frame Type</t>
  </si>
  <si>
    <t>Z275 + Epoxy Primer Polyester Painted Steel</t>
  </si>
  <si>
    <t>Water Cooling Coil Details</t>
  </si>
  <si>
    <t>Fluid</t>
  </si>
  <si>
    <t>WATER</t>
  </si>
  <si>
    <t>%</t>
  </si>
  <si>
    <t>Return Air Temparature</t>
  </si>
  <si>
    <t>°C</t>
  </si>
  <si>
    <t>Return Air Humidity</t>
  </si>
  <si>
    <t>Supply Air Temparature</t>
  </si>
  <si>
    <t>Supply Air Humidity</t>
  </si>
  <si>
    <t>Coil Pressure Drop (Air side)</t>
  </si>
  <si>
    <t>Pa</t>
  </si>
  <si>
    <t>kW</t>
  </si>
  <si>
    <t>Fluid Inlet Temparature.</t>
  </si>
  <si>
    <t>Fluid Outlet Temparature</t>
  </si>
  <si>
    <t>Water Flow Rate</t>
  </si>
  <si>
    <t>m³/h</t>
  </si>
  <si>
    <t>Coil Pressure Drop (Fluid side)</t>
  </si>
  <si>
    <t>kPa</t>
  </si>
  <si>
    <t>EER (Energy Efficiency Ratio)</t>
  </si>
  <si>
    <t>Connections (Inlet-Outlet)</t>
  </si>
  <si>
    <t>DN 80</t>
  </si>
  <si>
    <t>Air density</t>
  </si>
  <si>
    <t>kg/m³</t>
  </si>
  <si>
    <t>Air Flow Rate</t>
  </si>
  <si>
    <t>External Pressure</t>
  </si>
  <si>
    <t>Total Static Pressure</t>
  </si>
  <si>
    <t>Fan Speed</t>
  </si>
  <si>
    <t>rpm</t>
  </si>
  <si>
    <t>Maximum Fan Speed</t>
  </si>
  <si>
    <t>Total Efficiency</t>
  </si>
  <si>
    <t>Fan Type</t>
  </si>
  <si>
    <t>EC Plug Fan</t>
  </si>
  <si>
    <t>Voltage</t>
  </si>
  <si>
    <t>3 Ph 400</t>
  </si>
  <si>
    <t>V</t>
  </si>
  <si>
    <t>Maximum Current Draw</t>
  </si>
  <si>
    <t>Rated Power Consumption</t>
  </si>
  <si>
    <t>Return Filter Details</t>
  </si>
  <si>
    <t>Pressure Drop</t>
  </si>
  <si>
    <t>Filter Class</t>
  </si>
  <si>
    <t>G4</t>
  </si>
  <si>
    <t>Filter Dimensions</t>
  </si>
  <si>
    <t>1000x864x48</t>
  </si>
  <si>
    <t>mm</t>
  </si>
  <si>
    <t>Quantity</t>
  </si>
  <si>
    <t>Coil Cooling Capacity</t>
  </si>
  <si>
    <t>Unit summary</t>
  </si>
  <si>
    <t>Supply Fan Details</t>
  </si>
  <si>
    <t>Damper Details</t>
  </si>
  <si>
    <t>Damper Dimensions</t>
  </si>
  <si>
    <t>pcs</t>
  </si>
  <si>
    <t>Air Tightness Class</t>
  </si>
  <si>
    <t>3C</t>
  </si>
  <si>
    <t>2350 x 900</t>
  </si>
  <si>
    <t>1</t>
  </si>
  <si>
    <t>Temperature &amp; Humidity Sensor</t>
  </si>
  <si>
    <t>Water Valve</t>
  </si>
  <si>
    <t>Power Option &amp; ATS</t>
  </si>
  <si>
    <t>Power Measurement</t>
  </si>
  <si>
    <t>User Terminal</t>
  </si>
  <si>
    <t>Water Shut off valve</t>
  </si>
  <si>
    <t>Z275 Steel + Polyster Painted (0,8mm)</t>
  </si>
  <si>
    <t>Control and Electrical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</si>
</sst>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.00_-;\-[$€-2]\ * #,##0.00_-;_-[$€-2]\ * &quot;-&quot;??_-;_-@_-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0"/>
      <color theme="1"/>
      <name val="Daxline Offc Pro"/>
      <family val="2"/>
    </font>
    <font>
      <sz val="10"/>
      <color theme="1"/>
      <name val="Daxline Offc Pro"/>
      <family val="2"/>
    </font>
    <font>
      <sz val="8"/>
      <color theme="1"/>
      <name val="Daxline Offc Pro"/>
      <family val="2"/>
    </font>
    <font>
      <b/>
      <sz val="10"/>
      <color rgb="FFFFFFFF"/>
      <name val="Daxline Offc Pro"/>
      <family val="2"/>
    </font>
    <font>
      <sz val="9"/>
      <color theme="1"/>
      <name val="Daxline Offc Pro"/>
      <family val="2"/>
    </font>
    <font>
      <i/>
      <sz val="10"/>
      <color theme="1"/>
      <name val="Daxline Offc Pro"/>
      <family val="2"/>
    </font>
    <font>
      <sz val="7.5"/>
      <color theme="1"/>
      <name val="Arial"/>
      <family val="2"/>
      <charset val="162"/>
    </font>
    <font>
      <sz val="7.5"/>
      <color theme="1"/>
      <name val="Arial"/>
      <family val="2"/>
    </font>
    <font>
      <sz val="9"/>
      <name val="Daxline Offc Pro"/>
      <family val="2"/>
    </font>
    <font>
      <sz val="10"/>
      <name val="Daxline Offc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33F61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3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6" xfId="0" applyFont="1" applyBorder="1" applyAlignment="1">
      <alignment horizontal="left" vertical="center" wrapText="1"/>
    </xf>
    <xf numFmtId="0" fontId="0" fillId="0" borderId="0" xfId="0" applyFont="1"/>
    <xf numFmtId="0" fontId="0" fillId="0" borderId="7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5" fillId="2" borderId="14" xfId="0" applyFont="1" applyFill="1" applyBorder="1"/>
    <xf numFmtId="0" fontId="5" fillId="2" borderId="15" xfId="0" applyFont="1" applyFill="1" applyBorder="1"/>
    <xf numFmtId="0" fontId="5" fillId="2" borderId="15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right"/>
    </xf>
    <xf numFmtId="0" fontId="7" fillId="2" borderId="16" xfId="0" applyFont="1" applyFill="1" applyBorder="1" applyAlignment="1">
      <alignment horizontal="center" vertical="center"/>
    </xf>
    <xf numFmtId="0" fontId="0" fillId="0" borderId="0" xfId="0" applyBorder="1"/>
    <xf numFmtId="0" fontId="6" fillId="2" borderId="15" xfId="0" applyFont="1" applyFill="1" applyBorder="1"/>
    <xf numFmtId="0" fontId="4" fillId="2" borderId="14" xfId="0" applyFont="1" applyFill="1" applyBorder="1" applyAlignment="1">
      <alignment horizontal="left"/>
    </xf>
    <xf numFmtId="0" fontId="4" fillId="2" borderId="15" xfId="0" applyFont="1" applyFill="1" applyBorder="1"/>
    <xf numFmtId="0" fontId="4" fillId="2" borderId="15" xfId="0" applyFont="1" applyFill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5" fillId="2" borderId="19" xfId="0" applyFont="1" applyFill="1" applyBorder="1"/>
    <xf numFmtId="0" fontId="5" fillId="2" borderId="19" xfId="0" applyFont="1" applyFill="1" applyBorder="1" applyAlignment="1">
      <alignment horizontal="left" vertical="center"/>
    </xf>
    <xf numFmtId="164" fontId="0" fillId="0" borderId="19" xfId="0" applyNumberFormat="1" applyBorder="1"/>
    <xf numFmtId="164" fontId="8" fillId="2" borderId="16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6" xfId="0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0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14" fontId="12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0" fontId="13" fillId="3" borderId="0" xfId="0" applyFont="1" applyFill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4" borderId="0" xfId="0" applyFont="1" applyFill="1" applyAlignment="1" applyProtection="1">
      <alignment vertical="center" wrapText="1"/>
      <protection locked="0"/>
    </xf>
    <xf numFmtId="0" fontId="11" fillId="4" borderId="0" xfId="0" applyFont="1" applyFill="1" applyAlignment="1" applyProtection="1">
      <alignment vertical="center" wrapText="1"/>
      <protection locked="0"/>
    </xf>
    <xf numFmtId="0" fontId="11" fillId="0" borderId="0" xfId="0" applyFont="1" applyAlignment="1" applyProtection="1">
      <alignment vertical="center" wrapText="1"/>
      <protection locked="0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14" fillId="4" borderId="0" xfId="0" applyFont="1" applyFill="1" applyAlignment="1" applyProtection="1">
      <alignment vertical="center" wrapText="1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right" vertical="center" wrapText="1"/>
      <protection locked="0"/>
    </xf>
    <xf numFmtId="0" fontId="14" fillId="0" borderId="0" xfId="0" applyFont="1" applyAlignment="1" applyProtection="1">
      <alignment horizontal="right" vertical="center" wrapText="1"/>
      <protection locked="0"/>
    </xf>
    <xf numFmtId="0" fontId="14" fillId="0" borderId="0" xfId="0" applyFont="1" applyAlignment="1" applyProtection="1">
      <alignment vertical="center" wrapText="1"/>
      <protection locked="0"/>
    </xf>
    <xf numFmtId="0" fontId="11" fillId="4" borderId="0" xfId="0" applyFont="1" applyFill="1" applyAlignment="1" applyProtection="1">
      <alignment vertical="center"/>
      <protection locked="0"/>
    </xf>
    <xf numFmtId="0" fontId="0" fillId="0" borderId="0" xfId="0" applyAlignment="1">
      <alignment wrapText="1"/>
    </xf>
    <xf numFmtId="0" fontId="19" fillId="4" borderId="0" xfId="0" applyFont="1" applyFill="1" applyAlignment="1" applyProtection="1">
      <alignment horizontal="center" vertical="top" wrapText="1"/>
      <protection locked="0"/>
    </xf>
    <xf numFmtId="0" fontId="19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Fill="1" applyAlignment="1" applyProtection="1">
      <alignment horizontal="left" vertical="center"/>
      <protection locked="0"/>
    </xf>
    <xf numFmtId="0" fontId="13" fillId="3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4" borderId="0" xfId="0" applyFont="1" applyFill="1" applyAlignment="1" applyProtection="1">
      <alignment horizontal="left" vertical="center"/>
      <protection locked="0"/>
    </xf>
    <xf numFmtId="2" fontId="18" fillId="4" borderId="0" xfId="0" applyNumberFormat="1" applyFont="1" applyFill="1" applyAlignment="1" applyProtection="1">
      <alignment horizontal="left" vertical="top" wrapText="1"/>
      <protection locked="0"/>
    </xf>
    <xf numFmtId="0" fontId="14" fillId="0" borderId="0" xfId="0" applyFont="1" applyAlignment="1" applyProtection="1">
      <alignment horizontal="left" vertical="top" wrapText="1"/>
      <protection locked="0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left" vertical="center" wrapText="1"/>
      <protection locked="0"/>
    </xf>
    <xf numFmtId="0" fontId="18" fillId="4" borderId="0" xfId="0" applyFont="1" applyFill="1" applyAlignment="1" applyProtection="1">
      <alignment horizontal="left" vertical="top" wrapText="1"/>
      <protection locked="0"/>
    </xf>
    <xf numFmtId="0" fontId="14" fillId="4" borderId="0" xfId="0" applyFont="1" applyFill="1" applyAlignment="1" applyProtection="1">
      <alignment horizontal="left" vertical="top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4" fillId="4" borderId="0" xfId="0" applyFont="1" applyFill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hidden="1"/>
    </xf>
    <xf numFmtId="2" fontId="14" fillId="4" borderId="0" xfId="0" applyNumberFormat="1" applyFont="1" applyFill="1" applyAlignment="1" applyProtection="1">
      <alignment horizontal="center" vertical="center" wrapText="1"/>
      <protection locked="0"/>
    </xf>
    <xf numFmtId="165" fontId="14" fillId="0" borderId="0" xfId="0" applyNumberFormat="1" applyFont="1" applyAlignment="1" applyProtection="1">
      <alignment horizontal="center" vertical="center" wrapText="1"/>
      <protection hidden="1"/>
    </xf>
    <xf numFmtId="0" fontId="14" fillId="4" borderId="0" xfId="0" applyFont="1" applyFill="1" applyAlignment="1" applyProtection="1">
      <alignment horizontal="center" vertical="center" wrapText="1"/>
      <protection hidden="1"/>
    </xf>
    <xf numFmtId="0" fontId="14" fillId="4" borderId="0" xfId="0" applyFont="1" applyFill="1" applyAlignment="1" applyProtection="1">
      <alignment horizontal="center" vertical="center"/>
      <protection hidden="1"/>
    </xf>
    <xf numFmtId="49" fontId="14" fillId="4" borderId="0" xfId="0" applyNumberFormat="1" applyFont="1" applyFill="1" applyAlignment="1" applyProtection="1">
      <alignment horizontal="center"/>
      <protection locked="0"/>
    </xf>
    <xf numFmtId="0" fontId="4" fillId="2" borderId="17" xfId="0" applyFont="1" applyFill="1" applyBorder="1" applyAlignment="1">
      <alignment horizontal="left" wrapText="1"/>
    </xf>
    <xf numFmtId="0" fontId="4" fillId="2" borderId="13" xfId="0" applyFont="1" applyFill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93554</xdr:rowOff>
    </xdr:to>
    <xdr:sp macro="" textlink="">
      <xdr:nvSpPr>
        <xdr:cNvPr id="2" name="AutoShape 1" descr="data:image/png;base64,iVBORw0KGgoAAAANSUhEUgAAAiQAAAGbCAYAAAD0h4tNAAAAAXNSR0IArs4c6QAAAARnQU1BAACxjwv8YQUAAAAJcEhZcwAADsMAAA7DAcdvqGQAANh7SURBVHhe7d0JvHXV/PjxbUpFmhSVogxJmStTkQqZG4jmQhEiChESEUKSIWMqY2UoUaF/ZMpYhsicsUyZZ373v9/r7u9jPec59z73Pvfce849z/fzeu17z15nnb3XXuu71vqu7/quta8z0dIkSZIkSZIMket2/5MkSZIkSYZGKiRJkiRJkgydVEiSJEmSJBk6qZAkSZIkSTJ0UiFJkiRJkmTopEKSJEmSJMnQSYUkSZIkSZKhkwpJkiRJkiRDJxWSJEmSJEmGTiokSZIkSZIMnVRIkiRJkiQZOqmQJEmSJEkydFIhSZIkSZJk6KRCkiRJkiTJ0EmFJEmSJEmSoZMKSZIkSZIkQycVkiRJkiRJhk4qJEmSJEmSDJ3rTLR0n1eI888/vznllFO6s6b55z//2Vx77bXNBhts0IUMh/vf//7N4Ycf3lx11VXNox/96OYnP/lJ41E32WSTZt11123+7//+r/n3v//drL322iXNyWhyoxvdqPnLX/7SXOc61+lC/scf/vCH5oILLmjWXHPNLmT8eNCDHlTy4O9//3sX8j+E/+lPf2qud73rdSFJkiRz57///W9z4xvfuPnrX//arLbaauXzz3/+8/Kd86233rp5yUteUs4HyZwVEh3+17/+9e6saT70oQ81p512WvnfrxNZKCged73rXZuTTz65efe7393ssssuzXWve91m0003bW52s5uVz7/85S+b5z73uc3b3va2okRRToaZ5mQSleHPf/5zs9ZaazWPfOQjmzPPPLO54Q1v2H37Pw4++ODmhS98YXPIIYd0IePF73//+2azzTYrCv9NbnKTLvR/HHrooc1znvOc5qY3vWmzyiqrlCNJkmRF+de//lWO3/zmN80JJ5xQ2h595aqrrlraZRjMH3fccc1ZZ51VBvcDhUIySA444AAKzsR3vvOdLmS4tMrGxOMe97jubGm++93vTtz2tredOOmkk0qajz766O6bZJg89rGPLeVxzjnnTLQVYeJvf/tb983S+O7www/vzsYP8jldFd1yyy0nzjvvvInrX//6E7e85S270CRJkhVDO6I9+ehHPzqx1VZbdaHLcvOb33yiHdB3Z4Nj4D4kn/nMZ5r2gZovfvGLXcjo03Z45T/NMBk+MT1BE58O37OkjCtGJcubjvnPf/5TpiJDhpMkSVYE7Yi2V5syLOY8ZVPjYczn88046KCDmne84x3dN8PjCU94QnPppZc23/rWt7qQpvn1r39dfEpMNx1xxBHN+9///vJ54403zvn4EYBi+Ktf/aqUxw477NBceOGFZcrmdre73VImQp+f/vSnl2mbccQ04m1uc5vyP+Az8oMf/KD4Pe2zzz7Ni1/84maNNdYo87r+J3MjmsOcuh0+yiLLYWExwNOP+69dfec731nalm222aaLMcnNb37z5rLLLhu8ryiFZFB89rOfnbjJTW5SzMxtQ9qFDpe99957ou3IurNJtthii5LGPBbXseOOO3YlOEmrkEwcc8wx3dn48Zvf/KY8Y83zn//8vnmTRx555DFfx+tf//quBZpknXXWmWgH8d3Z4BioheRVr3pVc/TRR5cR7g1ucIMymmN2Hib3ve99m9/+9rfNt7/97S7kf6Ofu9zlLuW/LAjH3Dvc4Q5DcQ7kMPTNb36zfL7zne88lJHBP/7xj+bKK68snyNvFpo//vGPzY9//ONiqbrjHe/YhTbN5ZdfXpyOa2sBZ86HPexhRYsfR77whS8022233RJnMhx44IHFaXyrrbYqU6P4/ve/X7zh11tvvWajjTYqYaPAVGU5CnzjG98oU363ve1ty2olkLGgln9tgzZi8803L6PFUcYzeTbc6U53Kg6Jo8xUbU6/siDjZF3bqI0cdfQ7VqboT/Qro87Pfvaz5ne/+11ZUcMyC7MdV1xxRbPffvs1p59+egmDMuCeoX0aKBSSQbHLLrss0ahYSj73uc913wyP+9znPiUtxx133MTJJ59c/reVtBxBW4kn2gwu6Z4PR52Z0DbeS/KuVei60IXlW9/6Vrm/vBgWH/zgB0sa2k6iC5lEWFtRSvnF0XZ0E/vss08XY/xoK3x57vqZ7373u5ewVjHrYk1M3PWudy1hRxxxRBcyGnzoQx/qW5ajwA1veMOStksvvbQLmZhoFdwS5qjh5CdM/Rh12k57yTO0nX0XOrq0ikdJa90eI56hHYR0IRMTn/70p0tYO9jtQkabV7/61SW97SChCxltYkHK9ttv34VMTFxzzTUlTLtTt0PCLr744i7W4Bio+vzlL3+5+zS5HwnfjWHDl4XvAac/2ng/5z/anjmzNvOHtn+KZZ20UxYA1qVhsOWWWzZXX311yYthsdtuuzU//elPl7KEBMpJ+cXB+ibN4worCL+Q+plra0nw1a9+tfnhD39YLJSjxK677lpGXf3Kctiw3kjbPe5xjy5kalh6jXQXg6ytvvrqJb+1Jf2Wyo8aLB22X5hJm8ParRyUx2Lgmc98ZrEQ8k9cDLA0a0daxa8LWZq6HUJYUQbJwBQSTog2sAooJBdddFF3NlyYLlXUVrNbsh8J0+bLX/7y0jCB2db+JMNknXXWKdMSw4SzUpiwhwVn1pg201gdf/zx5bMGVif9+te/vrnVrW5VFBLlOK60A4Yy3aFjf9Ob3lSe1fPjpJNOWjLNSFGzX8kocotb3GIk90chS9IWvOUtb1lqg0Qyx+QO0zSjNBW2PLQh2pLFgkGg9hmUKe1yYPq/3nhTOQzbDWA2aKdianUxoB3RnoDT6hvf+Mby2bSZ6Rvt0O677176UO3TwCl2kgFgz4hwaI2DCXTYMD+1mTmxww47lDS94Q1vWGKCdRx11FFdzGQUUX61PB122GHl8yGHHDKx5pprTuy1115dzPGDSdSztg1y+X/Pe95zYt99912SH+utt14XM5kLX/rSl5bkaX084QlP6GIkC0XsQdR7jMq+VisTa6yxxpL8f/zjHz9xt7vdrXx+97vfXf5/4hOf6GIOjoFZSD7/+c8XU5qpB04xlv8aYVhiO0w4Ezks7T377LObJz7xid03TZkaWQzORisztk6vp7Be8YpXlLI0PWHkMWyL0nxiNGgkYifaD37wg80HPvCB7ptJ2b33ve/dnSVzwZSuEbq8DuTvYnCcHDd23nnnpeq70ToLFQf2ZGGx5UJdFueee27Zgb0dBJbz9ddfv/wfJANbZWOFCB+MVpMtZh5btmPbbbcd6rtG3v72txdlyf9AJjN/95uPT0YTDZNGyZbGgfNnPOMZZWXXOBJbx/sf8HZ/17veVUzb46yMDQOrlGKaZkDNYrKCxLQBGR9FH6SVBa4YpvEf//jHl1esBMrHXl5e0TJIBmYhsazvAQ94QHESo4D47BimMpIkSZIkyeJgoKtskiRJkiRJVoRUSJIkSZIkGTqpkCRJkiRJMnRSIUmSJEmSZOikQpIkSZIkydBJhSRJkiRJkqGTCkmSLEK8BuFzn/tcd5bMlVe+8pXlXVfBUUcd1fziF7/ozpKFwr4X8j6wdbyt5HNfmIXH23zjtR0LxdgrJDZziddxJ8m48JrXvKa84yaZO1/60pea5zznOUu9i8uOwMccc0x3liwUT3va00reB3/961+b5z73uc23v/3tLiRZKB760IeWd2YtJGOvkHhD5O1vf/vuLEnGA9tp23gwmTtbbLFFs9Zaay21dbz8ncmbgJPB8vCHP7zkfaBMbK654YYbdiHJQvGQhzxkqbJYCMZeIfGeilF822iSzAXTCe95z3u6s2QurLHGGmV7/voNuV6xfvDBB3dnyUKx7777Lnm9PSgjf/jDH/I1CUPgfe97X/PjH/+4O1sYxl4hIcw5/5iMM69//euL4n3hhRd2IaPB1VdfXV5eeeihh3Yho8MTnvCEZsstt1zq3UhToZP0agwvD10M3P/+92+222677my0+fvf/15ebf+YxzymC5kabblyOOCAA7qQ0cb73Vjnn/e853Uho835559f2pE3velNXcjCM/YKybvf/e7m8ssv786SZPw44YQTmu9///vlLcijhDeDetnmW9/61i5kdHjHO95R/BL4jywPbci3vvWtRdGOsPR86lOfKg7Pf/zjH7vQ0eXTn/508/Wvf70588wzu5Cp0WEqh9NPP70LGW1OO+205rvf/W552exi4HWve11pR4aaXm/7HSSXXnrpxLbbbtudDZ9W25t43OMe151Ncv3rX3/iute9bneWLAaI6k1vetPubJJ111134rjjjuvOxo9rr712Yq211urOJtltt91KXuSRRx55LNSx9957dy3QJMJ+8pOfdGeD4zr+tBcfGF/84heLp7T/o8Db3/725vOf/3z5H9zgBjdo/u///q/573//24Uko47XXbcKyVImdufPeMYzmqOPProLGS+MdjfbbLPyP2iV6+bUU0/tzpL5YtNNNy3tRLLw/Oc//2l+9KMflc83vOENm1ve8pblc7Lw/Pa3v23agVFxcP3oRz/ahU62x61C0myyySZdyGBIhSRZFKRCMskee+zRfPCDH2yuf/3rNxdffHGzzTbbdN8kc4ED67ve9a4l/mZ8X1ZfffXyOVlY/vnPfxb/iwc/+MFlmmbrrbfuvkkWGlNOf/7zn5vDDz+8OfHEE7vQVEhWmFRIxoNUSCahkHzta18ro0bz7/w0OAX2w++ud73rNTe5yU26kIXn5z//eXOLW9yiO1t4/v3vf5dR3gYbbNCFLIs9SM4+++zmVa96VXPkkUeWtsGeJDe60Y26GMlCol2mcHMGfctb3jIjx+NkfrABo83RDjnkkFRIBkEqJONBKiSTUEguu+yy5gc/+EFZcRAbRmnAe2H6Rr/vFoK4P0Y1DfG9JY7y8853vnMJS4VkeKRCMjqkQjJgUiEZD1IhmSQUEnPs4U/CrDoVVjDoZIfBpZde2jzlKU9p1l9//WJ6HxZ2arbEl7WoF9aRD3/4w2WqhnKXCsnwSYVkdFhohWTsV9m87W1vy1U2YwBRbRWQ7mySlXGVze677z6x6aabls+Pf/zjR1qOL7744olb3OIWEw9+8IO7kNGjVUiKbOGKK64obYPzViEpYcnC0yqEpQxahWSZOp8sLC95yUsmVl999YnDDz+8C5lE+bQKSXc2OMZ+H5IkSYYHB8W0RCZJMhPGXiGp55CTJFlY+ikkppvsLnvRRRd1IUmSJCuBQnLuuec2P/vZz7qzJEkWEitsvCsm+OEPf9jc6U53ag477LDmgQ984FK+XUmSrNyMvUJiK9x+3vVJkiw85513XnmlPDiWL5ZttZMkmX/GXiFZd911m3/84x/dWZIkw8TLxurX/DtPkiTB2CskO++8c7Pxxht3Z0mSDJMHPehBxX+EIrLXXnuVl9wlSZJg7BWStddeO6dskmSEOPTQQ8tbgN/znveUd5UkKwecm5W7vXHsnTMx2C2wklngTdDenKwsfvGLX3Shw2dsFRKra17wghc0J510UnPFFVd0oUkyPtjIix9GsuL0TufqJG36xOnWZlC9x2te85rM8xXkwAMPbI466qhm//33b571rGeV9nk6vvKVr5Ty6VcO3q1CoU1mjzzdYostmoMOOqiUxSMe8YiyeegoMJYKyb/+9a/mUY96VPPlL3+5vLXTeZIkSS+1QmI7/tgl1LtvvNSt9/jYxz5WdqhMZo8FBi960YvKqPzxj3/8tDsM4+Mf/3iz2mqrNXe7292WKQe7NJ911lldzGQ2/O53vysr3/SPysILOpdXFgvF2CkkGphdd921bA//1re+tfne976XI5pkLPFG2tpBNJk9a621Vvepaf70pz+V//zO7nrXu/YdmTNv91pVkpnx97//vVif4L89aqbjNre5TXltgpF8bzk89rGPLW8ETmaP/vBvf/tbdzY5lTYq+3WNXWv2hCc8obzddL/99ivWkT/84Q/NrW996+7bJEmS6Vl99dW7T8kwWWWVVVLhXskYq9L+yEc+UsyuL3zhC4tiQvPTuBDsJEmS6YhR4gUXXLDUZm7J3PnQhz5UfJ6srLIVgzbaSw+ns5JwgL3ZzW7W96WIyYrzspe9rFj6Ntpoo2a99dZrvvCFL5SpyFFgbBQSZtR99923ODsxB3JmfcxjHlPmG3PEkyTJ8ojVeP/v//2/Mm2TDIZf//rXxXmSwmdTvKc//enNz3/+8+LLcPbZZ3exluUhD3lI88lPfjJXSQ6QU045pXnzm99cnLdvdatbNbvttlvZPZm/zii8VXlsFBJ7G3CAMrfIg5gmfsc73jGXliVJMiu23XbbHJUPEO8u4g+y6qqrFiXEYPEvf/lLaa+vuuqqLtaycCy+3e1u150lg8BrVLgz4MorryyOwQbztscYheW/Y6OQfOlLXyrLyJ773Od2IU3z4Q9/uPnxj3/cnSVJkkxNOL8/73nPa/785z+Xz8ncufOd71z2mzF1zpny2muvLVM1rCX3uMc9uljL8ulPf7p529ve1p0lg4CzttU1Fn0oBz6WFEX7koyC8jc2CslPf/rTZrPNNisCbK+AF7/4xSXDmaPCe75G42Nq57WvfW0XkowiT33qU5d45veiDJXvuGL0qMFIFoawpto99lOf+lT5nMwdlhDKxZprrrlk+tyyXZbs6abGjOaPPPLI3LZhgNgO401velNzoxvdqAtpytSNZdizdW0wFTdoxkYhsYkOrY/w6qTMVxJoSsp0Gd1PWUlGh+nWx3NaHmcv/OUti0wGS0zTbLfddpn3A4aFxLQA51YDxpNPPrnZcMMNu2/7o+22VDin3QeLfL3xjW/cXHLJJc073/nOIu9bbrll9+3MmY+lwmPRmhspezeGBkUHxX+EhYQg086ncoriyPP85z+/O0tGEd7fVj30gwJqafe4svnmmy+1T0Yyv8SUjdUdyfyw/vrrN894xjNmNBr/1a9+VQYdyfyw/fbbNwcccEB3NnuWp1CuCGOhkFA8NCJMSObCQtgJP2/ufqMdissDHvCAXOc+4lA6vJAtSeabm9/85uW/qTIjx3322WeZ45a3vOVS5u5k/uBjss4665SN0XrL4eijjy7Ox8l4MVa9McWDgmFjNFx00UXNTjvtlB7zSZIsl1vc4hal/eB4aTmkZae9xzHHHNNssskm3S+S+cQ7VkzZPPShD12mHPbYY4/m2GOP7WIm48JYKSRMrjyGQyExjbPLLrvkOvYkSWZEWExtH9A7Knfc6173Kt8n808sFe5XDnvuuWdz29vetouZjAtjpZAQXtYQDjtJkiRJkiwexkohsemOVTOzXb6UJEmSJMlwGSuFJNerJ0mSJMniZKwUEg5QuUwySZIkSRYfY6WQ2O7ZMtEkSZIkSRYXY6WQ2DnOS5uSJEmSJFlcjIVC4l0nduzkzGovgSRJZs8111zTXHHFFfOyJXSS2HguZMsOrDY9SxYeK1G9STmwOtUxCoyFQmLvgFvf+tbNJz/5yeZhD3tYF5okyUyxy/Ed73jH5k53ulPZ/CtJBo2dVeNlma973euabbbZpvsmWUi82JBCaACvLL761a82d7nLXbpvh8vYTNlceOGFzec+97ny4qbg5S9/efPSl760+cc//tGFJEnSD29V/e1vf1saq1e+8pXlxZQrG15B4TDA8T4su7X2Hi94wQvSgrSCvOQlL2kuvfTSkscXX3xx85SnPKX7pj+f//zny+7b/cph3333bd74xjd2MZPZsMoqqxQlxI7EykI+G4yMAmPlQ9LLK17xirIUOHdqTZKp+eUvf9m8973vLcoIhd7o6dnPfnb37crD9773vfLsRo12ZN1///2XOT7zmc80P/3pT7tfJPPJpz71qbJIwc6sveVwz3ves/nIRz7SxUzGhbFWSCgj5spSIUmSqTnqqKPKqN888mtf+9rmZje7WXP22WevdFYSL3PDrrvuWrYl7zcy9wbafi/rTAbPHe5wh7JI4eEPf/gy5eCVIN///ve7mMm4MNYKSZIk0xPWEQ6GnN34kjz/+c9faa0kSZIMj7FWSJj7/vjHP3ZnSZL0wjpC+XjmM59ZzlkAnvvc566UVpJ///vf5f95553XrL322uVzMjy+/e1vN+uvv35auFcixlohsXPrGmus0Z0lSVIT1pH11luvvNLdVITGf911121OPvnklc5KEpsq8hHZaaedyudkeHAstgyd5S5ZORhrhUTjGq8TT5JkacI6cuKJJzZ3vetdm6997WvFl8RyzEc96lErrS+JUXkyfG50oxs1N7nJTbqzZGVgrHtrTq2sJEmSLE1tHdl7771L2Ac+8IGixMemSSublcSz4nGPe1xz7bXXls/J8LCVg60bkpWHsVZI0tSXJP057rjjllhHggsuuKC55S1vWczkCCsJRcUuruNOtBfywfLeZLj85je/KZv05VvcVx7GXiFZbbXVurMkSYKzzjqrufGNb1w2Dtxyyy3LYR8Om6P94he/WBLGbG7zpE984hPdL8efe9/73kscXJPhsdlmm5X/5C9ZORj7KZvcMyBJlsWmgebnrWSIw74Olv1eeeWVS8Ksutl4442bPfbYo/vl+PJ///d/5f9ll11W/ifD5eqrr14yjZasHIy1QsLcfNVVV+XW8UnSAz+Jn//852X0Od3x5z//ufnRj35U3nsx7piugo7wpJNOah70oActc2yyySbNmmuuWeIl84vBJKX5EY94xDLl8LSnPa3sppuMF2OtkHzhC19oHvOYx+Q69iRJlgsHX6vyOMJ7t4+9WXoPW+tvuOGG3S+S+YQPEwtJv3I44ogj0uF1DBlrhYSp2TsPUiFJkmQmxDYBO++88zKjcge/mmRhuMUtblFeBNevHOwTs9FGG3Uxk3FhrBWSJEmSJEkWB6mQJEmSJEkydFIhSZJFil1VY2VIkiTJYicVkiRZpHz2s5/tPiUrysqw4VuSLBZSIUmSRcr97ne/5jrXuU53lqwIN7/5zbtPSZIMm1RIkmSRQhlJhSRJknEhFZIkSZIkSYZOKiRJkiRJkgydVEiSJEmSJBk6qZAkSZIkSTJ0UiFJkiRJkmTopEKSJEmSJMnQSYUkSZIkSZKhkwpJkiRJkiRDJxWSJEmSJEmGzkqrkExMTDTf+973urNklPnud7/bfUqSJEnGlZVaIdl8882bl770pV1IMoo84hGPaG5/+9t3Z0vz73//u7nqqqu6s/Hj+9//fvOHP/yhO0uSJBkdrr766u7T4Fjpp2yuf/3rd5+SUWSttdbqPi3Lda973bF+/f4NbnCD7lOSJMlocb3rXa/7NDhWWoVEZ/a3v/2tec5zntOFJKPI6aefXsqpHyrEZptt1p2NH7e61a2mVciSJEmGxfrrr999GhwrtYVktdVW6z4lo0yWU5Ikyfiz0k/ZJEmSJEkyfMZeIfnTn/7U/Pe//+3OkiTp5corr2xOOOGEpY4zzzyz+zZJkmRhGGuFhDLywhe+sPnd737XhSRJ0svd7na34kv17Gc/uxw+77333s2rXvWqLkaSJMn8M5YKCYvIL3/5y+bwww9v/vKXvxQH1iRJ+vP3v/+9edazntWsuuqqzTrrrNPc6173KnXms5/9bBcjSZJk/hnLnnrXXXdtNtpoo+bUU0/tQpIkmY5XvvKVRSG52c1uVpYb2+MlpzqTJFlIxlIhucUtbtF9SpJkJlznOtcpm7D96Ec/an7zm9+UsH/961/lf5IkyUIwlgrJm970prIT6/Oe97wuJEmS6bjvfe/brL322mVvl/vc5z7NKqusksutkyRZUMbaucKW48zP//znP7uQJEn68elPf7r5/e9/Xzahe+tb39r85z//afbYY4/u25UHAxnwP3vyk5+8zHHSSSeN9e7Ao8RXv/rV5h//+EffcjjyyCOb97///V3MZFwYa4VEo8JJb7311utCkiTp5c9//nN5gWF9/PSnP23222+/LsbKwQ9+8IPiN2MQs+666zZbbbXVMsdHPvKRkjfJ/HPhhRc2q6++enOHO9xhmXJYY401UiEZQ8ZaIbHChnMr83OSJP258Y1v3Nzudrdb6lBvVjZsE4Add9yx2XrrrfuOzH/xi1+UVUnJ/LPppps21157bXPwwQcvUw777LNP841vfKOLmYwLY62QeHFeLvlNkmQ2UNCS4cOHKdvvlYuxLm2WkRj1JEmSTIelzjBVYEogGS7f+c53ygvc5uOtssloMtYKCQe9G93oRt1ZkiTJ1PAdwcc+9rFmp512Kp+T4fGgBz2olAVLd7JyMPZTNqldJ0kyG7bffvvsBEcA+0nd8Y537M6SlYGxVkhs7JRLfpMkmQmxnPeYY45p/vrXv5bPyfD4zGc+07zzne/szpKVgbFWSDhF5fbXSZLMhFBITjnllObiiy8un5PhcdVVVzXPeMYzlvj2JOPPWCsklBHr2JMkSZZHTNOYsrEhVzJcbn3rWxc/wNyIbuVhrBUSmnVq10mSzITYpdXGcMnw8U6ltHCvXIy1QmKHVrsqph9JkiTL4+Y3v3n57wWD73rXu5oDDzxwmeOWt7xl7lOyQNiywY65hxxyyDLl8KIXvajZZpttupjJuDDWCsnHP/7xZocddsiVNkmSLBe709qIyzTBgx/84NJ29B7Pf/7zm4033rj7RTKfPPzhDy9lcf/733+ZcnjIQx5SlJJkvBhrhWTLLbdsHvrQh+YSvmQsMbee8+uDJXYG3XfffZcZlTu222678n0y/3iFwaqrrtq3HPbee+9m880372Im48JYKyRJMs587nOf6z4lK8pvf/vb7lOSJMMmFZIkWaTc/e537z4lK8paa63VfUqSZNikQpIkixRL2vPlY3Mjp3OTZHTI1ixJkiRJkqGTCkmSJEmSJEMnFZIkSZIkSYbOtAqJ7ZN5oc/ksF48SZIkSZJkRZhWIXn3u9/d3P72t5/R8cpXvrL71Whh++HcqyFJkmS4GOBeeumlzac//enmy1/+cvOf//yn+yZZaK6++urms5/9bCmLK6+8sgsdPtMqJI9//OP7WkP6HaO2ax7hf+pTn9q84Q1vaK644oouNEmSpD/xLhsrl/bff/9mzz33XOY49thjsyNdQQ466KDmxBNPbF74whc2r3jFK5qjjz66+6Y/X/ziF8trP/qVg2u9+c1v7mIms0HfeNe73rXIsrKwCeBnPvOZ7tvhMpY+JKaPHvawhzW/+tWvmtve9rb5gqYkSZbLD37wg6JsXOc61ykN9qMe9ahljk996lPNz372s+4XyWz49re/3Rx11FFlVL7ffvs13/nOd7pv+nPRRRc1N7jBDZrdd999mXK4853v3HzkIx/pYiazwayB5e6f+MQnSlnc5S53GRkrydgpJH/+85+bXXbZpbwE66UvfWnzrW99K9/4myTJctF24JGPfGSZhu43Mr/mmmvKCDNZMSh79f/pUAbKZLfddlumHAw4R2mqYbFR5/9MymKhGDuFhKmVIG+//fZLBJqVJEmSZCaMUgO9MmPqLMti5WKsFJL3vve9zV/+8pfiO3LEEUeUOeG11167vKApSZJkOsI35KMf/WhpN5LB8brXva755je/2ey6667NjW50o+bII49svvKVr0y7OtMUz/rrr5+76Q4QCzwOO+yw5uc//3mR8TXWWKP4j3zgAx/oYgyXaRUSwsJEOZMjzJ3DgiLyuMc9rnnSk55UBP4973lPc8ghh5S5xn4KiYK5yU1u0nz4wx/uQpJRREOmnPph9PSHP/yhOxs//vSnP+Vy+gUkOr7vfe97zU477VQ+J3Pnl7/8ZfOCF7ygDBAd6vTvf//70ma///3v72Iti6mZyy+/vLne9a7XhSRz5Y1vfOMS35utt966efrTn978+Mc/LkqJfnw2KL9BM61CQlg4vNTHFltsUaZCesNf+9rXdr8aDlbT0Kb32GOP5ta3vnXzoAc9qNlwww2n9YinRH3+85/vzpJRhAxOpexyVv7pT3/anY0fOsZ//etf3VmyUGy88cbdp2QQcAK+1a1u1dzwhjdsfv3rXzdPe9rTSmdmoGj56VQYiKy77rrdWTIIKB177713+fyFL3yhefWrX136yDXXXLMsApkNFM1BM61CctBBBy1lBXFYJnTggQcuE04DHiaWiFlGZromoAnS/qZC3Gc84xndWTKKvOMd72ie/OQnd2dLY475Tne6U3c2fhjB5NtoF45YjcfKagSfDAYDVsrFKqusUhyCWf38N9Dg6zcVH//4x5tXvepV3VkyCLbddtvmq1/9alm99Ne//rWUA8WQgsjQMBtud7vbdZ8Gx9j4kBhNWllz9tlnlz1RnvnMZza/+93vikLC9N2Lzuzkk09uNthgg3KuMbLmfZhYDTTsFUHyYNgbyf39739fsifE5ptvXqxfSTLfxNTAueeeOzL7MowDLCMXX3xxsXbwWYB2l6IynULCmmKgm1bCwfGIRzyiDPJufOMbdyFNmVE49NBDSzkNm7FRSKxp16DQ+Gh7t7jFLZpf/OIXRYvzmvbp0PnREpdnQpxPjBqMIBzDUkq+//3vL8mHYXHBBReU8rrpTW/ahUzPdBawxc4Pf/jDsfaRGVXufe97Zyc4YPjnsJKcd955zfve977iR7Leeut13/Zns802K4OjGJwkg2GjjTYqfpacjLW397jHPZrb3OY23bczZ7ZTPDPhOm1hT1na3/jGN4pmW2NjoGuvvbZsVlNz97vfvdluu+3K1Ik5Qv8XCkJLy6P5SRcveY0KsxSfl2222aZ5+9vf3sX+37K+hzzkIeW/LDj//PPL5x133HEoHTIlxEY1sI8KC85Cw5JkO2FE3iw0FMLLLrusKJf8gIKPfexjZfqiNqWvs846ZY+CumzHiS996UulsairKB8p+fOjH/2oecITntCceuqpI7vxn7biKU95ShkUfOhDH+pCRwsbddk1VB6ffvrpzQEHHFAa5+OPP75swNWL9uSDH/xg+Z/MDgsMTjvttGIZYYV629veVv73Qp4pMFaBaJNMLfSO3m1ip530P5kdfHr0j7HB38EHH1ymcvzv5bjjjit1wQIRu+wG+lCvAdA+DZJpFRJmS1MgNeEk2rsUi1c6c9AwFBICzLLAAXKvvfYq70kg9JzTCLRNdLyXJ9DZDXtaIpk9nJZrrZwVhQ/Q8ragXqxQvowSayUsFZLBUisk0nv/+9+/WW211UoDbRTZi/bPwMcoM5kds1VIWEoNDu95z3t23/wPAzaOmO9617u6kGSmDEoh+clPftJssskmXchgmHYYbn7vpJNOWuown+/oDaeMDBuatAYj5seM9llMepWnVEYWJ/063nHehTfN1QsLhVdHx4fJXg2cqXuPE044IZWRBYLyrT3vVw4WJOgok+ExH23T2PiQQGNiVBP7VnByNY3Uq5A4p+HJUEdYfcAXJcLnetTz/xxsI5zW7/7MkBFW+65QrCJ8IY9PfvKTXQomhS0OaXVwRIswZuugjjvXg6MxlFEdDmmo0WF7NcC48rnPfa754x//2J0lC0FMlZoOeOhDH7rMMc6rukYNFm6W737lYDo3l2cPl/nYun+sFBI+IxqU8OSejrpzM4VDG+cHwxdlUDApPuABDyhKEX+HIO5dp+HmN795c7/73a/4sCzPCXe+kE4vFbMhUU2vIgDPxQTrJVmDhE/IVltt1TzxiU/sQqZGuqzCGVfuda97TbkpXJIkyTCZj1eyjJVCwr/A2nZzwLOFr4ytjCk1g8Ra+pkuITSH7Q2Xw4LF5mtf+9q0uycGpsXsosgRcJAwh/P+fv3rX9+FTA2FZFjK20LAShQj9iRJklGid+ZhEKy0rR1zP8VlJp3voLBqwpRSvC3Unh/OmeZHEdvv6/DD58Zrq43Y7Q+wUJizn0rB1FnPx26Bo4JpPtN3SZIko8ZUO2jPhbFSSGTQbHa2pBiwCCwULCD2GwmfCP+d81sZRewZwMEv4Gsjj+3vslCcc845SxS4XqTHEvRx5aqrrhprp90kSRYvBqiDZqwUEqNJTlAzxXLRZz3rWd3Z/MNz/9hjj12SRtNDxxxzzJJ3C4waNi+ql9RS9l7+8peXZXsLhWV9z3ve87qzpWEh4W8yrvBpyq3jkyQZRWxJMGjGSiExtTDTEaXOzBrrme4IOghMPXgXUGxR7b9t7kfVD0LeyKPwY5D+5zznOX2dXOcLL+V66Utf2p0lSZIk48pYKCQ6yDvc4Q5FGalXsyRJkiSjgU20TLHaDsHrPW52s5t13yQLiYGwLTFsuKgsLGbotwngMBgLhSRM91dccUWz7777dqFJkiTJqGCjTdZOVk9TsXYLTRYe7xBild9yyy1LWXgxrenhUWBspmze+973NhdeeGGZAkmSJElGi2c/+9llWwOjcu+mOuigg7pvkoWE76LtKKxQVBY+j8p+TmPlQ5IkSZIkyeIkFZIkSZIkSYZOKiRJkiRJkgydVEiSJEmSJBk6qZAkSZIkSTJ0UiFJkiRJkmTopEKSJEmSJMnQSYUkSRYpNgKMNzEnK4aXWyZJMhqkQpIki5R4J9Io443Mo6w0/fe//+0+JUkybFIhSZJFyu1vf/slLz4cVa6++ury3pJRZY011ug+JUkybMZeIbnyyiubf/zjH91ZkiQLycYbb9zc5CY36c4mOeKII8q7NO52t7uVl60lSZJg7BUS77e55pprurMkSYbJmWee2Zx44onN3//+9+ayyy5r9ttvv+6bJElWdsZeIWEd8XrlJEmGz69//etmYmKiO2ua3/zmN92nJElWdsZeIbnjHe+4VAOYJMnw2HPPPZsNNtiguc51rlOcco899tjumyRJVnbGXiF5yEMe0my44YbdWZIkC8lVV13V/PGPf+zOmmb99ddvvvWtbzXnnXde+f/gBz+4+yZJkpWdsVdIkiQZHpxXr3/963dnk6yzzjploGCVUJIkSZAKSZIk88aNb3zjZpVVVunOkiRJpuY6EwN2sPjiF7/YPO1pTyv/R4G3v/3tzec///nyP7jBDW5QNmsa1qZIRo3hbGu1wahjrp+Y3PzmN29++ctfdqELC5+Dm970pks5QTp/xjOe0Rx99NFdyHjx+9//vtlss83K/2CPPfYoq1N+9KMfNY973OOaU089tfnoRz9a8qeXc889t+yzcf/7378LWVi+/OUvN8ccc0xZ+vvmN7+5C11Y5NPFF1/cHHTQQX33bHnxi1/cXHrppUW+v/3tbzd3vvOdy2Zu9k650Y1u1MVKFhLtMqva8573vOYtb3lLOj4PkeOOO645/vjjm0MOOaSsjgu0Nz/5yU+aTTbZpAsZEBSSQdJW7oltt922Oxs+b3vb2ybahrs7m6QV9om2cerOFp7VVlttoi3QiVVXXbULGW3klfRusMEGXcjCQ1RbBaQ7m2TdddedaCtMdzZ+XHvttRNrrbVWdzbJ7rvvPrHppptO/O1vf5vYcMMNS77kMffjOc95zsQVV1xR2gbnrULS5Xiy0LQKYSmDViFZps4nC8tLXvKSiXYAPXH44Yd3IZMon1Yh6c4GR07ZJMkig3XvLne5S/O73/2u+fGPf1xG93ms+MHKdsIJJyxlRU2SZOHJKZshkFM2syenbCZ59KMf3Zx99tnNaqut1nzkIx9pNtpoo+6bZC684Q1vaF7/+td3Z01O2QyRnLIZHXLKZsDklM3cySmb4dBvymb//fcveRGHcsljbkedn60SUv7nlM3wyCmb0SGnbAbMb3/72zK6T5Jx4J///Gf3aRKyncfcjpq//vWv3ackSRaasVdIvDvja1/7WneWJIubVVddtfz3UrroUMNsaiVJ3dEO+zANgpjyG6XjOt2qJBu0RZjpMVMFSZIMh7FXSA4++ODm7ne/e3eWJOPH6173umaXXXZpDjvssC5kNNh3332bRzziEWUOetR42cte1uy6667NDjvs0IUkSTJsxl4h4cCaJOPMIx/5yOb8889v7nrXu3Yho8FNbnKT5pxzzmme9axndSGjw1FHHdV86EMfSsfVJBkhxl4hueSSS4rHfC9W2TDbhll5IfjEJz5RNmeKlTVW2ji3sdUoctJJJ5U8kle45pprSnotNV0ojjzyyCXm9V6EL2RaRgnbr2+//fbdWTIXvIHYtNLKKktJsiL86le/6j4NjrFXSCwZ84KvqdAYLRRXXnllmauucf6HP/yhOxstvv71r3efJom5dorUQjGd/48dNVdmfvCDH3Sfkrlw9dVXF6W7t24mSTI187FtxtgrJLba3mqrrbqzpbGfw/Of//zubP55ylOeUrbztv8IvOPjwx/+cLPXXnuV81HDdt/yKLDvx4UXXthsscUWXcj8w+nw/e9/f3e2NEa1m266aXe2cnHaaaels/aAsF0862Xu6ZIkM2c+3qI/9grJVJh6oKwspI+Jez784Q8v/+Pc/H+cjxryRh5F+pw/8IEPLJ8XCpvI7bnnnt1ZEpCjDTbYoDtL5srOO++8ZKCQJMlwWGkVkiRJkiRJRodUSJIkSZIkGTqpkCRJkiRJMnRSIUmSJEmSZOikQpIkSZIkydBJhSRJkiRJkqGTCkmSJEmSJEMnFZIkGVHsMDyqu/gmSZIMmlRIkmRE+ec//9l9SpIkGX9SIUmSEWXzzTdv1lprre4sSZJkvEmFJEmSJEmSoZMKSZIkSZIkQycVkiRJkiRJhk4qJEmSJEmSDJ1USJIkSZIkGTqpkCRJkiRJMnRSIUmSJEmSZOikQpIkSZIkydBJhSRJkiRJkqGTCkmSJEmSJEMnFZIkSZIkSYZOKiRJkiRJkgydVEiSJEmSJBk6Y6+Q/Otf/+o+Jcn4sOuuuzZvfetbu7NkLvz3v/9tdtttt+a3v/1tF5IkyTAYe4XkHe94R3P55Zd3Z0kyHlxyySXNUUcd1Z0lc+GLX/xi8+EPf7j505/+1IUkSTIMxl4h2XvvvZs73/nO3VmSjAe3ve1tm6c97WndWTIXttlmm+aud71rs/rqq3chSZIMg7FXSG5yk5s017nOdbqzJBkPjOqPOeaY7iyZCze4wQ2ar33ta83Nb37zLiRJkmGQTq1JkiRJkgydlVoh+ctf/tJ9Wjj++te/dp8m6T0fNeo8mpiYaP7+9793ZwvHMMopSZIkWVhWWoXk//7v/5o11lijefnLX96FzD9nnnlmc+Mb33hJp/6Pf/yjnJ911lnlfNQ4+uijSx7JK1xzzTVlnv373/9+OV8I9tlnn5KGJEmSZHT41a9+1X0aHCv9lI1R/0IxDOvCXPjb3/7WfRoeo25BSpIkWRmJgeogGXuF5Oc//3nzn//8pzv7Hxxdf/SjHzXPfe5zu5D554ADDmh++tOfNquuumo5v+ENb9j85Cc/aR796EeX81HjxBNPLHkUTsE3u9nNmquvvrqs8FgoLMf84Q9/2J0lSbJYsaz6E5/4RHPOOec0F110UbEQJ8PhBz/4QfPRj360lMWXv/zlLnR2bLDBBt2nwTG2Csmf//znZr/99iubR/WbYtDJbrrppt1Z05x77rnNW97ylu5scLz//e9vTj/99O6saTbeeOMlHbz/m2yySfmMd7/73c173vOe7mw4nHLKKUVQA3kU6b3uda+7ZCUCy9LrX//65uMf/3g5HxSUx9e+9rVln41gs8026z4lSbJYedKTntScccYZZW+ot7/97c0LX/jC7ptkIWH53nnnnUs5OA4//PDm//2//9d9O1zGUiH5wx/+0DzgAQ8oFojb3/72zT//+c/um/7YqfGRj3xk88QnPnGgo3FK0WMf+9hiGfF5On7zm980++67b/GZGNbI4bOf/Wxz6KGHNg972MO6kKk5//zzm8MOO6x50IMe1IUMhlNPPbV5xjOeUSpMkgwbCvJ3vvOd8vm73/1u7vw8B6644ormmc98ZhmVaxevvPLK7puZoV3/2c9+VtrH733ve11oMlt+97vflT7vAx/4QCmLO9zhDivU71111VXdp8ExdgrJtdde2+y0007Nve997+bJT35y8/nPf74Ico1GxvyX/QccMYWC293udkvC53qsvfba3VWb8jnC+ZKwMKhYEVabvzi6RvhCHve73/26FEzuzRCHvJJe0zUR9vCHP7yLuXTcuR5GUfj3v/+9VDj6Tb0lyXxyyCGHlAb7MY95TBnc7LXXXt03yUJzq1vdqliUtVObb75588EPfrD7JhkGa621VvdpcIyVQqLT1GDssMMOzS1ucYuyA6MRTW/GrbbaauW/Di6OQOdbh8/loIUGPkc46k52urgLedROSnU4bDCH5cWd6zFdGihqSbKQhNyH7N3oRjcq/5OFxwo/08ZRFtGGJsMhFZLl8OY3v7koG6Y9jjvuuKKgbLXVVss4YcZqF5aROIJVVlllqfD5Oq53vestdW56KfC5/m6hDs8e1OGI93xItyP8ShBhgzimui5+//vfl/9JslBw7La8kc/Dr3/96+ad73xn900yG7x36Rvf+EaZ4qVImO699NJLlzuVXfPjH/+4WMD5rZnirq20yczQ93mdisUeFDxtPgfjd73rXV2MmWNBxqAZG4WEoD796U9vDj744OJ4ecEFFzTPfvazmw033HCZUQ0tGwrHUW+89e1vf3tJ+EIe5kYDU0z94sz38clPfrJLwf/yxhEYLYbF4rzzzutCB2shedOb3lSuqdGqw3H961+//E+ShYKCvP7665fP66233pK2I5k52jaDRRgwcpq3nJ9v33vf+94SPhMM1NZcc80yQLnpTW/ahSazQTlQBMFPj8L9i1/8orw6gZIyG7761a92nwbH2NQuGX3LW96yeehDH1qUkG233bYI7vIcWiGeTcus7rj1rW/dhS4sGjsrgozEwiqx0Gy//fbNa17zmubss8/uQqZml112aU444YTiFDVIDjrooOZlL3vZUit9kiRZvPA9M4VOofCZ0zzLiPPf/va3XaxkIeDQ+qhHPap8ZmliqTLgMw1mUD8bdt999+7T4BgbheRLX/pSMQseeOCBXUhTRvzTmZXqnebsBcLCMkye8IQnNI973OO6s+Fghcsee+zRnS2dR6bAQmiNFI888sjmEY94RDkfFEyI9oaxSiqwQ2ySJIsTb1LmtK9u8+njsO4/paSu58n8c9/73resdlIWBuvadFM3Flhw3h42Y6OQXHbZZWWPDxvv6FR17MytzIVTdWimdo4//vjuLOmFwlG/AVUDsu666y7o1vG0+ak24OH8Ox9Lz5IkuPzyy8uc+7e+9a1ivbNqL5kdpl8vvPDCYgVeZ511SpgVM1tvvXVZeDBTTjrppOaII45oLr744ubxj3/8rEf0SVMUQFsreB1H+OtZWcpSMtsp8RXdUG06xkYhoXgYtdv0RWZvt912Zc07TXA6K0ntRJksTTiTDpPp0qC861U5STJonva0pxU/B5ZXDq1PfepTu2+S2aCdNS1gKvYzn/lM8V2ot0WYCXwCTSlbtGBDr9NOO637JpkNfKL48ugzv/71rzd3u9vdymB+trB0DZqxUEh0SoSb0PvMv4GFZM899yzTD9as98N8mmmepD+veMUrSh4FFL0//vGPC7p1vJ1up5pnVt65i2syn1itt+OOO5bRuXaFf1Oy4vCPM1hcEedgFlsbqp188snNQx7ykNK+JyvORhtt1NzpTnfqzmaPvb4GzVgoJObBLAm1LM+qEHNiAUfNqdZLh/kwmZo6jygAsS/DQmKaKEmGgTl3yyLvc5/7lN2JKSXJcHjpS19arFUGmSwtOtRkvBibKRtwzGFGytfVJ0mSJMniYqwUEpYS85TDGMUnSZIkSbLijJVCYl27aYW0kCRJkiTJ4mKsFBLOj1bZDGtjsSRJkiRJVoyxUkhs9FK/pC5JkiRJksXB2Dm11itskiRJkiRZHIyVQmK6Jl8PnqwM2C13PjYmWlnxYrG0ribJcBkrhYRDq6PGevUf/ehH3VmSLB5+8IMflDc/9+Me97hHc5vb3KY7S+bC9773vbJT5Xy8Tj1JkpkzFgoJJcQLnGyO1rsJmv3502qSLEaW926JlOvBkE7wCwMF2runHL/5zW/KG4CThUe74q32P/7xj0tZeNeQ7TJGgbFQSGxDbMRop9anPOUpXegkD3rQg5qb3exm3VmSLB68gGyqXYZ/+ctfNt/+9re7s2QubLLJJsUhftNNN+1Ckvlg5513bt7+9rc3O+ywQ9n19v73v3/3TbKQeJeNl6Y++MEPLmXhje73ute9um+Hy9hM2bzhDW9oPvCBD5SXYSXJuFOP6r/4xS82hx56aBnxjBKczL15+8wzz+xCRgdbkHv5ZvjheAln73RvMljI6Ec+8pEyKj/77LObRz/60d03yULihaXve9/7miuvvLKUhX7T4GcUGCsfkn6ccsopzWWXXdadJcniweu9p/IhqfHCMXLuXR+jhLexvva1ry1vZx01pMkbZ//f//t/XUgyiqTj9vBZyDK4zoT91geI0Rorhf+jgLf5Mm+ffvrpXcikhuitwAN+9LElRo625Pe232EgDWuuueZSHfRNb3rTMgI/+uiju5DxgpPl7W53uzKdEOy7777Nu9/97vI5fEysDiHLpi5X5C2q84U65sDy/GEWmv/85z/lf51nERakxWQ4RLt8y1vestSBLIfhEWXx+Mc/vnnb295WPkOZKBvTnYNk7BUSc5af//zny/8gFZLZkQrJcOCkvdlmm5X/wW677dZ8+MMfLp+zoR4s2gOvn6AA5n5Gw8UWDpRYSmKWxfCIzUYf8pCHlBWrQSokK8jBBx9cOrGzzjqrC0mFZLakQjIcTDVuvfXWS+2PYarhPe95T/GKD6vDX//612JW5VcySitGdCZ/+ctflpTdKEGO1f86H2vZqp2JI9w7srQdo4xnijoqz0ddaSXbf/7zn8vnfnmOCI+4oyhP/fjXv/5VFCsWuMXwwlc+Xw6rbmIFH4Xk73//e3PQQQc173jHO0oYlMF8KCQEeKBceumlE9tuu213Nnx22mmnZdLTCghNpDtLloe8crSVqgtZeNy/bYS6s0nWXXfdieOOO647Gz8uvvjiZeR03333LWHXXnttFzIxcetb37qEHXrooV3IaPDOd76zpKtt4LqQ0SHagE996lNdyMREq+CWMEdN2/iWsK997WtdyOjSKiNLnqHtDLvQ0eWSSy7pm+cRtvbaa3chExPnnntuCVN2i4EXvOAFJb3aqcXArrvuWtLbDoK6kImJa665poQ9/vGP70ImEdYqJN3Z4Bh7p9a99tqr2WqrrbqzJFk83PnOd55y2W/NZz/72TIlecIJJ3Qho8F+++1XrDlf/epXu5DRgfXJSoP73ve+XcjUcC5+//vf39zlLnfpQkYXI/GLLrqoufDCC5vVVlutCx1dtt9++7LKYyYW9Yc97GGlHL7yla90IaNNq5A0rVI+MrMFy+OMM84o7ch5553XhSw8Y6+QJMk4opNkDoY9BR73uMeN3EZpTNUGBHe84x27kNHhTne6U/OYxzxmyZTGd77znaWmxvidhUPu3e9+92bPPfcc+emPYMcdd2we+MAHdmejz+67795su+225XM7SG6+8IUvlM9QJldccUX5LP+Vg00wFwOmPg444ICyCdliwPSldiT27TIV/LWvfa18XijGXiGx7j23jk8WIxriei69xoZ/VuAkc8cGc3e4wx2Wch6+z33uU/YpSRYWPn/3vve9u7Om+dOf/lQs3PwVkoXFKifOrAvJ2CskRo2LwaEoSXqx4mM6OPUmc2eqabHcmn/h0QkmowHL60IzdgrJ5z73ueL5aydAMF8ur+G+9tpry3y9dy1YYtZ7bLnlls1xxx3XxU4GgS3+mfL75fcWW2xR5vbr/TeWhw2u9thjjzKiWsww8b7xjW8sn8njVJ2ld4Fcfvnl5bNR5VR5aeRve2ge/0l/NtxwwzI1ULcTVgiN2kZzKwP8Lur9YNZee+1ynorKYNAO3O9+9yt9Wr/2QjvypCc9qcT91re+1fziF78on6fD5oeD8tMcO4XEC5uuueaaMtcYSsnyeNe73lXeg2MrY/PKTOEbbbRRs91225UNYe52t7uVnTCTwWFzrwc84AFlztIcvU5BJeEIaU6ZGX2mu2iK5zfjsOsmB1DLmF//+td3If2J5af8HCxpN4VT56UGYv/99y/58s1vfrP5zGc+U+In/eHvUjPqy3vHmd68z7IYHBdffHFRNHbdddeyyaIBi/Zim222Ke2HNpmzN18eLC/vKSPPfe5zB+YWMXYKCU2al7D9GCglM/HI5sRjRH788ceXkScHq2OPPba5+uqrm4c+9KHNy172skXj0LZYsFfCa17zmqL8GQHJ4w022KDsCWFkKnwmew388Ic/LJ2uDsXqgsU+PUepMlI3UnzrW9/ahU4NhcReH6961avKJmpG+vKSTHOqY9kTntOWSZJoU29729uWNlbbob/02V4jrCPaZFbmUEimw4ocyojrDGrl08AUEtMeP//5z4ulgVnIZ8cwTMU8zO1mSSlh2fjpT3/afbN8vve975V3cNjc7bvf/W4pqGT++N3vflesAocddlhzwQUXzErTthmYZaWUkU9+8pPFkrXY8SZO046UEg3FbKatfvvb35aGQV5a9pmOgEmSTIXBnEUf+jrTv1M50E/FK17xiqKMWELP0jIIBqaQvPjFL2423njjMuXB3L755puXc1aGYRBKyTrrrFOWM80Uy/006F6N7S2ltupO5o8XvehFZXrC9NgLX/jC5oMf/GD3zfIxPbfuuuuOjTIShFLClDqTkUpAgXnd615X8lK+juJbdpMkGQ3MJDzvec8r7cWb3/zm5jnPeU73zfIxY6BtGqQygoEpJPe6173K1sosCrFlrvNhOiMZbbPc2A53phiZmmP7+Mc/PqNNqZK5QbBNLXziE58or8+fzWZOtHNWAZa4ccMUC1+oem+M5SEvTXnJS68VH6Vt5JMkGS2sIvPiWe1Frw/V8qCM6OdvdatbdSGDYWAKyT3ucY+lvKMx7FErawdmY/aGAjKPVr8hOJk/aOfeUfGhD32oC5kZKoRjoTfvWQjsicGESumaDW9605tKXtr9MkmSZDrsfKu9qF8+OxNCgaHQDJKBKSQ0pXhJFXzeaaedurPh8NSnPrWMuGeznwALD8ce3sbM3rPtEJLZwXqlMliayt9nNsqjZWrrrbde84QnPKELGR/sAcDJbDYrDChntqo23ehV4en/lCTJVGgftBPaC1sNaD9mCgsJK+6gd6EdmEKCektfnUW9494w+NjHPrZkCqkfvq9N4lbZSDc/BqsW7APBB8UqhpURFi95FMgr700ZFKZo7DNwz3ves4zon//855f8t+wsoKBM9W4F5WpKzvTauGHK8/vf//6UPiT8ZjgEB1deeWVpIOwwarn7s571rOI7lZaSmWG78trCS+Y4TScLizKoX3OvzQlLdzI4bBWgfbDFAF8zfbUVOBZ1BNoXy4SnwizCoPd9GqhCwiISVhKKgLXNw8QcPH7wgx+U6QB7NfAsDizptSySD4PjU5/6VAnnlGvvBg2S5alM5/xhVjZskCOPAu828DIsq4/mCuHXibKQUPishLIqJJaQsWyRJfd/+MMf3v1q8h0urFf21dB4abAoJeOGvJY3ZFDePPjBDy4rigJL2r2Phd8IpU5eUt6YX610i7yUXyyEuZfD1HzjG98oDXK9yoDMPeMZz+jOkoWCtdNL9AIdHiWbT1Qyd7QDBn2XXHJJaR+0LTY/025ob/hd8p3Urlge7F1Ugb2jbCXPZy8GSvXrFgbBQBUSldrDwj4Iw9774JhjjilzXVYrWIFgJG3lTY3MtxqI3whvY8+gsdegW6lj989TTz21rOhY2ejnPR2Ok3OF87BKQcAf+chHFksM4bcfjO8sQ7Mvic3SapgWWQf8t7X6pptuWjb0GTestAkLIyuHJdEseDVkMhoYS6cpLTY8YuHbZ599Sl6Sbx3uMLaBXixoq8h1L+QwWVimanNSoR4M2tSvf/3rZeNP7YM2l0VKG6z9MNALhaR3OsbeXOeff345IN6gnVqv02o6M19XuBxYE8zpG9Xp1DnMDBuZyPRttPPe9763mKg0NLTD+tFlstU1/TQ+Co3lzJ5tZSQaawqmMh4ERjzM4v2couSzzemMjAJpYFXRuZ544oll63kWuEMOOaSshx9HmEytUrN0/iUveUlRNjit2lmYVYhlBEY1GpWwCNbISw7nVsEl0yOvrNrCAJvFZAWINoeMj6MFdJiYAvviF79YNgHthcLCQmWgh1/96ldlMGPH8oMOOqg599xzy6aNZgy0OxFvYFBIBkmreU3c4AY3mDjllFO6kOFy2mmnTbSZXNIVR6tta226GJO0mTxxwAEHTPz3v//tQhaetpOdOOyww7qzhec///nPxH777Tfxohe9qAuZRF45WoWkC5mY+Ne//jWx9957T7zsZS/rQgZDq/BMtMrsxOte97ouZBL3X3311Zcqxxvf+MYTr3zlK7sY40fbEE+0FX6pZ95kk01KXvgu+NjHPjbRjnAmWmWtCxkN/vSnP5WyfO1rX9uFjA6vfvWrJ9pBxsRf/vKXLmRioh2oLJH1muOPP36iHUlO/POf/+xCRpunP/3pE09+8pO7s9GmHbxO7LvvvhMvfvGLu5BJohxahaQLmZj4xz/+MfHYxz520dT5n//85xO777576YMWA5dffnlpRy644IIuZGKiHeSUctDu1O3QKqusMvGzn/2sizU4Bq6QPPrRjy4PcNlll3Uhw2Xrrbee2GKLLUrmxXHd6153qUZHRxwV4Dvf+U4XurC0o+AlafjrX//ahS4sn/zkJ5ekoSbCaoXkgx/8YN+4c+Xkk08u17z+9a/fhUwirNXKlypH6dHhjSvve9/7ynPXz7zbbruVsFohCSWlHcF0IaPBG97whpIuA4BRox2Bl7Sdd955XcjUCkmEXXLJJV3I6EIuIr2U+1Hn/PPPX5LemgirFZL3vOc9JUzZLQaOOOKIkt4111yzCxltdtlll5LeO97xjl3I/xQSimDdDgl76Utf2sUaHHOesuEIxqwTeP9GO/porrjiipGY9+P/0SoZTatVdyFNc/vb3778D7Mg6myowxeSSMOw74+p8maY8Bkx/xm0ymbzzGc+s0zLjSOmD0wXcrAOTFV5Zw+ijEZBdvsxqulCv7TNRP5H7Tn6EeldTGnF8vJ8sZYDFmt6I6xVVsqL9AJ9KIdY/peDZM4KCb8M+3UEFBRe/l6ONgpY7WPHylog6qVNyeKBgls7WumwvdGWT8k4YkWYJdGWngc84q3ASZIkWSg4ztcLO7RDBoeD3odkoE6tMFqloFiuNQpLZTkCatjrUaaOjRVHZzZbLHniTGm5qReY1XuvDBvOSJdeemnxnD755JO70OEjn7zqmlBzHF4RuTjiiCOac845ZykHN85W++23X3PCCSd0IeOFvTE49tab8+24445FBpXzimDZNoshS8t8W5a8uMsKKPsdWEo/m9cCzBZLFrfYYouyhNxmT1YNzBZtFic9TnuHH354FzpzKMh3vvOdi1O/bQZqp+yFwhYHVgtq1j/96U8vsQYvJJaaW65vNZ7VXxwlZ4vdm71nxXL2FVlMYNXeAQccUJa8s9bPZnPMQfGOd7yjefazn13Sr84NAytN3/CGN5TVS1Y1rggGRSwhYZmFAT7HWIsPBsnAFRK7vtnPw2vUfR42GiZLSI866qgupGme/vSnlxe6WaHB03g270JR4a24kW1vectbyrTBqKARsCLDrqd2mx0VLEO13wshJhuzUUi8Ot/qGmXmLcz10lcrpnR4NrEbR7xgjwKhQQnIrYbe6ETHR8GbDWRDx0tR9zLD+cQGd6ZKLb3XGMaWAPMBq9H97ne/orzpyB71qEd13ywf8kXO5IvPL3vZy8pr1Sm/s3ljshVj9i/RNrDaSc9CQx50xDj99NOXWTa/EKjjBhCglJp2nCmbbLJJeWHmy1/+8lIG3AEsgbeJYr1PzPKw8Ze2guxJz2xesDooTjrppNJmGQB/6UtfGsq0DYXINgny1NYWs2GrrbYq+3NRsg3ADWICn63WoawMkoErJCq0xsHbfzUMw0bDS5PzP7C9tvmwJz7xiaWRXGWVVYp/QqBhUhD1iM6mUw6CbYdQ2eZ7y2D93iFcg2jDLt8TxFoIdSDOYx8Pn8X1G/eLuH4rrspU7/khzHfuFTh3Db+N6/k+0jBV3Pq6EVcaAmkihLOJK72e2fcQF8J89r3r+d7/iOv6ng3KQbjDbqXSb/mrESt/oL333rvEgw7PcrRxVkh0agcffHAXMvmeJaM9CgllJTY+C5nsVz4RLs8dPstXZdYbt7csg37XXV7cKFffuW+/uFHu9XUjXSEjgbjCanmMuK4rPQ7fC0e/uK4pvoO8qdf2edEAmx4z0KDo6khZXuq02UDK7/2uru+QNufuIX99Xz9v5H3kjfMg4tbpnS6u8zpdddxIj8/yrN91pdPv47p+2y+usHiewLlr+K24zhFpiGf3vWeX7xHX/8g71673qnLuO4Mqm3BZZmqw6FAPaoXWNfUzMR0f6Yw0uK+wKOtIg8/+x28wE5nuF1c88fvFdf06DZAucR1BxK3z3HVnE1ca3MN3QZSP3/emIcpBmPwm056r7u/krcG8cqCQOLchZcBX1J4lg95OYKAKCScXJkJ+G6wjrCTDRqZKF9O+0aVtcjXkoZAosMMOO2wpLd7I8S53uUuz++67dyFNMX/aRpfmX4/wKV0KRWXRgdjzwR4bP/vZz4r2GBWWANDU7SvBLBwCR/M3CrNJTQgfIbNFu9FCvc7b1JNnqS1PhI35nkmt3qSGJcc8Xz1K0/AyoYpbOyPxqeH3w9QbUAZ0etKw0UYbdaGTW5Tbq6UWRGZyIzPPxjyrgnheZkrfMetFGGXPNaTVhlTylJIXFcdmOyqAkby0mqaRbhYSZaezeNrTnlZGsUceeWSxVo2SNWiQkCdywcJHFg888MBiaWDV80JBOylqkHWayu/ud7/7krKspwt87xrKPMpSWdhxlxWgLksNj+nNKMtAWSo78h1oyEzFRFkGTOTagNp6aHQrbeS5NsHbV4a811Of0kR+zU8b2QVedU5OyEdgmsR+CPKC7ATyR2NbWwhiB9vNN9+8NL7qDYWWossXToPrfqYLKCQaaVON9bSHDRY9r7zRvmlL1DP13buHtANRt5WfZ5W2CBPP4cWj9duYlas2yOsqAmkVV/2pFQJ1Rr2s5++1I+LaTC86LHVOuyW9dTsirjZK2xBtjg7MiJeM9LY5rqs+BpQJI35xyUnUbWVGmSCzEUb2lFu0Odo1skmWyJQphUCYNtogT0eobLR3fs/6K+8D1ihTIjZWlM/aCPlP9rRd6oL7w3XJurSytsB32iy/EzfQttm3isWs3hhPW6gM9QuBgZL8iVeMBGSP7EhPoM7Kd76VtZwaUJCZWk5ZhZSPaZa6rzGwpsCZmgzkNzkJ2QtM95Ll2pcz5NQzKB/p1K6a3lenbAIauJd6qf0lq/JN/3D66acXi7f4FJLYvHFQ/E/VGgAeIirDqL2B1W6XBEJB1RBMmngtaHxgFORznvOcLmTy7YYqtxf21btemjawhTdUaIWmsGn1FJLQOgkzhYRjkEYs0BCodApWh6wRJQgqmUanVhJUbnF7FQeNg0anDtdZqLR1mIqpXDQ4talNZ6Fhr+PqFFRYjV7dsWjUXVvcGNWJq3HR8Nb56P4qfFxXHqhAKrxOwYhU40pmVDLx6y2idRT1ey3gXJxxfH/NVOisNPb8EuoOWoems5SnFD/5XJdlNMgaWR2/hrMuS42kxl9csuV6ypeSIW6tJCgbSkaUJdxXQx9lGWggyXAdl9xqvJVz3cFTJmoZgTB1VSNdd9DuRd7E9RudNFlyP3VQhxPomCi6UdfInueKBpkll0LCj4xZvR/yzwaPdrAM+CtFvSS7/lOcNfY6troT09Y4r+u7NlJcfmjh10D+Ne6Uujof3F9cSmDtA6EdoVjWceW3Nkc7EsqLdojsaHPquNoZeSYsFBL5Kb29bY72RZ4Jcw/5KK6OVJtTK75kUGda/548hvMjxSraSIMSZVe3seSJktEPeVHHdU2dI785n7Wbriu/PJ88D/mXL+oP2at3giVj8LuQf20L+ROv7sylVX7Wz+aa4pN9CkxAzlyrjut51QEdOcUsUC8pHXVcA4KQ03pQQM4oM3V6KWuej9JQK/r6BG1FLf9eySF/tAHabn0BtwW7Xvf2dywgrlFjQCgfXGe++J89aADQfgklPLCMGhW8B8ToWgHMBwrVfJ3GJSo5Z04CJyxMZr5zHkdUGp9ta6/RjTD4HEdQhy0vfKZh6BfeLww+a5SMEuPZ/J/q2RwaUvmBiKuRmo3DmV1Z7VY6ro6s/WDJ46hZv3SwRofDylHnud1cNWrCZiJ7OmUdQoT533tEuLqtgQt64zn6hU8VhuWFRXh8NnWlQZ1K9iBenKtbGmNh4mrY605ktuhEKBWuHfVdA65TnyoNdVyftQ8sV+IEPscR+KwzDDN8MFXc5YUHdViE94bV4TpKA4KZyJND+xAv44y48ix2GB4UOu3aMgRWLgMlYVPJSDyftIlPOa+ftz4CnylkNdPF7Q1Db3h9XodjqjA7plJypno2iBfnLE6xC7m4FNrZOguzjGiHWA3ni/+V4AAwYoiGSiYYDdRLhYaJ0VM9Fx+o6DrVemRuJGBEWL/3hrVAuC3m6wrl90Yb4oalhKAI1+jRhoU7hxFTxIMO2ndMbiqQV/ETePlo1FS/XTcaMw6iQeS3zp4FJ5D/rtsb1zU05hydAiMqo4reuATX85pfD8TVMIobzqZhgoxnDYzo3S/CjGSMuGAkJpwliNZttO656zzX4US+Be7ppX8rE8qS+boXeaOTVSZGXvKTHICSp8MlV7aUF1cjVJePDhHCTANqbJSXcretf22dcg/yzzcMIYvSppzrcou4tTxBXM6GdeMqLlnrlT3hplHquEbBEZeJ3IvYPL8wz1pbaTyD+PG8LGrkVFxWFyNCz8CCIK2OXuQZBaPugNQTskqWmc9dnyLnutoF1tO4p7RHnEBbIa7ROrM+5Vo5CNPh15ZlYa5hRWAgzcKNUrWvQdQTCnvkmXgOz8AyEcQ1TIH0xpUf2p1APgqX52TKgI71QBhFoH42vxMeYZ5VfgkzHSVcuj0nS4p2pJYb7Z+wXjybo47LuiEuq0FY+VyfJTzKXhlrZ0Juos0JyBhLA0sEi3GsTBTutSe17AlDyD98L1xnX8cl59LQT6Yp/r1xTZP2i6svqOO6pjwVl/XjEY94RLHyic9KWVte/I6FMJ7X57CuslCGlV9fQPbJcJ2/LC+9ZaHe1BbL+WBgPiQST2CNniBDzPXXm6kMg/AhkcGBaZTwIVHI5t5C4KASOeo5OeZqwuO5/A/E88z1KJ+VSCWQJ67rHuh3XcIojkYiGsZo7DWEtaORc41YfA/3cC4NTHiBihbXDaaK67pRiYKIK72eJfBb8Ry+kx55Eo1G73VdQxy4psNvPae4zl2HGIoXceH37m2uNnxIVJxAB7sy+JDUnaU3VocPCR8AnUDIrnKQn8pSfpId+R9yRSZq2RVXfkfZhXzHd73l7vsor5AX1xdW1x/nrtNPnqSjLuN4tn5xI01BHdezhNy5XqQp8PzO4xmknzJM5uJZ/NY1/JYCZvpBox0+JH7bm15IX6Q38tzzS5OGP9LhutFuBOK6XtQjv/db9xG/Xx1WD6RVfN/7LKxuG+LZ6jyTBw736r2uNMhj90fkee91pV8++M51XN8hXc7rvHGuHYwwz2R61++jfKQHkWdxDp+lxz1rHxJTIN4kL34Q+ei6vWUR5yH/wqS5V/6lz/fwvetJg7A6H+EaEO6ekX/Txa3DIp394rpnbz6KM1VcYdG2hnxG/gbywhHl7tmjPa2vX5d/nQbn/HYoKeFDUg9MPYu2Z9A+JANTSJgeNZ4EMKCdGUkMk+UpJArEvCX/h2DnnXcu+z3Uq4RM+VidY9RWz+PrFKzgqV9VLt4ZZ5xR8sN8nYJV+OJaJXLooYd2MZsyjaTyPfaxjy3afjRgRgBGXLWzlBGEo9ZSCSTTvJFYb1zzt7VZmpAZUbIyhFUDOnzlZk44ILRGMa4rfsA/gRLF4kTAKVemXQgu/xpOZgEHYPOxRtA45ZRTym9Z0qyakc+BZWSuXb+Q0Qj9da97XflNKiST1AqJkaoysItiwEJibtuIlExqTFj7OMSSxdrRjpVM3SAjzLnRoPEjUebKPlA2GrXa4une0iJu7XwnTANZO4qTa3JG7nTagXuRyzquzlV6yH+tvHsOjTBfC/5Q6i4ZYGHTYfkcmN5ybioV6rL6oF7Jw9oJlwJC7vo5tYpb+6YY4UprveKAv0r4VJizD5O23xqVa0sC7aF6zkISU2Q6cfVE3tR1WB4Y/Rv5RicL5SudtaVW3oorDfIImnZ+O67Zrx3h1xEdkvaJlbg3Da4rHdoc9dA1PT+LMdlyBKwrHJdjvwr11WfPRvZq60RYpeVz4PqmIqStVkjIuja0toySR+0DywbrQMCi6/c6Xqvv+MspH9Pp4tZtp3sZPMpL/3Xe5Nbzyod6kKkt9Oy1/6D0ynNxe+VUXQoHWri+uPK2VvjCwllPn2iLybd01YqkvPBbVnbXUnbKgjxYbl6XG/87vkdeyoknP/nJ5b+4HOTrNp1lVP9XL4CQZ+ROP7aQCsn/VKo5wnSk0akxHaExrSvTqKHyct6rnTEVNGGoHY2YPYUr5FoohfU6o+lwoRCZDX2nwoMA1XFt4EPQCbHGnsDJMw2nNNSVLVZF1E6BFAe+OuHNH3AyJbR1XOWjEZSuWlEhfCpXHde5jsWz1YqKefI6rs+EXJrjWYMYLUaYBkRFk+d+X8dV+aW3DtPRJFOjXmks6n1K9tlnn9LQKzPKh/zUISgHSm80TKBIMwHr2HTeGnGNoU6IjOtMAx0pxaGWER28xptM18oAhaJXnsit8iXjdf1xv97rkjvh4taNuqkn9U1nDnFckzxRvuoGVcekkwh5kkb1XAfwrGc9a6nVQkzj/XAvinLt1EpxIed1nlNgDHhYWOR73FO6lEEd194Upi3UDQpldGTKTDnU+aBeeUadqLIJhOt8etsGdUvaQrHU5lBIdGDCA0qDcvP7UF6UAVnojWt6RdxIl7IVV5tFfmpHSEqvOhvP7zl1xDrSRz/60cViHjhXFnXeaJtiGrFGOUhnHZc8moaz54oVlIGpR4oyJUHd4BgtPxym+Nw3kD7tpLaTckYxoOjIR7JXK63kzDPX5UOZ9nw67lqhIOuuVcf1bOJSbmvFgaxr++q48kX9IUueI5CPlOSQf+mUXnljM7/aYZdC57dRFtInL8iZaae6/ae86P/q/O3n1LogtJk8ELytsa1QE21BlpcJtZrpRJsJE22F6GIMh0c84hETbWZ3Z5O0WueStxG3hbnMiwB97w2UNd4w2TYe5SV4NW2nMHHooYd2Z5PIi1Ygy9tw3/GOd5SwtsNmiZo48sgjy3nw3Oc+t7wsqm2oupCJ8nK9tgKVNxDXHH744eUaNa1AlvT2vuioHV2Uty7XtIrLRCv8E695zWu6kEm8OEl4TduwlJfXtSPMLmSSVhNf6oVXaDvBkoZWsLuQSdqR4UTb+XRnExNHHXVUeQup37/3ve/tQie5173uNdFW1u5sEnknz9E2ZktdC20nM9F2RN3Z+PHZz362yGfNAx/4wIm2Yy2ft9pqq4lHPepR5XNA5uTZDjvsMNGOQkuYOrjGGmuUl93VPPKRjyxy5m3BQTvyLfW37aS7kEke8IAHTLQNdHc2Sdugl7L00rOatmMuL/yraUdTE21DPPGhD32oC5mk7TQm2g6wO5uk7WhKXC9eq2kb4ol2lN2dTbLtttuWtz5/6lOf6kIm0f60Skd3NlHe7EuGXLcdPHWhk7Sd/cTZZ59dXkYnP+LZ1Z86b9AOEiba0Xp3Nom2RF05+OCDy5uBA+nystGa1772teW66nKNNLQdenc2iWu1A5SJtuPrQibRXvS+FfyYY44p120VmC5k8k264rZKQxcyybOf/ewS7vug7dzK73vf9N0qZMvI4POe97ySTy9/+cu7kEm8Ld1zBCeeeGJ54aN8qNs3kFsyWdMOypbU8Xe9613lWr/61a/K22fdr+byyy+faDvcidNPP70LmYTcaxfazrnIMtrBZCn3M888s5wHZEc7TY6DdjBZ4n7kIx/pQiYhd65ZQzbE/cQnPtGFTNIODCfufve7d2eTeBmpuOp0TavMlPpS0yoTpV7V6UKrnJf6X9MqUqXtbgeVXcgk6nCrMHZnk20xmZHnvX0yGdOG17zlLW+ZaBW48ll786AHPah8DsjE5z73ue5scPzPwWCO0NBohm3FLpq3URkNstbEVjZo2TECWh5thes+LT5mmnYWn3oaIJk/wmlyJsw03igyU+trODfOJ+S7HtFOx8pQ303j1VaGhaTeW2Q62j5wUZfFTOVfn7wYnnPgO7Xy/Gaaqz3Ah8lMnFqZKevGKqYVmFUDYWBeq4UgTMb1HDpTNjOjg+nOPKBsjrh1pyyMidHvpQviuh+Taz3Xx3zru/i964vDFCi8bgyFmUapf++cKRB1GvrFNZdqisc96meLuHWYtAqTh7UCxrwrfXEv9xYP8lBeBr7zDHWeuxfzsOunD8kktQ+Jpb58t3SEgTyP+OSJ/ClL4cqyzl95LrwduS1RSiJur0yLqyzrsHCUU5a95a4slW/Ug4grPSHn6Ffu5E65a0DruOTBtWq5Mb0kjOz1xq1lLOqT5/KsdX03cLI6w5SPvKydWqWrvq462Pu87gXP4drxnbrdL648Fq+ug9oMz9vb5kTeuA6cu65nrssiwiKuz+K6Buq6La7vhIkHeRPtS92ORBrq33sGZSS9dXjISISJo8zjHsuTJ3Ir3D1rHxL+Kr1+P6aqXVt59rYjID+uLY1kT3z5UpclORVfmUdnHXGVz/Jkz2+l2W+18YG40qXc/cbhXsqdTNVx5Xm/Z5A36kotp/3iagtCxsQPxJWuiEu+XFOYa0Z9h/wWXsupNMhzvlgL6UOy0iskCtiSyboh4PuiUtZz6Ob1NH7m+uqC1yFo0Ou45mIJAEFXcJbHyWZxFXTMuRMMviLmAaXBdxxUVTTCQ4DdSwUJpDeENcJDuChWKqFncU1zv64biG9JsnjSII60yx8CXDs8akzMB8ez+l66QHhV+BppkN5AOoVJS8x5yhdhLGkEvPYPYFHz+3penM+AzkIDmgrJJLVCwieCTJGxgJzFOZ8i5auR5ScUCqaygc8aodrZkAySSTJCfsnQ2muvXconGmVyEGnqlU/EPfwnJ3EurrqnYyGnzvlDSHPt/2SeWyNpbt69A/LoWnwqNPDkl7Oh+/drxtQ7vgGwUoPcub98qPPMs9hjgWNsrZCQVemv45J98ev7OdfJyGftQLQFOtJ6cOIQV50g53WHF20OqyqZlw75EEqNZ4z65Tzyv0ba3CPixbm0qe/u657qu7zQNvge0qmM3bd24tUeaff4GCh3v5M++S8N0R4FlKyQJ20mWdLO+W2dj+h9DnlKJpRPrZDwF3ngAx+41O/d03P1lqXnce5a2mrpIUtkp1f+/Zcn9S6p8ts9lYO8IvOuwRfHM/v98uTf/aVP3PjvXvLB/fhz+E++tMeuUc8kxL045IoX8HdxDXGlS7loI+t2t8YzhP+fPNSGyzPpjzxAbxnCOR8h9WIhFRIFN1DMz5qbGxWm8iHhu2HetRWWefMhMR8bPiOtABf/D3N1wsxztp1NuaY0tMJfPvvPn8J1d9lllzKfbY7aYR7fNXw+44wzyrxs21GXuV/zk/63jVqZs20bljLPZ+7woIMOKr4grVAu5UPysIc9bOKcc85Z4kPSNoATp512Wnl21/EM8kK6lKnnbJWWMg8ZaXLwdRG2++67lzlcv3P/dqS0lN8B/5MTTjhhVj4k7v/CF75wYv/9908fkhZzyOazjz322Im2YZrSh0SZhy+EOWPlqzzMQ7cN7ETbqRd5EVYTPiSuqwxbxaSUJ7n0X/mTj+OOO674BLlW23kvJQ9tZ1vu87a3vW3iVa96VZm73nrrrUu6PI/rtg1riSPMuTpzySWXTLSNe/FbIE/t6KxL1cRE25kU+VDm5ufJuGci92SEbxJ5iTSQldqHZJtttil+VuL3+pB4Lvnl920nXvKWzPk8Gx8Sz3DIIYd0oRMlfeoRefefr0zkZdvpdbEmkR/aA35B7qFshGkH+MOoW+rZ61//+tJetMrTkmd1SJP0tspU8d141rOeVcK0F8Llp/TIF3knXBt41llnTbSd28R5551XyuaZz3xml6KJibZTKn5G7sePwDOSDdeSLtc//fTTl6Rh++23X8qH5KlPfWppA91vpj4kZEK7rKxciwy3A8dyv5rl+ZBo284999wSxofEvaTf8ysPdUcey9saPiS+32uvvcpvQlbJmEM+8PXh3+P55Ic2uC4L9+fb4bN+g2y2Sk8pd8/hGaONdG1+l2TnS1/60kSrAE/sueee5d61X1SrVJV0ua665FlcL66hLqpvkQZlXfuQtIpJkWvXnakPifbab7Q3i86HZLFhsyGvX2/zoAsZPK3QFO28huZvWTANmBdzW7AlnCXHihsac7yzoRWeoiG3wlVGT0aEaAWwjNyEGS26htGdJYm2vTey8J1no8W6JwsDTdco7vnPf37Rso2uLUOO98UYKVitwBJhdNlWnrLCoBXwsjrDFIF7Rxrco+1QyqiKRm0U5bdG8G2DU7T4GnnhWWaD9LaVtewTkUxiVZV3gBjRTgW5Ye0IyIglgDzp20a5jALJh1FT26iWEbsRmREP2bRU22iRHFgyyYKh7NQbZRuWB7QNdZGHOEKmxWdpsTun0ZZw7x9S76xeMRInN+SCzFtKq860ikGRRxZMcirMtaQ5RoVtZ1jkwhJb92QJajuY8gzu1TayJQ2BvJDOfqhLVhqoN/LEM7q28NmgLtR5bmRsabvVZeoWa4NrGlGrt/LQZm7yQZi6agWM61jiauMrVg67ElvBIq5ztB3aUnke4T63HVeJa1t8abAk1DOxXEtHjO5ZiduOt+SdMvXs5EO6yIhraRuEs9ZYsaEd8R4p94s8FtdzKqsaeTHb+q6NIx/e9uu+NrNksSIns6FX/smGdsymYtotZeH6/mu/ohxsW6Dd4gvJosLCYMk4q57nlC5ttbh+j7ocHJDv5LZVPspyY/KqPfVsXjeifFkAXYPFibzJX+n2hmTtnjKRp8KkmRXLakx5pEylhYyQBfXMvZWdlUQhD4G8iLTNFOnQzrjnQrHSKiSEYb6hUPQqJBpljaqOgCAROMJLOWGO1yHEUjpmXBWDqcwa/5h2srbffhMaMDu5EmoNmb1AfMc8RwBdV4PgHhoipmT319gzpep4xHPuGkyJzH86qBBe0yyW4lnK7H5M+Bo095ceO/3Zg8E1NBymZ3RermMZmjQEK6KQBCpcMokGCr2NTo18rhVCDbrGWJiGNlA+zpnXdTohN5Z+2l/GlIr9SjTcftuO+IrCQMn1in3XJXvkIQ7xlD/5IDdkhCyTEdeitJIppuno2Cizpgw1/GRRGsgZOZU+nSaZpFSYqtK4S5tpEWlgzrYMlImZDIbyHkjTVA2yOuFQX0GpWRE8R53nnsNzUvw9u2eKZwOF0lRaTENS/ij92gZLUu3VIR8pDvYrssvtM5/5zHINz1fnubITLp/luXw2bR5h9k+yFNrUVXTuOmGDFO2CDhvyXLpMzcgPypH0Uip1sO6jvruueNobbRSFRDslPJAXfj8booxi2ktbFOUzG3rlXz4eddRRRSF0eKY4tEuUfAqvcnIvbRc5I1+Uc/lhetDeJpRXgz/1QF7K37osKJdkVhkqC3LpOq5tYCW/1AmyTY7ls31alIc2WBlIl+uI43eUJnVFfsaUmPy33FsaXJ+s8YWilFBoauSF/mY2RDsz2zKcC1O3aGOOTbu8OEtHZwSjYQgIBOHU6Abm7AmyAqetBoRBw1rHpRC4hv8aSt9FI2DjJI0rIdcIaHx8Z408nwgCSgCda1hp4wGlhZATVJox/F4jrAOJMLz97W8vlgqjGRquRs8zqXjmFnUwMDLWyBNo+UHz1wgYhVo5RfjrDcw0ripmbAylE3EtypBRAJ8HCpdn99+zRN7o9GwKJR8pUvIooOioxHU+2vtF2lzfCEKDnEyu5tDZG1H1yqlz+aqz1gj7zghMmLLUsZEHSiqFVJnolISRR52qsicDypI8QgdBOTVSD9QZvyd79VwyOdUgRsMJDafOxjU1voE3a5NhjT+50pEY4bMUapxdOxphdYY82E8lkF4dJH+B8FXSedprxIgy8kaHQnbliY5T/tToXFgD1cHDDjus1DsjYh2K3wbqnvyp81zHT6bJvOvGd/KcJcRI034e0qp+aRMo7fJWh6NDomDoMJSFNHgNxI477ljqFSsmZQDub0MvMlBvzqZTdQ8daViCon4J42sVUE60eRRObYSOR5uk3ChF8t3zyEflwJeJtSVgOXMNzxBp4OOhs1bn4/kpqtpK19Ju1XlGboTXYdoA5a++sxazjshTe1wp8zouWVSWtsSvlRX5qM1xDf/lOf8RyAfy7946/7A22JNGOchTMkoO5QflUB7KE7KknbbvSaAto8BTpl0voGy4r7IMyKgBnXwi04ENIpU/+VZPlYW6R46kQT3134CSEmQgrZ0O3F8ekX/tOtQllizPJ8+kW30UT56zerHcBJ6xtx0h0zZQM+io2//5JlfZtI2C8xghQAER9qjY0FlGnHpkqoAddVxC4tx1aLrxO/E0KBpYAqIiCVMJxIuKRYAcETfwG/EUmcYrfo/euNIrTnQoiLjxXaRNxfVMvc/l+0hfEHH7Xdfz1nFp5fIhriuN0tzvuvLbd/V13cvvdQgqmJF1OrUuu3V8r+zKb/Ijf30WRmaUu/z1HfzO5yg3/4WJG2FQVsqnV56UZy2PgbjCa3mKNLjf8uJSlCIddVzpEFY/b8hUb7hndc0Icx7P4De9aaM09Ns63j3ruCG7vfIvLnn1P/LNdT2LuNLnkFbXE07JUKfVW9dwRDvis++0TX4XafDZc7i27wJ1rV9c8fq1DfJFujwPoj1y7dqKGXHrPJA2iNubBs8eeS4/HP3y3DWEhywG0uCeOsdwao2t4/v9vl9ZRn7LS5/FdR4y4Z6eO34f8ieO+zsPOY08jOvW95JnwlDLXuRPHVc+RLp64/bWCbIR5/U14jnq38d1Ucd1DedxHedT5ZnnVZZ1mOc1LWQQQLGiwOQqmwGwPIWEANoWnqUgoBnT/I3KA9op7Zp2WU8fGO2Z62MODOxyx0LhxVnm+ezuSOjEVYCvf/3rm+c+97llRLLbbrsVnxKafgiPiqOzOeigg5baZt48sIpq1LHHHnuUeXiau5Edi4oKHDDPG0m5R0ADp/USTs8epkNzmkyNOsBAntkB0Xbw9e6GTMZhig9o8+7vu7DSGNl5do1bbCVtJCJP+BHwS6i3PNcB6Gh1DIG8Nn9OwUuFZJJaIQl/AGUaGFkagRtda7jMWbOKGWGyqNifgSySwVCMjcqMqozKyaKy4EvEFwNGd6wGRnLkJdBRkEFTjHVZkgVWhNrvh8ywSrK62U0z4ANC3lkeQe7sNqtxJMOUhCDmxo3OA2n2jOQk9p5gjXENo1bPI49YA7QFZFGdIzuBaaipto6Xt7W/jBewGaVG3sCzaZzVQ3mlEYf89luvyAcLnzqoYzCqNqL13EztfsvCyGIEI3d1SfOsTFmNAs+pPFmBAv4RphLUy1A+3EedY9VSfoHXMWjPtNHyUwel86H4KzttQyBv1DsWjkA8z8SCoY1CtFk6t2j7jeQ9JzmQFywugXqu3SBnAYVG+xZWllBI5K+80WYErBjStcMOOyy1OlCY31tBxLrguU2paD/IHSuazteOuRRCSov20DVYg8ic+/DFU/egfJwrd9cP1E/lxQotnwMyo90744wzupDJrfJdW1slTwI+KxtuuGHZvh2RVvDnYdUJWCqkP14CCO2svoyFz/OCZVm7rQ1QL8iSPoovC8s0a1ctT/oV9yGDgTxnKTv99NMXVCEh8ANlsayy4YmMViGZt1U2PMF5N6NtFCl+ZZUC7ELZNgZlRYFrtB1DCUfbAZfveNXXxE6tnqcV+Inf//73s96ptR3BlGuIzxMdscqmZjY7tX7zm98sHu+xU2vbEBZv8LajK6sa0GryJT2tglR+P9NVNvIcrZKbq2xarLJplYfyue1wp1xl0zboZaUAeNW3ysRSO7XyoicHa665Zim3tkEq92o71BIWK3QCq3LaBqo7m6TtpIqMtA1iFzLJXHZqtVqgVTJL3Jns1GolhbitQt2FTJSVLuQxVtn88Y9/LM/fKh0l7nzt1PrJT36yrN4IyH+9U6tyaDvsUl/FbQc25X7SLg29O7UqW+GtEtOFTOIa6myNlSnS++cV2KlVmVgh4/dWxdRon3plsFUGysqMdsDRhUyUPLNaRHqD29/+9uU55cNC79RKJrUZ6LdTq7aV/Gufte2tAlOe3+7G4rYKUxdzEitjPE8N2VBXetuy285hp9ZWES4rXrSR6leNNKj/NfJdGuqdWq2uUT7+o1X8SntshZY8n+kqm1Y5LZ+1N7nKZgwwoux1ajUaAW29LdQyrz1bjEpZSWJUORuMmsCyYoQ9H/BpMf8OIybIB/mRLAxGaCxLAbkzeg+MhI0OWQ9YwlgMlJURWj84ekZZ1riuEeSgkEZ+VisK/waWiJgugHyQH/MNy6tRfqCu8esIjGBZYlmo+BHwDdEG1FbBGpYQ30ebUcOiOShYMGpftRXBaJ6F17MF8j2sNQtNr/yzghj1B1YatkpOkX/WBOls+8PitNuPaM96IWO11XAukBdWmtraMlv4zrBckBmWIJDJhZD/QZAKyTyiA+awVxONZKv9F3Md0/tsYX5jNl0RJ89oMJjxwsQ3aJgQmedVsFohYSJNFgbTMHXnqLGtnTOViykKjTLz6yGHHFLCmYCnwu9rpQbtqLI4Lw4CnTfTNkfQFcVUqXpVd+LyQX7MNzq1uhNE74DENEdMzTLNKxcK/FToVEyv9KL+RlsyV0xrcVBdUUxdaOd07p4nGGZH2Cv/2j1Os4EyMHVC/imSlENxYnq5HxYvcH6t8ft6QcRcMEVtasy04Yri7damZJRFtL1kciHkfxCkU2vbGFMcNKyBxky2UBqCcBIyYvE/6BdXRXDu2n5HGMQxz6qB4UUNHTZLhYZMmkKAxHVd39cV2u/d37WjAdDJi+eoRyO14hOIYwTp+kbHvvPc0XhHQwlxVdDe6/aL65lcU3pcTwXwjO7luWLkJP3xO3GlIXANz1/nrfjy0HXSh2SS2ofE/K0GrLY8KR/5SE7kqbJThnxFlEHdMPned8pBPpt7V45kyj2VXSCe8ogGPMJck7yvs87/3mAq3HXqOuVeEL+WyUivuNKovpB56e+NG9eor0vOo96QrZA5ae2VPdf0nL1pU5coBfK616nV70Nm0S8Nrh3n0hPl4VnkRZ3nkQ5In/S6ZsSp64TfwzVqZd491DFhUV+UgTQ44vqeU1zPX9fhSEM8F0WTT4F01GmBMpG/dTmQDYd0ua57u57fun/cS77GPcSt5aku90A6xfO72odEh291Sp0HUQ5TtSMIGRYW7WGdD+4lHeKQC0oetF39ZE++eZ64X1xTOdU+GZGGui0TV1jvM0sDxFWmdXpQx+2XZ9IkbtyPAhxloh5Jr3xw/1ru67S5Lmo5F5/fDt+qdGodIDNRSDix1o06B1OOq/XyLJqxZVQcU2tBtT+IZWH1CIOzFqc+pjcdB4dBgsABj+DUr0nndEqgNYbRkBAgaXDderRo+ZoOWVzaOmdFTk7Cxa0tHkatHOg4kwUaF2mACsR8rPIxE2qUauGSJtNJHO9iTwBwmCT0tVlRA2J0a0mj62g4fGbKdH0OhRpe5eBanCFtOCTNgWXHKka9VM7yPGvtVa5USCapFRJLBeVb3UCpzmQM5JxsK0typpGp40Kek3VyTZ5cT11QfrGMEMqM8kxGOceBHIivATa9EB0ZWRBWl6Xfkh0yWr+TxFJEjb864ntKkSWMZFqdqh3IyaP718uJ5YW6QJbJt2vAc5EPzopkT/0XpjORD9HgQ1pjL41ep1ZEvYS87W0ydSraBNdxXWXmPwdCnUyd5+K4nu85HSobbYiy4txYtyPaHHVAurUZkWbxfa7LKNocZROdjXSKKx/qdkRc9UjbwGpAljiHWl5ramKqNieQfxRh6dVRRVsvnZ5DWpWpaSX/pdV3vXIqH3rzUlx5Uiskyp3TdP171/Wcrlt3rnBddUbbQ66j/MlH3ekqS8/iOciUNlN743fygFNnQE5D8QznaQqMvJReeRnXdi9pqp1tOeEqT7Jtuj2Qj2RHXM8pjcrV1JEp9VoJE5eyUTu6qrPySPrVHXUB8kUb637SqZ56VvIfMlhTtxuQv5yquQWkU+sAGaZTa9sIF2fAVtCXOLW2jX0XaxIOfMIvvvjiLmT5Tq3gJNUKbnEsk96ZOrVKL2cwjoStIlLCB+XUevLJJ5fv2gpQnHRbAV/ipHbeeecVZ8B0ap05c3FqbRvWJdtic2JrG72JtvEo50GrrBfZaTuRLmSilDkZ6XVqfcADHlCc6sgJ+UTbQJay5MDXNlwlDCvq1Mqpk0Pgxz/+8RJ3Nk6t6o/84ADZKgilnoRT64UXXlic8ubbqfW73/1uySOOmFAOwms4WwqXvmhL5JdzZVdje3Jl03aqSzntqlfqi+3hgxV1aj3nnHNKW9Uqlyvk1HrQQQeV7cUhb6PN0fa1HfvET37yk6E4tbZK0pJ+iFOr9O62227lPPC98uFcDG209Dt6nVrJHTn1TG1nXcLIhmfmEN4qfiUMZHhFnFq9KoTMckhXr9SvGrI1lVOrPoxTsd+QK+UbTq1nnHFG6c/SqTUpGm49j0xzrQmrRluxlxktTAfNl8YeI8KZQnM3YvDbVhC70MFgNMYiZZTpmd0rcC4vkoWBuZZlKWgbqGVkD0ZnRmVGULAc3eion2+Ta7BE9M6Zs3jEyGwukA9yuSLwPWGhYUFilZDWIMzXC0FvvtfWrcDoVDyWGLSdb/nPUtkPy5dr51gYxRvNz5W2k+ybxplg5M0hlkUcrhP5vpB53o/ecgALQS9kjmWBZVe5cPb2HL35De0Z6yGLRA0LyyDKQprJ7orAeszKyHrTe41hl8VsSIVknlmeQgIVgenNvh0zxZp41+11sloeTG1gQtQRDQrKlE4h9juQtrgXUiFZWHobNx1FvwZZOAXSHhawH0U7Qiz7WsSceg1Tdq18KHf7fvQ6u64ITNE6htkiDfZxOP7448t5r0LifKEa5DrfpSF8BHphYo/VNUzrOjtKYEyp1hi0mBqoMX1sp9C5YqpAB1y3UTPFVvSc12MKwlRAsJB53o9+8t+vvSPrBmZndHuG2DtFu2XfkV6FBqbU6rIge6Z6TOnMFS4C2uXZIg32yIp3oA1T/ufK0pNvKyFGgxza6gZVBdXR2+AsME+qcTGaMToJ/N7Ipo5rrs81eK+bozU/Xa9EsCmVkSliDt0cpE2jVBpzl36vgaqvG6PYCNMAGK1Kl/TXcc39um4dJi2uu/baa5eGXyXk02G+0jXquPxPXN88eG3pMKctvI4rzMhWvmgkHUYRKornEZc/CV8Tm0b5PW9254FRirnY+rp8KDxD0h9laWRW5xm5VZbm4JWJUbi8lecauzouJVi4EZ4RFqubjo6CTHF2rpFzzj+BQuNa6ouyUyfcw+e6DlBkhNf3Io/u5b0e/D4CviUhIyx3ZEB9EVeHZxlj4D46i/q66o8Gl1LlHg7PSfbIuLh8GcgomfNcVhLVy5vlYz/FgexJg3wK5IE8qtNgLt3v5aG0yHsboglzvzou3zDPJr3yov7Os/FjecUrXlFG4vx+XEPbwRIqrjzwbPw66vqiznkOiiU/ATgX17PW9zH6F06Jc0/122aF4rtOHdd9e9sRyovn0m5IZ3ynHMmKc1u7O7fppOf13LVFVvvg2errkoV+5SBdvWkgF65rIzj3CciWczJKDv1GHXENaaqvQT6UFz8l9WT11VcvyjUlRd7y4bBppM5d2qSBFc4zuabl7u7Fd0RZxbUpMu5X34tfifTarJI/VqCeqFPi+o30ew+RuNrK2lJJ9tTD+rraZ2m1ERwfIAeFSfmSW3EpuSEz8vd973vfUv4x7tvb35HpekC5UKRTa5vplANCGBA8AhFKAwiec4VXd9D94hIyjYK4UEkd4vqu1lbjuiBY4qgY4vuursQh/L5zbfEVn0aBsEZDBOeeSdyAMDr3nTS7tjgaF8/UL27vszkXt9bAoxHxP9LgOVy3Ti+k17m4vgt875p1GqRTXmg40ql1ktqplfOgabJadsV1Lv+hjOP3ZK9uZMRRlsrCZ3IU5SDvhfveNXyOchNHOTpcj0z4r6wgjvNaRiKO7+pyj+tGuetwfY5099ZL9MoIOZOWiBsy5tw9XUc8/8mnelTXYeGsFQYFFIVwapVO6a7T4LqR5sC5OuIeruuz76VDhycNgbjSoCwgz+VT1Bf381t56XrSINz34jlc13V8Dkdi9/EbzxLPJp7D7+u2IdqRuJ52xPVcy3dRjqjbnEAaXbO3fIS7hrjSGzJU500Qv40yhbSKI29qp1bKrn2bevOx33VdTzzXQshuPGcdVxxp9T2kPeQ00i6N8k56XcP3fuc+wuSNuOK5F+KZ6jyTX+7dm2fiOiJdoXSH/NfpdS5u/Xt5FemPuPFcriOu76O8+uWZuPHcgftYZWMpcq6yGSDLU0gUBk/i2nOZtmkb3XoKxWjC5j9GNbV26Xc6Ra9pDqwFZ/LWoegsmbm95ltc0xY01PAd8b1r87BWYdxXkRBM6Yv5WZjfpzUz7YnLS980iREhb3JbYvO6Jzy2aCdMYVWBeK7vmkYCGmEdntGGPLIFt9Gyjp7Qei7bwUt7YFM2FqC6fC0N82p7W+3HNuZGo7H5EMG1bbJpJsJtLwbWIAIf2AeAVcboIFAuRuga21RIJqkVEiM48mub9ECeGRErS1MYth3XaPGY13jWrzgghywKytQW02SQLCgL28GTI9tos6LppFyXMu2zVRnk1P2suGI1sHmaVRpGrcrMNV3DQd5sQEVO6pd1eQWC9EknpNvoVicgruWege3KNbDqAIzUhakrtqCPOmXkbitt+eMZbbXt/uotnwdx65VjZFG8flvHy1uWosA24aZY5FGgLrAAqq/k13/vXjGfr54y/8t7KFN1Qx30Mjpbs6sHpnBMl3lVhI7YKNv29KeffnppP8i9MjQ94nnUdyNraVFnTaOxktoWXhvgWSk7pmT4RZhaCdzXfi0sJVE/1UmdzEEHHVSsJYF6yyIQo3odlT1rbE8uv2LFIBlV3z0nOXFNbazykSb5cZ/qNQDqMkUjtsqH8gyLXq2QaLvlkbQE8iNeiFiv5mIhYhmxrf7znve8YkGWHnkgP+r2lEVAPstXbbD0KEsvvFPOLHZkkG+GOue6npM8W73mt/qDXvnXrlJu9AnOlYVyJ2f6hjq96pHyCj8idZGVQ7low+u48k8fEpYM7aX8pUyQuVi95pm9XkH/QFbIn/pIoSKf7sF3KJBOfV79CgoWH/llD5yFVEg0KgMlV9ksvcrGVtitcC9ZZdMKTVlpErRKxlJbx7s+T/NWeJZsJd0KXHkGYa7x6U9/eomnt2u1Wu9E2zCUrcJjhYO0ejbn+++/f1mFwyNbeNuBl5UIbYNdPMrbBrdcw+qBtgErv28Fv+SDc573VjxYhdC7yqbVvMtKIteNrePBs9uzhtf8AQccUFbNSG+uspkZc1llg7aDLh71jlaRKCtEaqyysVIBZNBqlFaBLV77ZEW9aDuokgby3DaSZVv2IFbZtB1WWWmlTNUT93UNMmllQts4F09+abBFt2uIZ4UHGYxVNmgbziUrHTyHNL7zne+caDuEpVbZkEWybSWB1Qv1KhTPQXZjlU3bwU60ytGCrLKR/1ZJwHPLt3rrd6tshLcdbVlh0XYkJVwa1Pcf//jHZdWKc2XikI/SFmgHDjvssHINq5tc09bv4j7kIQ8peeo5XUN7YbWV+qddahWvUqauoV0JbC0urjxvleCJE088schNvcpGGya98l3+1lvHa+vknXtCfrbK5tBW2cD1WyWnrLJRPtqpGv2UvGkHX+XZW+W8rNaSd1ZvkRPPIK+khTyQpSBW2bTKaKkLyl2eaPccrh9tI/mXD2RSf/HqV7+6rDzcYIMNlqyyAVlxP3Ij/p577lnqldeEtErBklU24mmbpU9da5WQEg55J62xykbZq0NjscrG3Cst1sjKqL8erdUYUSfL0uvU2gr2tA5kbUGXkUArlGV0RHM1QjNnacQAo2bfw6jQZyNJIxlziuZKvXzLtYySaeHu6XvlF9YJIwOjL6NksAAZTfi9efxWqMu+Bsx9RnI0edo7jdzcuhGEUYgRmpFRjfu1DWR3lk6tw4A1IxzzyMh0dZRfkdGUkbR4/nPwaxvcYmkjZ0bH/KJYT8hEjZUg8cI3+8vwJ+K7wTLBgsFvgzyxWBpxstZxxDPSdRhpPfnJTy5+TawERoiuKb4RJzk1CiVzRohGpUZuRvS9eGayHxgd1tOk80md5/Ac9XkNB0nz+6wTzOryyHOpf+qqOt220cX/wosFe52MWRyNalkPjYY9M2slqygrg/jKXR1myVCu6rW667osOF6nz8LI+qq+ssBIj1F221EWy5G4yp11jj+LMor2J5DHyjfwzAuV51PRWxamn/qh7WqVhmJJYOURz+sUWFVYo/l9sHJoO1l7WP7UhRp5GZZF7Zy2krVF2ypvyDpZsMs2yx3Lj/qmbshrbTrrjbqmTOSvKUTWRNYie5N4FnWFlaVVdop10a7EvfTK2yiUxUyZViFhwlLpOfQQVFuV68h6CwMaLhmfLE2vQkL4nfOL0PkTWBWeGVmja1mlRoNAauA1IgSKs1mrMXdXWT5+7/BeEI226SfmN5WCGZ7ZzmcdjevqYFS0QOPi9zoP0yamhjRwKpP0iqvS6RxMgWlQmVaZdj2fw/WDVEgWHo1QXSfJkrKLKR8mX+Vuqs+0iY5KndexmarT+TDvMwvr/LQBtttmFp/tcnMNvuuSpyc96UnluqZPTDkwNXPktMmfaQdmcOnyWfujPkgz50PhOlBOeMzgHMTJnsZfek2ReGayGzhfqAa5N8/VAecUKR2PaRIdm87HuTQzhSsXSgOnRdMpFA2dlPZCp2SgYYpiNqza+Y2YntIGGOhow20tLn90ku5hikvboF2n9FEi1Wuf4w2w0sRfiaNkOMBKP+VH/+AZ6/q+kHk+FXVZeF7y7xkpw2RLm0QhMFXmeUwjmbIkp96Aq6xM3ZB//Zv2zpSJqShK42yQFtc11aPtdQ3lbiCgzTdVacpHOVNSybTpFdNiFHJp1s56HnWHYmKak3Io7ZRWzqyUKXGGJf9zZVofEo2BUQtNER7cjnleI62gajywBo6Aqmy1j8EwWZ4PiVEBq0VdmWQJwa1H+ApaBZcHdbi4wurfR1zXiGv5npBo+P2vv5OeiENohYsT1wk0xr2WiEhPb1wCXacJEVfF9MyBcPethTh+3xtX2iKN8FsWEwqMziCu4z4O4eJKu+t5TmGuWz9L73UhjrzR4KUPySS1D4kRlLl8eRTIX/kuH6NcfBamYfI/rqeclEF8L/+j3HtlrV/5iNuvLEOO+sV1Xf+nQ7pdrzeu69XX9qxx76hX0ij9Psd/1/FffHXEb3wX+J5fCuW99iEJuZ9Jel3XdSKf4vrqZeRrpJlyFmUj34Oon4F0uq7f1uFwrzrP6zbH/RD5H/kZxG/r/Izfycdanvw28hHT1XfXiN9Ks3PfiSt9dRoinyKNiPQYgNU+JAY5Oua6HZqJPEU6pcMzkH/3dA6fo5xq+Z/qunV+IfI18mg6porrenUeQBzPqvynSoP/nkMccZWFcM8Qv4ln8iz+KztxXb+WJ7/znTiBOPpObe5C+pBMq5AYkRiZMxcFTIHMU0xTTKvBYlVIFIYRiNFfYDkXszNHs8CowajM9Efd8dNS5Q/LQaACuSdHLkttfZZnH/3oR0s+GRXShiOu6xqJhEAQDmkQj0YeGJEYzbBSBQSSE6G4tfMd7d5oJkY40NjQvi1JrLeotnRS2an0gUZBZ8eCIn4gH1l3PFtgpGEqh6YfsiKtLCoqDQ959+WIp3JwipVWo+7AiEX6dMCBUYj8kZZUSCapFRJTGiwVdQcSHZ9GyX9yxwKm8dDIkIdoEJWl+lw7mRoxKve6LKEdUM7KMiDbnN/I6PLKkiy4n3piii8gN9JMuQrIIplU/1hPAvmhIYyt60EeyBrLTWwzb3pTfaVcMG0bdbJQuI9njw4q0FGxwvRzanW/Oq5raDPqBp1Mx7k8Z+lk7eHoquyUQTjCs4hyQJU3FJOAdYo8120Oa5X6Ls/rzlg7or7XbY48UF9M80R6pUVcdbhuR6LNYe73LPBcLFO9bVlct54aoFyYjtOGkROQI+XuejG1E9Y26YjOMHA/1HkrHpRHr1Mrua3zK+qE/7Wio2yjfF0vZIX8kknT1EFMP9dvl1a3yJ48qF9toU64Xt0Bs1qwcptW12EH5I3smH4LuD6oqyyEZCzQLnoug/yAlUbeaS9ZUALtvKlQCkKgbMg6ywsnVPgtGSNP6gXrtmeX58qjV37lgbBeOWcZUi8WUiGRyVPCkZADVysgXcgkrUBPtBk4seOOOxanqjYDi+NO23EsGqdWzpAHH3xwcSBqBb77ZhLfD8qp9aKLLiqOVm3FUduKU9Nxxx3XxVzWqRXyuxWOabeOD9qGvqSX02pNW5mLY1NNq6AUx0JOrTWD2jq+dmrdb7/9ihNiOKlx3nL/2Tq1ejbOVdKYTq2TTq2cWTkXyq/pnFo5qnFw48TGmY2T3DXXXFO+Q6usL3FqDWqn1pq2sy6OejW1U2sNJz2O0TVt41UcAD80zdbxQdsxlrgcqWum2zq+dmrlhO251DVIj/tP5dSqru6+++6ljqt36iTHW59n69T6ute9buKpT31qCZff5J7zbsABVXjb0XYhk7Sd9RIn9iC2jm8VtC5kEm0Wp9aaFd06PmiVzfJ7eVdTO7UGHE2lq3ZqVVbqo+fAEUccURyJ2w6zPO9MnVpbxa3I9vOf//xyrVe84hUTj370o0sbWTMTp1Yyy8GZU6ty98za4SCcWmvCqfUjfbaO5+hfUzu11qzo1vEB51j1Sv2qqZ1aA/W016lVmWk3w6lV/WqVlFk7tXJkVRbaG59ryMSCO7Waq2ozscw11tD+aYwcrcwnGwEwGS0mOBSZJ23zoAuZH/r5kJiCoIE6aPOI8zjguzpsurhGCnXYVHE970LENSKtNW55sCI+JEZjluTV2vnKjtGWUbzR0XSwxhltBmQvLAWO2ciT8nXUYRE+6LjizDQNEbcOY+VpO58SDnkgL6bCCNFSY1Zf1+e4qM1zrdnSm+fqANmPtElv7zM4ZvpsDii7Omy6spxN3N48nyqutNZxPWNd35eX51PB0kK2TzzxxHJviynOOuusJemYDcuTf8+AOHdEnvfmw3TlM9O4vWEOYajD4rp1mGOq6/bGna38TwUrvbKordLzTvuAA8FytTZzFo2FxJIpj++YTwuJUZOlX/LGvXbaaadyHb9zGIXR3GmcEeZzHBHmcE3XiHO/c8Q16ri03t7fO3eN3ritsJZr+D6+81k+9MY12nGNOkxc96vjGr3Id1YNzy6sbVRmbSFxbc9shJIWkkkLiVGdPDGCnM5CIm8sLwwLiXx3vSijmZalQ1zyEOe+F9e9euO6Vy3jjohb39/huuRPeHznf4TVcYWJX4eJ03td6TcaDQuJ+ve9731vSgsJ2XewAPk9WZS/jtlaSNzDiB7SagRc54/P8rz32eI56jBxWS0ibuR5lH1vXP/r60Zc14gwh3PhflP/zhHncbhPb5h4rlGH+8wqFhYS7SfrxWwtJOJKm7KTT+p43KNmJhaSSENYSHrbRPeajZw6Io7n9X8qOfVsddhU15UmcYXHd67dL67613tdcXufi8XE78NC4tyy4dlaSLx0UFlobxbKQvI/lXaOmNNcTPB0js2AzFeaywtonTyW20rUhfxve2hWlXqkT3PnN1PHZT1yDRvbGH3xnI/vaZv8J3i6w0oD3tRWrbSNYgkzJ220Zk67nru1LNDcLQ9w2IiM97xri1f7gPC34McTccEyYxkwvxq+MIHnNxdqztb1+QaZS+WbYWlZPb/PImZ+sneTIhYnq4Ji3pR1zf1YOKyg8GxGnuaE5Yk5c3OwgfuxstX5KP1to1Q0/LZzLc+UNMXfiXzxIeGTUOcZuSWnwsz/m0/m6xFOeocddtgS/yVLOc31W9IdRFnyzal9Ncg9n6TYLNDmUVbi2ArACjFW0sCyRH5GteM7vw6rRA488MCl/CT4cvGDIr+u777mxG0UpX6yxgbqiPrqvoG6Z2kq53u+GyDPnpvfinzgk9IqwCUN8kF8/gM1bcdVfLPM73Pi5wdA9tQ5eRRIqzn+Os/5tpBpK1XIcbQHwsh/Xd+0M/zOLL1vFcQSBitX+CJ4/kC7YJSqnredYbEaWBElz5SNz4Friq9+t0pBCSMjlm9bvcMfILBqw+Zs6pS8sOpOOi3h54NS+52xHFldU7cjRuDSJL/C/0h+ieeenp0fBnnTVsgH7Urb35S44MMivM5H1gtp9195aY/4j/BTkod1XFZCv5c/ZC3Q1vKXEFd5e1a+FOHnY3lz+PNoj/in1XKqPpEF9659abSFnk275zfy2aZ50skXMXxp4LtWISh+b4H2Vftlc0A+PYF85PvET8/11QP+LpyslU/tm2X7DSumYpEJyLFlycqwHbCVMFYN+c6CKh+Ul7pnJY62QRse/lZw397+Tlzl63d8WRaK3Dq+FVIVx1FD2OswDVGroZbwUByC8HQOVAgCqfBbTbL8RuMGFd/v4xrxW8XQarslzGe/cx33DHrv47pw7d64KmDcM5Ae9+29ToRTrhw+TxWX8Mqzmohb31PaPI9wzyOO/Iy4vflbP3/g3u1oo3So6dQ6Se3U6juKcl0eyk8ZyGfI4yiH3mlVeS68vr7P5Iic1tcVN8oPcU1Hr6yJi7o8pyp36SXr/itvTJUG8Vw7rg9x1WfyX8cls+7vcB2/me7ZOH9y0KudWl0jOrLAZ89SP1vvdR2RH37v+2CqNPjce69+caVJPvTWS88vH/wm4nqueH7XCeJcXPfEVOmK8GhrMFVc94p8j+ee7rrihjwFZETc2qmVgkqp8tzBVNeFc99DOcgH142VKIHPrhlxMdV1xXWQU/idgyz3a8tQ3yviRD2ocU2/WV5Z+NxP9qaSf9cVRlZcf7rrSl+dv+JTYu2LMjKrbIxgeXnPhA033LBoc4tNIVEIRhe1NmwFisIwIgmMBHV8RgK1RzWvdJvo1BYDmibt2z1ZU2jEPKxd15p3+cp7GawHRpRGYdHAEC5e8bTpestn2jR/Cs8DwqDxZMUw8nUENOazzjqrjEQCowcV22jM6DPwOysCXMtI2OhUudPWzeGGNQcaCSMWq3gCDYZ9E2xBbDMtGDEbibuOxoVFygjOyMmI2t4mtce70Z58oZkHNnlyTRaSVEgmqRUSMktm6rI0uvMd+TYq9b2tvv1OflmxwfMeZEnZsTwE9p7wW9uW140Nax+5M/oDiwTrnlEi2VfPAvLoOiyFAZkxsnMvaQnImI7Cdxo8VjZ1hbVBvarrJZnRmLMeBkaeNhGjQNjECtJKTowmWTjUUVYf9ZEM2QclrETQXrEU9K6ycS9x6zSoVywx8jTQMBulqlcae424FSusO9pE6ZCfsOJBvtmAi39eQL5ZF22uFRj9syTavnyNNdYocs7yqK6wNNm7IvCdPVnUS0o8dF7aHhZPloFAGcoj6VAv5ad029TOtg5GxoE2xOoObVRgxG20zpLCogLX0tYYmRttaz/lJysQ+dDu1Su0jNJZkmrLC8uI52PZqhUS5UZOPF/AmqaNJWthlYU42hF5RskkE9o8+aUt5vcYqwblmWfRxgTaYWlTDrbdD7TTOnj5yEJCFt2fpdA965U6rGEsWvIkINtkx34u9YoaaScjfm/1k3yyWskrGdQxshOwYDknk4H2koyzpsSqIBZPbYRr+qwe+886J03Ku7aQeAZWEO1yoJ8j/yO1dXwrjMUfpD54EN/qVrdaJrwtnPKbxeJDYt4XrUIyrz4kMH/JU152W31Sp2cuq2yUw1e/+tWS3kGssmkFbokX91xX2bRKX9nymt+HuUbz8pitD4k8hxVf6UMyu63jlYeVG+aMzR23jU5ZdRO0SkQpt5qZrrIhh4NcZaM+xrb0c11ls9122xVZ4YfQKvdL/Bqm8iHxfTtAGMjW8VYgehUD+Byo663CX87RKnslvO1ou5BJpGF5q2w8D3+IdoQ8kFU2bcdXtvLHXFfZWFVDviKvXVe7Olsfkqjj5NS13Eu7pFxqZuJDYoVOq2Qt8SEhO1bdBPop/hE1M1llozz4V5ANcQexykafYWURWmWs1KsVXWWz+eablzznQ0LObnGLW5Tw2fqQtIOE8ll7s1A+JNOusmmFplg66oO2bTTUG16PzpOloZnHSpu2ki216mYcMTJjAqRFw/PKg2RhMVI2mgvIHmvTuOMZWT7jc1gMFgL3qvPYKHNlyfOo71jofO9Hb1msLPKvzse0ziiUw2yYViFJBkOtkJjTHHeFxPMxMQepkAwHZuPeBrlWUMYVzxgKic/yYaFwrzqPKSQrS57zkQgWOt/70VsW/CdWhrJQ50MhGYVymBWdpWTGMPc//elP786WZTFO2TiYK+NoC7BMudRhTJzMXf3i1ucO2VrHNSXD5NhqquV/fQ2fxRUeYT67bu+94hpx7nv3Eua/+9QHU1x9Lo5n7xeXedT/uGeky3PH/RyuKbwO6xfXtSKudDuv48Z94jDN0JuXrscciZyymaSesjE1oSzlbxzkNuQs8t1hSkF++hzfkYU6rkMc5eB/Hd57Xd9PJU/KTngdNlVccifcczri2v3SQJ4cdZg4IXsR5jrkKepKfd3euHEwv/dO2Uhbb1zXld46TJw6ve7nvu4l3zznVHHj6C0Hh7zqvW7kWXyOI/JX3AgTJ56hjuvcc/jeEdeWBtep0yC+uHWY30tXHVc8zyy8N8/7PW+vPMUhDPWUjek416/jTXVdeRDpjeeVFmURslfH7U3DVNftlT3fR57HdeOQ7ij3OKaKK0xcaXQe1+6XhpnInsO1hEnvTORfHkhDHeY3MR28kFM20zq1cmzhXFPDKZEjUL0UFN42ySHH9M1ic2rlXMmZLeBMyRGuXvbIWcwyStfz+8CyL86q9dIo9+KYx4GqFYjiTMS5zH/OqpaWmQ5rBbA4IFqiyDnTOUx5cL7jFGer4cByMHE5EnJa4lTE8sBZtRWqpZYRWplCO66XjbkuZzDLRh2BZZEcCz2z68oPHt+c6jh21VvSkwlOY5zJAst7OcVylpQXzjlbSZN0WBLHac6zcFiTDz7Xy98sQ+TMWy9PlE+emcafTq2T1E6tlv1ySm0bme7byRUUpsuE+R35Uzc5bnNMIytto1bi8r4nE8opcK7s1YuIB3E59ZF937eNVvmd66k7dRqEuY6XkQXKlpxxpqvvRx5cV7ilnG1DWq4vTBrahrKLOflsbWNaLD1BxFV3PCvIC/mWVjLJmdp14hmkPeKCvKrz8rbXqVUe1GlQT9yrToNn04yK5zfqnTqq7VxnnXXKM8Y1Iq7fR32HNlWa6jx3L3GjvfGsrVJenEfV+9ox0YZinEJtvyDf4Lfitkr9Uu2bOul+ykeZSLPfSLf/dflIL3mqLZzyUNrEbTvJEiZtltO6HsfkM844o5QlGVRu4tbtpjDf1fdyXXIjHbVTqzaAo23dZoknXeRhKjkVR7o5ZWpztI/SV8u/PKp/75rSJb11uYsL5eaz/w510XNHPoAc+3299TyZJAfqYJ0P2lLlrv5Im+vIG+nqldN+sieu5w3Zg/xzD/cnD9oR15lK9sQPWQ88I0diTs0j49TKcYhFZCbHJZdcUn6TTq3LOrVyGm0raNGOjzzyyOIQRfPHijq1ym8j5FbIS3oHtXU8x6m2Q5mTUysHRo5aXi3AqsHhzoF0ap05c3VqtV00B7dwarVhV2xrjhV1aj3ttNOKc/YgnVrbxrbIMebq1KrucPjmBMpJkaMjFsKpFfJP3TdKtREiZ89gRZ1aXZuzJIxwB+HU6nsbRLaDzDk7tSrzBz/4weU52o6vfI9hOrVqI7fffvslTq3ueeyxx5bvsKJOra961asmnvnMZw7UqfWqq65aUmfm4tR67bXXlt8K49TaDuKWbNS36J1abdRjOdFMjnrZU7I0tPTab6T3fLZY0mZpmo1vLJOjIVtOKDwOFh3hdRirEO3fksQ63CjbaMJn2nKrsJSlbOKuCL0+I+lDMhyMPpVnYGRUn88WozEyYtTEUmrZMLmxeVYtTywkRnN1mE3YxGXlqsON7I3WLUU1OhVm2TnZXRGM7IzejJzheetR+EJQ57uR51zyXD5YGmvZshG2/AELWZ2PLABte142rouw2IrA8us6bquQlXDfG6GzCFnW6vcrimeMUfcw8rwfLDR13s9V/lnS5J/lxPLQcnMyTV7r/NXekes6jNyLq92uw9UTZWAJcVzfpmgrWha9eT8qZTFT0ql1ARi0QmLdvPXhdozUkBB0Ckk7uimHPQLs+0ChiDCHhk2nYiqmDjfFpCF3XRXEmnV7qTDDrgipkIwGGiKm4oBZtz6fLRo3MmIvA/t/6MiYgU1N1PJEUTYtUIe1I7kiY/b7cA2HcFOITNX2dQh5Pf3001dY9jxf3QD3ni8Edb5TSOaS55Q0ddwAIfJUZ2VKNPLWYc8Z+ScfI8w+JeIyrctv7YJw58LtayTv7UkS+b+ieEbTAvF5FDrBXvmnkMylLOSVPLQvi/yniJB/8hp57qA4apvrMHKv7bXzaZSDgxJiWs1gUTspzB5Vyn1F6M37USmLmbL0lnErIUYgRnobVq9E18HzAam3FLYtsnAddT1frhJffvnlS8WNxoECYF5Oh++3oCgQQo2AzZkItrgaHY0XNMbCNBz1db/yla+U/xoTlYuAE7bQ+s0TG23GHKf/ns9o0XeEUwUyT2mOMaCEOCBcHKgU5g01hIGNzqSvThcNX5htmm2IZWMfHY20uBZ/IvdWoYWLazMfWzsHvhOnvq654xUdKa8M9JNTPkbKTRgZ0sjZ1Eqe24iK7EV8DWG/svR7SgdLR8Cfx/WC6HzEVR/IW0AeyaYR89prr11kixxIbz1qXWeddUr6pMFnW4D7jTL3G404S0Ag7epInV7P7/c6B3Pl4kine5B7viH8EPyG1VBc1ho+S4H4/ToA6fD72v9MnaJw1WlQp/3+lFNOKX4d7h0KvXvzM4j46ru4LB61T4QwPmr1dVk9avn3POqneqJdqTuayHPIS88U9VZc59LjnuLJX+Um/11Xm+JwzzoNnl0a6jD3kl6DoJAJciM9ytiGksrbb5SHuKyyUe6weZr01NeVFnF7cc3eNPAl83sb0un8A+1P3JtPjXjKW1z5W99TuUhTfd14vQCLBqU7cI9owyFPpVWYfKz9TUKm1RH+O9HuegYDM+mCclJG8lA98ZnviXh+Q3kxeAyUm3TU6dUnSIeXQfLz4L+i3RXmWZSz3/kNq45w7YF7B8J62xFtuLQvOK0QDpTF6ENiflJYHG3FKj4gdRg/D/Nv5lnrcHF7f++a5k0jrmv5LK7r+BzXj7htg77k9z4L812c+41zRdZ7uL//bcOyVLjfxOf4zv3jPI6IM9XhOpE+/z1HpNXh/tLr2s7Fj9+I63M8b2/cOPg9CK/DPK+5UKQPySS1D8l973vfUj69ZSnf49zv5X/kufM6vnKpz/1e3ve7br8jZLKOW8evP7tXfI7v6t/3fhf/4yA7jjpMnN70ek5yZ268fr5+ceOwYVY/H5LeuMJ687D3ur5XBiHPdfyp0hB5U4c573fEd1PFrcPiGerv/I92oN8Rv4+4tTzVYXVczxh123fxzOL0e17nvbLn8FvUPiT8j3rjTXVd9/XM9Xmkqy6HfnEdrkdu+qW33+Ea/tdxIyzC43PkWf1dlEMdz9HvujORPYfnjTa6fr5+cR1TyR5/QSykD8lK/y6bNmOLCa7eJpi1xO9YMQIjGlMZNNKb3exmXWhTPKxtS1xvv+0zPwy+GTRiIwZaOuuA7eBZHayQYMY2Z+jaNN9WYMvvabWsJzab41XPUtAKTZm3N8rjPW2FCU1Y+t2Hlm4FD82cdk1LN8K1wqUVwnLQ0o0SPF9tEaIdi281DetJjLaMNmwBT3sXbqto/gM0bVtEB37PC96ctC2XvXDL9aXPiN19TTHZwtmI1/by8tJ284FrS29dTjztbV3veXKVzSS9q2zahmepl82RWeUjv0E23/CGN5Q6aWWXVWGnn356+Y5ckgcWwoAcMuWLa3Rr9ZTtt8le23gWeSRr5Em5sBZYrVGv+LD9Nhm24sr30ui35tWt+iLLaDuJIh+ez/bsRo7k2X1ZzNqGtVybVWKvvfYqc/bC6pGcumF0SD7Iv9VErG9kVt0Uv21gy/d8KdRDW7xLW2CLevnSu3V825iXVzdYERbYMl6dql/pYBUPa458I/e2CLdCwUoT15QeUy7ySPqY5Ml/nWfSwA9PukyByafwA5PnEVe+s8iQ/XpbceWmvkob+TBy105pG+ShvFCnWUjE1RZZRagM5bnRuTCf+Q6ynqmf4rJuyJ9AOZEn32sntRe2/re6hj+R7ejVVRZi0xfyw4rD+qV9sZU/K0AgDV46KP29W8drX4QF5Ep7I9/UkYBsyAf5rWuzHTrrmW3YbYvP8uf1GDCNpd2rXxGiPvDnOOCAA4ocs1J7VQDrovZZOZBb7aH0ao+sTqytXa7h3la4sCj7joyTa+06eSSX+iFlrD6oY9KivP2XB+6h/xCP/LO6WZkoPwN9l3rhWZQzmVMn1D/yxBIlHQcddFCxtigXeVT3YZ6VLNj0NGBBZDnh8zIyq2xWhMVoIWkFvnwOfD/IVTah4ctuq2x4aPOExnSrbPbff/+J3XbbrWxHjd6t42ElhXu1ik0XMslsVtm0nXp55lZx6EKW3Tqepzot2aqBSHvQVqolq2zaileex2sHrLJpG8KS5rZTKXFzlc3MmesqG7QNaFlZw7rXNrxFDr/xjW+U76ZbZXPwwQeXlTS8/20xboVLvXU8lrfKhiz4rm2gl7vKpsYqG+lqG9mJtoEuKx5Yg2zJvrxVNve///3LNduGv6yysTJBHcNCrbLxygR5YFRuhYNnOfroo8t3062ysSriYQ97WKkjrSJQRqhG661y1sWaRBlOt8rmox/96ETbocxolU3QdoLl93vsscdEq8yUV1JoO9vBwzIyyGohXbHKplUMiny1HVt5DvU+XhXRKg7leYexygbqwvOe97xS7q1iXtqitrMv3023yqYdrJY2VJrIbtvZL1llEyxvlY02z+rKH/3oR8tdZVNjlY06aFWMOuQZW2VqRqtstAnaaWHkSXsffZ3ryfNFu8omGQy9e7bQZlkNaJ/TYZTIH8Wo2GgoRrI+04aNRGjdbeNSRrAsJ75zGLHRcOPc4aVONGcjuQij/Zv/NTIyGvESMOG0axaOtiEt56wa/Gikezq8NIxmb4QN8Wn5MSpOFhYjMiMmKAMj6NqaNxVG2PwJyBgLh9G1kXHIjcOoVRirXx1uhMgfxEiehc1o0MiZLBhJ13FZ2owy6zB7eLCKkGujMpZC16vn8Pvhe9Y6I+uAVaZtxLuzhUE9MzINWAZYSZaHZzbv73nVRaNqddheKnX+tO12aTvqMKN88Vkz1Gntg8/isvjUcVmUhJONCLPnkd9rT/gPsIDwG5Km5aFd0EYFLAvKfRTQJnoesBKxYFmZOB3yBl6S6MVzrAPygQWpzkcvHZVfrMJ1OHlmwWFVaZWeUoYsy+SfVamOSz7VlzpM+bN0Q71h0VPPlM90aNvd1+8Rvij13k6jTiokC0Q7Yug+Ta6yoTBonJlvVQAe8byvHaZxhDHHETImPEc0yARbB8FUx2RKUC1FE2bag5CrBBp0n+MIpylCypRKERFuGkoF8JZK93Qd99WRuFfcn4BTfFw70upgHhXmv+kB1wjcy4Z5yXDwJmANcjSyzN46KkoxZaC3LJnBNb5M9OSF4yKzLDN4mJPjICOmNWoZocSSJYdpC28zdegU/Z5sMfHH4f4Ov4trkBkyzdGbqZpibuqAw57/dXo9j3rB9E8JZnpmnof4ZLg26S8EFDRpjg5EvfDsOgpTNsJ1ivEM3uIqDyiA0syML+9MBSm3Om98hmvUYdGBmWrSCToodlCedZ6HktF7XfeiXJjaME2izEOp8ZbbSK9ycX/f2fLBtERMvXhOz1C/DXmYmNI1tRCQF2nV3ioj+RHP5aCsk1FTH+TaFA/5pRDI48gvh+8p+dFGy0PXI4/+m7pWDn5PIZU3fhPl4JCP/a4r3Ft5KdfieROw65ONOr2WCItrCozMeF4DBXDKXXPNNcv03qKhFbaBshinbGRDfTAxMhH2C+8NYxIzRdEb3i+ueEylveFMZr1h0tgb5mBW7Q2bKm6/ZzC90xs2VXi/MPnFlNobzjTaG+b3U+Vvb5hnkJe94UyPyCmbSeopG5s+9eYXGesnT/3CXLuf7EwlT/3Ksp/sC+snO/3SMFWd6Hdd9+8n0/1kT1i/9PaTMfdifu+dsplKzvvVwankv1/cfvnQL78cU+VDb5hjNmXZLx/7hTlmWpZ+3y/uVHk+VbmhnrJpFbW++dDvuvK7X9r6xZXefmU8VZ71O6bKx37p7Xfd2ZS7sH5lP9PnnSrc7/vdb/fddy9lkU6tA2QmTq1MbsxyAcdApu0dd9yxC5lcXmWkyQGorTRd6KRzFiewehTGqZDTIe22FfgSJpvd04jSqI/zHDjaubZRXSsUJYyG3SpMZTv6evv6toMq5ncOegFtnvlWXKbigJWCVs3kHtC0OXjR2jkqBRyYmJjlR8AUackjy86d7nSnLrQpJnQjoF6zONOikTTnRBjJcs5jDTJqC1hlPvKRj5T84sgVGEFIHye0gCnT6MYIJJ1aJ2EaD6dWTpysHOtUS/jkIZmoHSadK0/lY7QWcHJTTix1gakR5UaeTBeqK2uttVYpN2UZzqWsGGSazBrdh+xCnfKddLeNc3GqI2+seOpU/cqA2HPBdQNpMjI1cuScSr48T9t4l2tzkAw4X5Jf0yL1SJDzqtEmM30gHxxto1zqYWCkzCLEMlA7tXomI8yow5A/0tEq1V3IZJ5Lq/zxvAFrJRmPESu0Q9pGcl5fw1JM0yZGwJBuee5eBx10UKkzZN/zax/8dwQRZhTednwlLV7vYHpGWSr7wNJjbQ5LTlxD+sVVFuRJ3rmWcrOtQUwDwAhe/mpvXDvQNpgy44QbkAGyJw9786xXTt1PXWcJYMnQxmi7tXnysHbElE7XcN26PRYmL8hsQFZd9/73v/9SixdYF4SHJQnatvPPP7/UExYq15aXZMRzqX+mX6RdesmRtNRl4XN0q/6rp6bHWBs9R72lPEsMGWsHzl1IUxyROZPLu5B/jrPKRD/FEhKYFlKerIPRDrin/kM+1Pk7lZxqT9Tzunzki/qgDyAD7ptOrQNgKgsJpz2jTaOz+XZqRStcReukadLK2wavOFet6NbxwaC3jg9WdOt4znptJ1qcp+R7r1Vjtk6t8mrnnXcuzr1pIZm0kHCuazvg8vzLc2oFJzblyzIl30PWpnNq5Xgt7zmJIraOJ/9RDstzaj3qqKPK9ufgGMipb6ZOreJyiOa0rY66XjtIWK5Tq/RxxlUn2k6lhAVTObWqq2SWLKmLrfJbnAjVwRVxag3kubLQHkRbMJ1TK+dy/6NM6q3jPT8HY8iPVkEon4NwalUWyhVtR1nizsaplWzJJ3kvXziq9sogq4V0hVOr30qrZ/Wbmtk6tXLCJtvKQl6QQzKoXGpm6tQKDvnuJT4H6bZTLuH6qamcWo844ohy/1ZRLuGxdfzXv/71st0+lufUqg1+29veVsJm69SqXrk/+SeH7aC3lMnynFrltz5PWXJqrZmtUysLrLJoB5np1DrfmEeM+dGFhIbOGsAXg/OZkQZNmxMpa4jD8lhhRv608jiM3MBhLQ5LP2nC5nXrcCNPGnYdZjRDQzZ/Woeb1zavXIdxxBXGoapOg1Gz0UGk1cHC5LqWn7qHtNPa2wpY0jsXpMFIpd7IamXHSNkozhz/TDFqY4VjpTNqYlli8TN65OgX5Uv2lK+lj0Zu9agJytlvjMie9KQnlbJ2bhQcB3kUDqPpudB2nMVKQJZZQ1jyanlkPSAjlixKOwsdC4HvZooRLt8JeQPLQo0GPcdckHYWIc69lvGyWHA+lYesC/VzSIMRu7LpzXMY3fIpYN2EZ67zXJlBPhndzpW24yqjYtYwZVmnlcVUevmLkQPyw//FyN0zzwXWALJthO++8ou1N+RpRWHJYLnnd8EKJt3kiRWKxSKejdOp/GP5Zh3pLQvfsSiwvLuW/kPZ1GUhrcpBXsxV/lkypJ2FxrW1q3VZaJ/JkyXXlqeTq1vf+tbF4jFXWECUBUvfQrHSKiRMchquYcAUxmTKadCqFoLLyU2D6OBYpQPRIBJoB4EM4bZqIA5mSL+n3NThzNfC6zDmf9c1HVWHE2zhdRiFRGVTAVWESIc06SAirQ4NpYpjDwEVnCBTlAaBdLUjhaXeOLyyQ9HT4Jh6mA3MvqYTNTBWT9nzQnly2IvyjY5NGbt+7woxUytM6qZ1yLDfcpxlWtaZOjjTuQc5VnYrggZd2esYNbSUHmZiMhlpJZvuL8z0A+Wes7aph9l0jGRXxxMy5pmlezbXmArlZLrFVI/t2XfbbbfybHWdckDHozxC6Qg4GmsrmM/DQdkzynOdK8VBXvutlR9zSbeVJDpiaZBOaUKdVnmu0+WsbsWeZ9NxzVYe+6Ec5L2pAM+hHRFGFuaKa5nq9IxWA5oCIu/yNp6Nogfyr54ZKNaYyiPbdogl/8pRmSoL02zKw7SP6ebTTz99hfsYCp9rUZZM5Umb/JDvkVbybxpHOKdjA13tr4HsIGSXEk1+PdtCsdJuHa/imqNXcDT9en5SxTY3R2gDvh7Cvbyq1poJCMGs4xptqcwakmiQNSKg4dZxNd6+U6E1uCCMfh/WEhq5OVVhKhAhDYEjmH5vXtBIJVARhNdhOhL0xo001mHRAFB0jJQpUdARmdc1xx9InzQbyRjhBOJJX/28RvU0ev4g8jgQbqRRx2VF0jC4Bh8S10smy4+lwNy0hq/OM3lKTuswjaY814jWVhXlRkY0eFG+wsxrG9nzjdLguZaVFMrBaJ8Vwn1rdIpkIBp38kmudKIaTn4hGnsjbvUlcD9pq9Nr5OoZXIuivtNOO5XDRoLqiM3eAvXR7yla9bORdXWzvi7/Bmkw+qYkBPLAknp+KDoB1iP+NRQVnYp2IlD/+O3U1+UX4tkp57VVUJh71nHlm3qsTtUbUXkOAwVpgN9oK+SDtBlg6OikNdBRyON6BOv+0R55fvH5ntVpcC7cCD/quTwUH9oao2wHXwZlXvuQsCAZIHk25Rloy3plj/zIB+2F3wQ2xBNex1Vm6rvfSIN0so56HspPHVfHK83aIz4XATkjb3Vc+abcrWzUpgTu45nvc5/7LFkFadksSxVfD22fa7sWRVdc8qre8c9DlAe5kR7PQEbIP/mxQaG64zrSIO+09YE2j9zW6SUj7sUSahOzkAlWS4NHWzAElFz3ZaGq66Qwy6/r68pHeU5hWavysVFmve0ImTbYlf7a33DeaTN0oCwWHxLzvmgFp/hltBVzyf+2UizxOvZ9xDEnXIc5zL+JW4eJ0zYU5b8jrh1h9b38lx7/699LQ2+YwzWcu2eksVWQyv8Ic7SVoaS3DhPHHGJvXPON/eLW6fJ/qudw9D6Dw3XlTx0mTuSjI67hecXvzRvzo8hVNpM8cDmrbBzysTcsyqf3iLJ2RJ7X5VN/1++6UaZ1+YZM1d9FeB3XEdcNuYs4Iaf1IS4/BXHimo6oK/UhTjxPffTLB9e64IILptw6vj7q56qPftftly5HfV3Xktaow73HVOXm8Ns4nNdtToRFHvTGlTaf6zyfKg3Ce/O8X944+j3zVM/QL65nQL3Kph3gLXXvOPpd1/Mqw97wfnF7ZSQ+k7EIq7/rd91Il//xWd6IW3/nf7+yEDfKIA5x+sm/uPJEnLimo18+TiV7s5FT/oJYyFU2K+2UTdDmQTFLxZypkQiNsS2kcs5qwAzNjEnDFeacRsxERxv2e2G0V2HOaaIsGc6NaH3v90ZGzl3H986Fi+f3cW1paDuGJfeRnlYIS1ymtGc961lFqzUyFJf/Bi2c5u6/+Wpx49xhxGF0Zt8D50Y4RipGx/JBXB71rEfSBtYg1iNpkEc0a3HjuTyHz64rvT4Lk+628hRNX1ht0q/jym//WwEvh/x27tqemak+6Q9TuekFo/k4WBLaBmupMFMZwkxr1OF+q3xiZZRRohUNZFdZsPBFXBtdKX9TPTXiBW2DWSxzDrSNchlNGsUayakXpvecx2EULp4pB6NFh9G061qNwwzt/qZtpNVqBXHIoDrpucT1+0irg8yy/NRh5J5M2oK7Dnd/1+zFPewJVMd1T5bLOoxvgmdnwanDXdfePnUYvxvyL33qszx1b+0ITIlF3IMOOqiEGRn3Q/o8uzS5f5SbOipvrQYRx5RCnefOjaCt7Ig8Z73QXlgRZct39+cbBnVQHHVSfkcbafoi0uoIK1sdxtomTaxBdbh8keY6jLVFfvTC4uEadVyrkrQP2sE6nFVPW1OHsVwpd7Jbh7NIkSkbzyEsY57N/ay2jLjkjm9dvWIQ8gPK0j2kyXP5vXN1Sp7b7l05qQd1WYSVSx2NsogNM02p1vdXvqaQWBCVqzYW7mUKL+I6pEPcOsyKSzLpXnW4tHvFQR3GIq2tXnDaBxsoi81CIgvaila0T175tkZvhawcO+64YzlvBbH8phWcibYRL57gbcUp39NU28IvK0TEdbSFXjRIW0gbxbr21ltvXe7VNkTlOjzHxW0b3RI3ztvOuGwRLIwHOAsBD3vfOXcN/11HXPEivdIR/91T2uI8vuuNK631d+uss85E2+CUMmTdsLLBvXmNi8cqIfw2t7lNGUn7Tr75rZGUc0db0cr3wni++23b+Uxss802Jdx9eavH76VVnjp3T/eQ58KRFpJJagvJVjPYOh686uWtrbNrrMZQLv6TK6tdrLJRls55+wdW2SgP8kg2lL/yIMvKVbmR9Xvf+95lNYO4VhtIY6vcFnlQluqa+uNcPOVMFqzYsNrt5JNPLrImvbFCB86lqVUyyrnPDqtjXDNW2QTqyExX2XiGQW4dH5B9W8fXtJ1juZ/VG9Lvfog8l8+B55cG9UWeyE9tkXjy1OoMea5Nck5W5I+2xrk2QlzyIM89u3xXNsKlQXmzRliRIQ1W+rTKSrm/1W3iRR2UVuetolTSFatsgtg6vma2q2yijg9q63hYZePZzzzzzC5kEnIsb+Wj59KeW2UjH51bERhYZSOue2rDyLx2Wl56pYF6GfIf7Z46oi1TFuqN6/p9yL8wzygvyZDt+l/1qleVFTV+b9ViEHlPPlrlsXx2aAvkYzs47WJO4tpzXWWTW8cPCU6cVprQYmnLbWaXkaYRipGhFTle4gSjI3sWGEn4Dub4zPOaa+OlbV17W7mLkxyHv7g2+IQYAZoHNzLlFQ2jFdczSjDSahuBMnq0Wsa5eO4Jmjtt3gu6jILcy/fmXa0OEJ/2L9y5EaE5YHuQtBWgpNdowXfmM6Wj7ZjKuWfjgc7Z1u+NZIw0pd8+EjR1+cP73ejVfKa9Fmj/Rn+ubeTNR8TvPAev/Lbyl7l7I2ZhrmfeXH57URmHM9dwboTG38GKJGlI5g95bo4dylb5kxGYv68R1yirbdSKDwvfBaNqPhVWQXFm5vfAZ8WI39bjfFrMhfMHgXl78/HOI577WUHGQTL2nGgb4CUjV4QFwWjZzqeBHUHFXUy0HVDJa7AI8mFTJ2Dev4b8t0p3GZ3LTw6ZkKd8W+Q5y6dzo31WT74CzvlZQJ7JcxY1+R556XfaIe2TXUXVa3VW+lCnRRpZZiHtiy3Pp4I1N3yPWBz4j7RKRjnvXdnHcmvPHvWAzLMqyUtWZis2Q/7DoqSOsEQri3C+JvMh/8JYPdxPW85fShnrj5RBvWcKqxoZUee07wHLk3IbF1IhaWEa5tjEGU9nCMKpQhIUHSplgCmP+VRczk0UA0LWarOlwWA21ki02m+5hkaWeU0FjqmHVnMt5xoN16IIgDLgXu4TigePcHGtjtB5h1OnxsBvCa93H0iDqRsOVeJz3AqHUecqi+diaoVKY1mb7xziEnafW225KDAqk7DoAFSg+F4ljEbVZj/MsuKqsMyN8sF3Ohpp4uTrN/KRk5TKRWHSsUV+t6OKUjkjnfKYyTAa6qQ/8pLcxuEcdVh0QMz0dbi4ZIcjIDS0tRKiMa3jkjuObxxCyYUOrR3xFROwcwc5p7SrDxp6jbGGmzIrLoU74jqY2HXKph8p1EzxlGvlTtmJ+5MNYRp6inBMM1FwUMd1eC5HHeb5hcmPOnw6evPM73vzXBz0XnequMLVXeh0bCooDPIq4sYzG9RQFCPPhOmI6ny0ykKddN1QRhziUmiUS8Q1vStcnqubBlOx2Zx7xv21cYE0Rp6TC+mt4zqmkj1xe/OR8iS8DnNEPvSjjrc8ma7DlpeGUNzEI9PyBqaw67gUB0qzQZx8pLxwIjbAjLyVzwaS5DrkXz6efvrpRf61xRHXQfbJgDaYomGgZ9CGWp6kU7ooM+potOW+Qx034s9UTjFV3AWnTfhAWYxTNo62sS0mSweTW1u5l5z7rhWGEh5xncfnuEZ9MMX1hrlmb5iD2XwmYY5+15ivuP2ewdHvmaeKy7Tnv/yK3zFHOo/8dSgT+VvnubhtJ1nKKadsJqmnbEwJRh7XBxNsfS5OyG4dLp/FDVmOI/JeHJ8dyle5xbnD75iAo2zjcM1+caPc63BxlXEd1u+6dfp6D7/3v3428iTNdZg4/fLB9dsBwZRbx9dxXVddqcOmuq50TRe3Pjxr/I9n7pcPjqgndZjf9uavOMLct47rXHh9Db8T5jp1mPNId330y3OH8PpcnOlkrw5zCEOvU6v4dbyp0qB9673uVGlwfeUZzxmHZ4+4kRczlVOHeP3i9pN/YdJQh/W7rvQ4r9MZR79nk96Zyqm4vfnrXrl1/DxgAxuWBcuYgrYAiqOTrdLbjC8j+3rb9OOPP76MBjlMBZb9MsnZXKoVoi50co8AI7q2wLqQyWW/LCVGIq3QlzDZzKHp3ve+91Jb0lsqK64RTisUJczIg7WElcCUSUAzZgmpl2fRZlk0TJM4AmZYDqoc+QLWClYd00b2YQlMjzA7xrQSmHdNVVn6FVNT4IhlaZxnC2IEwDGKFSSwzM6IjzwERg3COcDFSADykVWqXgrJWkJTZ5nKreMnIWfym/XMlCDrBgfJQLkpZ1a1gDzJNyM0jomBuEZ0beNXRnTkJ8qSCV9YYPmukWRdlq5p5C5NMXqGqUGWi3jJHaTT9KPNs1jHAhYz1o36ZWzeeOtNq6YxjTYDI3l1xFQqlHvb8Jd7Gamq14G0qcPqduBZmcxZ3qJewrJMz2G6kQzWW8f7vXsEpkzaDmQphz/3Z37nlN52Al3o5BJSeSttgfsrH2WhHYlXJWhz5He9LbjyN2I33VqnQV1hhVJGgQ0LWT5tlNV2yiXMqN6yUe2IehywaoqrbWg7lhKmnpkyEFf7EFj2qy2PNkc+eVayQ5bCGgxhvmMdDdRddZ5l2BGIy9rFwhuIyxIrf1jLYut41mTTePV1pVfbEvkYsCCQp7AggEXAdgTith1yFzppjVK3yA3nU1Puyow1yBtyOZUG2kL5Wb9mgRWZtdD0dp02DqZkxOKAgFVJm2w6PKa+YCpMuurt61muOJZycN6gW1wA7bzzWParbOU/+TP1FOUO+SZfatlTNuL2yin5V5Z1XPHIl7Z6UW4dzyricr3HRRdd1MUYDrWFpBWo8p9GWltIbnWrW5XPAc25di5DqyAUrbdt6LqQSWiWbSfanU0y3dbxbYPRhUwyblvH17SK1zJWjam2jm+Vk2W2jo9RBmoLSZTjymQhiWcetFOrcms7myKz4OTIIS6sBIH6wEmypu0oSlm+Z4qt42vaxqs4Fs5m6/jzzz+/C5mEwybnwqDtdMrrBcRdTE6twqW7vo40HHjggd3ZJJxajV7bjrMLmcTodaqt49vOvAtZsa3jX/SiF3UhkzzlKU9ZIoMwapY/0jUOTq3kpFWGJ9qBWgmLreNbRaOcB+ROG1VDNsSdauv4mhXZOl79quFEq/4H+hiyp74ulFNrtEPzZSEZmA8JZ6h+GOGNAkbYRgPm8JYHq0k96kzmn3r0NB18VJRj7dg47rC4eWYjxiRJkmFg0YJ2iGVkvhiYQmJtey/MjMymo0B4jDMfLo9WUSte1MnCUe82OR3MmehdjTDOMKnCVEaSJMkwsBMv6mnzQTMwHxLzf/W8FPhW2HZ4mPAh0XkZWVsSJ01eAGc+LnxIbnjDG5YjPptHp0jVc6nmFh3mbuu5OvOx5kFtMxxYWSOuOflQyGSzuOYa69ev62TEdS8e8tJg3tyomB9AHdecpbnB2geFf4D5YHFjdQ48M+Wr9kExt2o+WLx67la+eGbWLJ7l8oD3t7lb6bViIqAQmAc31xyYm+ejI931nKdXqZsPrucZzWPyKJdftRWKL415SfOp4fntv3wLHxIrNFi4+E/c9a53LXP+5l7H3YfEqinLYeWZjcUiv/ltmDOX78qNr49yNzdeWyblY7+y9Btz+ebbyR25iGuTOzIQ9CtL88waKekyLx1Ir3l7fko+r7POOsWXguxYIl77dfBzIsPqZWC+n08THxk+HYFnICPKHuRemtU3/kjm0wPtDjmu/WD4wKhDlpiTYbLI54nshS9M7UOi7vrec/N38Dtlwprnc2DZtDSYa699PdRhz1pbj/nSiCvPlF34XPEBkd/yJ9AuUEb5N8y0zbEZVrQjrjVVm+O6/ErEgzrGX0U7In7Q2+aou8rTPeR97avUr80hB8rCNWvfCbKnnKWXXPDjIIfkSdnwIVEG8ovs8+mQBnHDN4Js9WtzyLB2OpiqzfF7baLyJJ/ynw+LtPFzqv2EtDl8SPQdgfLjG9Irp943pC+0bF1dUue0Y/JMndXGBXwCPXstpwZnBsRW39Q+X+RdOmM5sO3iPZOydy/5EihLeVT76fF/EtczuGfgOuqva3lOadQukGfloL7xvfECV/KgnZHe+fAhGahTq8oYnQk4TXHkHCYcjqICBwo7nFo5k3LUlA0aRoIk80M5CVQsgqth0oiKrzEhIMLquPJAXMIeFR4aFY04h6cg4nLSsgxMfMLSL67rETrpDKRDHJWY5kqxUPFVJs/RL64KWl/Xvd2Tg5fG12emOf9747qeZ1U5A5/Fld46HzRynsM1NQjyVmWSZ+LWjay48kJaPKfrSC9HWw6PFBJOjXVjqQG2JHKcFRKdRt1JaSh0chpTHYDlmvJe465RrMsyiPJRlvKMrMhHHbiy7Re3X1k6r+P6TMZ6y1K4zly560B8pwMnu+pKPXBRxnUdgXtpS3QsvXFRxyePcV33IjsaYTLmWchxIG+Eq2eQHxptbYOGN+qiJfUcSS3BpATD9X3neq5TW37d03WlN97nom2QLtes8ybaEf/r53A96eqNq0PqbUfkSb82R0cnz6N90pFIQ287Etf1HEG0DWRD+QfTxe3Xjig3aSOflEcdlzRM1+b4jhzJA2+tPfzww0td1z5r05SRfaB0phSG6KTda6o2R3iv7MmbOn975QN+Ly395BT9ZE+51/IA15YGCot0UnCk23XruK7nnvIqkDchp3W4z2ShV/ZcV/nXzyKuspNf8o1sUB7JXr+4IaeULH2Hcjn99NOLMq0MXaPuQ7U9FlkM3CWjzeiBwZHHJeNohbL7Zng85CEPKemqaSvCMs6aM4WDVCtExannnHPO6UJHg7ajKvm+3XbbdSGjwQknnLBEJlrtvwudHU996lPLjoc17cijOLuOK7VTa1A7ta4IbeNYymG33XbrQuaP4447bkm5t4pUFzo/tArZkntxQF8R2o6x/P6FL3xhFzI72g6wtA2OM844owtdWDhYRvvUdhhd6MLSdmRL8oGT9IqgDJQFp9YVgcNtyEM7SOtCF5YnPelJS9LQKihd6MISu+22SksXMnssCnnwgx/cnU3SKjHLOJIPgoFaSFgbbOCFVhiLljhsmPpoxsxSAQ2YNsjkKI21FjoTaO00yDB1jwq0bxou81s9Ghk28opZ24ioNtfPhBg9MDP7fe1rwlRqqbFN3sYRMmvHYHkQWBbKvG/EJV+NdOrRzvJQF1hTmLnrkeV8EOVuhFibv+cLz6UOMJHPtk5D3jBJsxxpG1YE00JGuNqG2ZTLoNCca5/8NwUxjPbJvZW7kXw9lTcbWPJYA001GdXPloWWvX6woMSS53qaZiFhQSEPrKesLjNFv6gc1SPTp9ohS5wDbYcl4YO2kAxUIWEqjPldGaBzHDbWgmtkzL8FTFH241BhfFfP3yWjBb8BMqWjMQXoNeSBLZa9MM5+FeOIOWfTNXUV5QPkhW8aDFM6zNGzaWiSqaH46cC0WzEtkAwH0zj2vuidOkkWBvlumsYUO6XkhS984VJ7V1Gy+CHVflsDgUIySJjpXNZUyShgXbr12/2wb4A14/ZKaUfbZZ+CZPh4wZo1/9/4xjcmVl111Ym//e1v3TdL045il9lbY5yw/8SNevaHqdlyyy3LtM69733viSc+8YldaJIkyYphLxz7omhX2sFOF7os7WB+4he/+EV3NjgGblPkgAQ7640CnHWYrabDznzMUt5NkAwfFiye7qYmpsMoipl9XGHBW97oMKx/VoYkSZKsKK0+UN5LxfJqZdV0sCaaFhs0A1dIYvqDt/QoMJN5clsx26Z8XFdrLDaseLDSod5OvB8663pFwLjBVLo8k6gleBoRS0yTJElWFP5G2pEzzjhjqWXt/dA2zcdU2px9SLyhsH6viaVGnLpGZQ6WU6ulexxZex3dzMPHMtZkNCFPyqfXOY92brkdRytlPI6QzXqZojzQCPgvT1j+nA/DeTJZfJCXbOuSmVD3jeTG5+g/tUna3jmqDn2Zs0JC+TAtEnBCtHeEvT9GAS/vsofF0UcfvdTL8pLFDevJmWeeWV5Cxbl1HLGHgClQW8ZbUUQROeqoo8reK17GliQzRTttUzCrgGolN0mWh9WzDA9evgjT6aecckppnwa9emigq2wwam/75R+yxx57lM3C6jeH9sNo3GY2tEEaoo1pbHyzotAorYBgnRlX+HDQlucyn2hVg47XSN+In5BP12gSWRsv8SGxC2S9e+I4wdPdssfzzz9/yRuXjVj4ltjYTIMwF8ilKS/yrrMi88qzXmapXJVPvfR4LqgTnmHg3vnzjFGiTcMGlQ/KUP5P1764l7n8QdzT/ciT+w3iesrRRluuOxXup20YZJ5pGxablUc91beoX4NAPljKXFv8tYX6Gm2orRFs+yDvHXNBPbWaRhl6Btg51y7ZtmKYS//Yj7FXSKDRtTzU9tS0PFsx1+/esW20js3WutZVy3xb+sqauWyNawmhzuSEE05Yapvn+cK+FW9961vLK/nr5bHzBcG0BJUD84oKvs7Qa60Jtl1JCb1dXe1XYivvXXbZpYs5+QpwS2EtQfOKb85XtkkfZ+y8W+/doqHRGL3oRS8q22TXcAKmRGsseqe4Ao0imZTftptWT+26aEmfPSNcgxIPysgRRxxR7rmi+0n0oi7a4fGggw5a6lX76pyGz1Sv5Z4rglfvexa7MNdbpc8USof9L+RvOOdDh6L9oBQOanqMMvLRj3607GRtq+6Aom2XUoMo+4gcc8wxpaNRBurHVEi7emR/mW233bYL/R/kiPXaM/TLX3KgI1PfpuvwWb7di+L64he/uLSZ5IXVLrbBhx1r1VPTqRSTQUB2tTlerFkrtPYroTTbO2ZFrD927n7GM55RltiHFWC2aIcMZqWhVtKUMR8v+yWpm4PA3ibq5itf+colSsnuu+9etuxXhvou+xSRA1txLK9N0M9pE/RX9bb/UKYveMELSh2oZ0J626WBQSEZJF7t7bXOo4THtPOf11j73FaS7ptJvAJdeLyC2XLLnXbaaaJtJMv5XGg77GVevT1fWPrpObwGfCHw2nqvqZ4rdrhsG5jubPL19f2ewzJf4e2oceIRj3hEeV36ykbbWSzzan+0jXXJG0erHHahy0K2xZF3p5566kSrpJclfMLaDnDJ69/RKgjL7NA4CC688MKJxz/+8d3Z5Ll7W8Zst+G2M55yqfd0WCLuOc4+++wuZOZ45XuriJTXzLfKSHn1etR/r5mPV7EPkte85jUTxx9/fHc2ycte9rLyDM9+9rMn2s63LL107piOyy67rMSR/n6oq75vlbUuZGnazrh83456u5BlaTvBJWlxn6997WslX5y/+c1v7mJN4jks3x805EZ5oB3MlPsrL+lRfu95z3vKd7NB++wZWiWxC5k56lqrDBS5Jb/kmDwHj3vc4yY+/vGPd2eDQTm0g7XSDgbqrTR4jlZJKX2w+t0q0CWsVQq7mMtiJ1txxO3HxhtvXOrWQrBSecPRVGn/NMx607b3ve99zVOe8pSiIYImaKRVm8RWFNewU95CYDT1hje8oawaWghsnDOIVS6m02jgrTyWc6N3Wnn9HMyDpnOMgGxqlyyN0Y8RMCtZyHE/jGq8TM4oKvBbLy3kXV/DWjUfb71mBWEFgxHdXnvtVayUwoy41dHaUX6meCdV2/HO2snZO0+MkC+66KJioWAlcbSdavmebM7V9N0PsuzlcTWHHnpo8Y3yPhcYbVv54IVt02F1IwvJ+9///i5kaeTnhz/84bJRZD/OOeec8vvpdqhlHZIO6QlLESuJ9O65557lPPBcg7Im1SgHU2dQPqa0lJVyU37yTXnOBu/MITdnnXVWFzJzWBC1geSW/JJj8sxXB8IGvcBDvmoPa4sFlL16XOc7yz+r53RuAyyC4og7bFYahYTAKDDKhzdBcrwNbnvb25ZlTvNRgRYS5tonP/nJS73RdTFCiTOFUD9HOxIqb/+0NJtDp6meZGmY42eylTOzrDd51jApc5xdaCgRdtqNdOukLcG39Hu2mAIyhThbHwOr8MgX8zQoxN5s+q53vaucLyR8JLwwsX6DrTfiLs9PilJpinOqMjTF4c3nU/nu+J3fT2XWD6RDegLplN5hbI2ufJRT+DEoP20EpWA2kBdyY1pjtkiDNimmisix6XJyvdAoQ/W4RptQv7V+KsQJP7VhstIoJOYfjcBpgysyz5gMF3OmtHzll4wP6mU95w7nynuhkIZea6jBSVjsktGkn+xgIQeW5LRXdsjN8hS7pD8rjULi1clMuTRBpsl6OoB50Y6Xi70B4txltOclY4sZDQ2HTY5TgWVmXty49957l+k10zfJ0tht+Gtf+1p3NjUcA70WvcYUDtP3QsO5nFOkNEEDb2nzimys+NnPfrY4tM5WmTHdwBmcwzQ4bXLI7J2GWAg4gGqf6jp82WWXNd/5zne6s6mxY+9UZei6HFKncjDlUFy/72sqpEN6AumU3kE5rs4GzvumWixphvIzLc/Bczawtp500knFSX62kFPyGjJHjs8777yhvF9LGfYuJplpmyCOuMNmpVFIYPWPzo43NQ/2gAAzE8eyJia8O9zhDiXuXKGt1+bX+UTl3GeffZaajppPLD2NxmAu8FC3qiFGFbzCrX1/znOeU86xxRZblHJRJr5LloYybbUGs2vv3HIN3ylm95iegN9aecb0XmNlh+nMQSvq/ABiJ0jTcvY4sLpDGvgwGCBQLGYLczVfEB3CbPDyRr4QpglNR1jOyg+HUgLTESvyxtnlQZZ7p1f5gJk6iNUeVh+ZXtMeTYdVLfe5z32aXXfdtQtZGiv9vLH11FNP7UKWxj39fjqlVHqlQ3qibfTCS781FV7DL2w+rFz1m3P5zJFRg03lpvxMvVg9Nhus2ON7Uq/omykUGX4s2kIrMl2DPHvbM8j5oP2P1Ef10rPXUO65I9T9lvtrE6Zb4UOpFMeL9IbNSrPsl8Bp8GyQZvncAQcc0H07Ofo2utIxxnJZWr+pHZV4RfF7Dl8a12iA5xNLt2y5vu+++xbFZL75zGc+UxoAI5XpOsHpoNDII2VkqaORluvGnHfdSZ544onFYU1+agjEq60o4wgHvnp+XiPEMVUe9DrvsTTIP+U/ldlaJ2Hem6Od+sBB0aiXU6ROxCjRZnPQGVrOaZpMJz0IpP/cc88taawtEAYD0qHcp3OsnA5LiVk6dTAU2Nki71iO7MlSKwpkzLW1BYOyzMkHnTirX+0fot0k5/vtt1/ZN4lSLq7pSvVjKnQ4fCd0zr1+BDB65rio7etXlpwhKYIcMqdzij777LNLXXfw3+D0zBma02y93JiDNcuBtoHFaRBoK1h5WEHqqVv+gdpuA83wJ5kNNvri2Or3lIkVgYO/ukruakVBGbNas5jEgHeuKEvWcHIeU1b8fyiUypCDr3TwZ2H1skRbfZtqkQYFRhlaXt5rXdJv6c8pLXUb39suDYqxV0hsLU4YVNTl+R8QGI2ShlghOZ+uci4PwuL3c7nGqEPY5dNcRkOEWwepE5VnPk/n50NkVUqbATGRznZEtFgwstJIfuxjH1vyjihWIp0ipcS+B3OBEuh6Gnp7U5B58l+vClCuVpmoE4NAGSvbYThBzoXYe2NQ+UDO5f90qx/cy4rAesS7oshzzxDlPVd0biy//Xw4AvKrExtknuk0PcNiQvsmzwdRjpAPFPdawdAWUMbUL8qZ8tYuz1UJ0ha4nnYgrmVvE3tPWYk6nfyuCANRSOqMpojYqr1eVjgMYoR48sknFwXJdMaxxx5bwpLFD18Sq6bGfev4ddddt0zBhdJl2abRHAtRkswUikFsHU8RSpKZoj/nY8UyBT5EpgBZaQY9sJizQmJPCE6GQVxu2F7GdvOzBNbaanNrRhrp+Tw+kDN+QEySg5pOGDU8ozn72tmMZcQUQspyMlvIU8pNMlvIjdmFeu8uS4xn4mg9WwY+ZWNjHz4ZNPJ6Li1JkiRJkmQqBr7Khrc36qVhSZIkSZIk0zFwhSQ8/4ftQxLYLtmLyJLxgzXuC1/4Qnc2fnCirHfFTJIkGQW0S9qnQTNQhYQ3bqx39l6BUcByJUuhkvHDksP5qBSjgtUJ8c6XJEmSUcHGlfOxz8xAFRIrbGKd/ii8qCdJkiRJksXBQBUSmyrF5inWRY/7plVJkiRJkgyGgSokdtGLRTs2rxmVzdGSJEmSJBltBqaQUETq+W47Ps7kZU1JkiRJkiQDU0i8A6J+f4bdW0fFsTVJkiRJktFmYAqJZb69e6zZi2TA+64lSZIkSTKGDEwh8cIdS3698Mf2xFbb/Pvf/y5LM5MkSZIkSaZjYAqJ16Gzhlhps80225S3Gzq/zW1u08VIkiRJkiTpz8AUkmS4nHXWWeVtjB/60Ie6kCRJkiRZPKRCMgaceeaZzZ577tl86lOfKtvk77HHHsVClSTJystVV13VfP3rXy+fLTI4+OCDy38I932SjBKpkIwBtk9/3OMeVywkX/7yl8vmdC9/+cu7b5MkWRkxQHn1q19dPv/4xz9u3va2tzU/+clPyvkJJ5zQXHLJJeVzkowKqZCMGausskrz1re+tTn55JObH/3oR11okiQrG1tssUXzne98p3zu99/3STJKpEIyhmy00UbNrrvu2lxwwQVdSJIkKxsUjiuvvLIsLqgVEef2jbr97W9fwpJkVJiRQmJK4B//+Ed31hT/hOOPP77ZZ599mvPOO68LTUaJe9zjHrl1f5KsxNzkJjdp1lhjjebnP/95UUTufve7l/8//elPm7XWWqt8lySjxLQKidcLP/WpT23WX3/9ZsMNN2zOOOOM8trhu971rqWzu//9798885nPbB7zmMeUPUiS0eFOd7pT841vfKM7S5JkZSSmbVhKdtttt/LfkdM1ySgyrULy/Oc/v/n2t7/dXHPNNc1nPvOZ5rDDDisd3bOe9azmwx/+cPOEJzyhdHq2jD/kkEO6XyWjAP+RW9/61t1ZkiQrI6GQOKy+i8+pkCSjyLQKCedIntlrrrlms+WWWzbPfe5zm3vd617NgQce2MVomlVXXbU59dRTy9LTtJKMDixY2267bXeWJMnKCMXDW9ivf/3rF58Ru2hbfZMKSTKKTKuQ3PzmN2++8IUvdGdNs9deey1ZRlbzla98pcxH2i4+GT5//etfywZpO+64YxeSJMnKCMXj3HPPXaKA+H/OOeekQpKMJNMqJO9617uaq6++ujtrmk022aRYSGo+/elPN7vvvnvznve8JxWSEeHoo49udthhh2brrbfuQpIkWRmpFZF+/5NklJhWIbnLXe7SHHnkkd1Zf5gBLS990IMe1IUsblgXFiPK4I1vfGOz//77Nx//+Mf7WrIWA4s1/5NkFNlggw3KfwsTsN5665X/N7vZzcr/JBklplVIZgLBvtvd7tadLS7++Mc/Np/4xCeaF7/4xc397ne/Mr/KcXexYbTzyEc+svnWt75V9iD50pe+1Ky77rrdt4sLiq1yeOADH9i84hWvKLtJppIyPb///e+bCy+8sDnppJO6kCT5H/xHLEbAne9857J5YpL0ov3QjmhPhsV1JuySM0A4Uz7taU8bmT0w3v72tzef//znm1NOOaWsCLr00kubiy++uPjG/OY3v2lWW2214oz7n//8p8Q/6KCDmne84x3lc7Lw3Pe+9y0ruqDh5DRtK3zLzrfbbruy1NweK3e4wx2aXXbZpVjwKC/jiIZhs802W6qB+Pe//91cfvnlRY45K6pnv/vd75rrXe96JZ8GXJ2TJFlJMBDUH+oLb3rTmzb3vOc9ix+i9tZsSe2SYR8b70Lyf5CsFAqJ5cmBDq7e5K2X29zmNktGE8nCQ25+8YtfdGfLsvrqqy+1motGP84KyS1vecvmzW9+c7EUWR3xwx/+sDQaNifslWOO5ZbpJ0mSzBaW9r/85S/d2ST6S4qItsY2EnwTDRqf+MQnLtlgb5BMq5BYqfHa1762O5vkn//8Z3ljpEaxxgqcJz3pSSOpkLzyla9sbnWrW5VN3X7729+WtJsGsPFbLzvvvHN5jmQ4HHvssaWcelEpQhkxL24Zuv0UdNbjrJCss8463dnyYVEKH4EkSZLZYMZgNm+J1z4tqELyy1/+svn+97/fnU1iv5Ff/epXy/habLzxxsW8PIoKiSkb/yETvRFX2EUXXVTM3xQsJm9b5HMKPe2000rcZOGxd4ryse21ykFDt1qI6dAKL59vfOMbl7gUkZVhyuayyy4r9SmsJD/4wQ+aG97whsW0apomkGf8opIkSWaL9kMfGBi48z9iHbnd7W5X/CxZR2IKZySmbE488cTyCutey0kw6gpJP7yaW3opKFtttVXz9Kc/vfsmWWjsDvynP/2pmAYJPifdqVhZFBL/aygi4Q/Fj4Q/lMEDZlmdkyRJCnxIoM01+OOvx4+ECwPFpGZkfEjGUSFJFicrq0LSD5YRq6zuc5/7dCFJkiQz53Of+1wZkNuZfXnMl0Iy7bJf8/XeY1MfRq/8L3rDa1PPKMG09NCHPrQ7S8YJfks67KQpjUgqI0mSrCjaj5koI/PJtBYS76jx/poayw79pHct+1Oe8pTmBS94wchZSJJksaKeWdJrCV6SJMmoYHGIva5immdQzHrKZnmkQpIkSZIkyWyZ806tvTD55FtmkyRJkiSZDQO3kCRJkiRJksyWgVtIkiRJkiRJZksqJEmSJEmSDJ1USJIkSZIkGTqpkCRJkiRJMmSa5v8D66x+uoiVerg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3648075" y="1714500"/>
          <a:ext cx="3048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view="pageBreakPreview" topLeftCell="A70" zoomScale="190" zoomScaleNormal="100" zoomScaleSheetLayoutView="190" workbookViewId="0">
      <selection activeCell="B100" sqref="B100"/>
    </sheetView>
  </sheetViews>
  <sheetFormatPr defaultRowHeight="15" x14ac:dyDescent="0.25"/>
  <cols>
    <col min="1" max="1" width="17.5703125" bestFit="1" customWidth="1"/>
    <col min="2" max="2" width="23" customWidth="1"/>
    <col min="3" max="3" width="14.140625" customWidth="1"/>
    <col min="4" max="4" width="15.7109375" customWidth="1"/>
    <col min="5" max="5" width="13.140625" customWidth="1"/>
    <col min="6" max="7" width="12.42578125" customWidth="1"/>
  </cols>
  <sheetData>
    <row r="1" spans="1:7" ht="12" customHeight="1" x14ac:dyDescent="0.25">
      <c r="A1" s="49" t="s">
        <v>156</v>
      </c>
      <c r="B1" s="75" t="s">
        <v>157</v>
      </c>
      <c r="C1" s="75"/>
      <c r="D1" s="75"/>
      <c r="E1" s="75"/>
      <c r="F1" s="50"/>
      <c r="G1" s="51"/>
    </row>
    <row r="2" spans="1:7" ht="12" customHeight="1" x14ac:dyDescent="0.25">
      <c r="A2" s="49" t="s">
        <v>158</v>
      </c>
      <c r="B2" s="75" t="s">
        <v>159</v>
      </c>
      <c r="C2" s="75"/>
      <c r="D2" s="75"/>
      <c r="E2" s="75"/>
      <c r="F2" s="50"/>
      <c r="G2" s="51"/>
    </row>
    <row r="3" spans="1:7" ht="12" customHeight="1" x14ac:dyDescent="0.25">
      <c r="A3" s="49" t="s">
        <v>160</v>
      </c>
      <c r="B3" s="75" t="s">
        <v>161</v>
      </c>
      <c r="C3" s="75"/>
      <c r="D3" s="75"/>
      <c r="E3" s="75"/>
      <c r="F3" s="50"/>
      <c r="G3" s="51"/>
    </row>
    <row r="4" spans="1:7" ht="12" customHeight="1" x14ac:dyDescent="0.25">
      <c r="A4" s="76" t="s">
        <v>228</v>
      </c>
      <c r="B4" s="76"/>
      <c r="C4" s="76"/>
      <c r="D4" s="53" t="s">
        <v>162</v>
      </c>
      <c r="E4" s="53"/>
      <c r="F4" s="50"/>
      <c r="G4" s="52"/>
    </row>
    <row r="5" spans="1:7" ht="12" customHeight="1" x14ac:dyDescent="0.25">
      <c r="A5" s="58" t="s">
        <v>163</v>
      </c>
      <c r="B5" s="58"/>
      <c r="C5" s="58"/>
      <c r="D5" s="80" t="s">
        <v>164</v>
      </c>
      <c r="E5" s="80"/>
      <c r="F5" s="50"/>
      <c r="G5" s="52"/>
    </row>
    <row r="6" spans="1:7" ht="12" customHeight="1" x14ac:dyDescent="0.25">
      <c r="A6" s="57" t="s">
        <v>165</v>
      </c>
      <c r="B6" s="57"/>
      <c r="C6" s="57"/>
      <c r="D6" s="79">
        <v>340.7</v>
      </c>
      <c r="E6" s="79"/>
      <c r="F6" s="50"/>
      <c r="G6" s="52"/>
    </row>
    <row r="7" spans="1:7" ht="12" customHeight="1" x14ac:dyDescent="0.25">
      <c r="A7" s="58" t="s">
        <v>166</v>
      </c>
      <c r="B7" s="58"/>
      <c r="C7" s="58"/>
      <c r="D7" s="80">
        <v>33333</v>
      </c>
      <c r="E7" s="80"/>
      <c r="F7" s="50"/>
      <c r="G7" s="52"/>
    </row>
    <row r="8" spans="1:7" ht="12" customHeight="1" x14ac:dyDescent="0.25">
      <c r="A8" s="71" t="s">
        <v>167</v>
      </c>
      <c r="B8" s="57"/>
      <c r="C8" s="57"/>
      <c r="D8" s="83" t="s">
        <v>168</v>
      </c>
      <c r="E8" s="83"/>
      <c r="F8" s="50"/>
      <c r="G8" s="52"/>
    </row>
    <row r="9" spans="1:7" ht="12" customHeight="1" x14ac:dyDescent="0.25">
      <c r="A9" s="58" t="s">
        <v>169</v>
      </c>
      <c r="B9" s="58"/>
      <c r="C9" s="58"/>
      <c r="D9" s="80" t="s">
        <v>170</v>
      </c>
      <c r="E9" s="80"/>
      <c r="F9" s="50"/>
      <c r="G9" s="52"/>
    </row>
    <row r="10" spans="1:7" ht="12" customHeight="1" x14ac:dyDescent="0.25">
      <c r="A10" s="81" t="s">
        <v>171</v>
      </c>
      <c r="B10" s="81"/>
      <c r="C10" s="57"/>
      <c r="D10" s="84" t="s">
        <v>172</v>
      </c>
      <c r="E10" s="84"/>
      <c r="F10" s="50"/>
      <c r="G10" s="52"/>
    </row>
    <row r="11" spans="1:7" ht="12" customHeight="1" x14ac:dyDescent="0.25">
      <c r="A11" s="76" t="s">
        <v>173</v>
      </c>
      <c r="B11" s="76"/>
      <c r="C11" s="76"/>
      <c r="D11" s="76"/>
      <c r="E11" s="76"/>
      <c r="F11" s="50"/>
      <c r="G11" s="52"/>
    </row>
    <row r="12" spans="1:7" ht="12" customHeight="1" x14ac:dyDescent="0.25">
      <c r="A12" s="85" t="s">
        <v>174</v>
      </c>
      <c r="B12" s="85"/>
      <c r="C12" s="85"/>
      <c r="D12" s="86" t="s">
        <v>175</v>
      </c>
      <c r="E12" s="86"/>
      <c r="F12" s="54"/>
      <c r="G12" s="54"/>
    </row>
    <row r="13" spans="1:7" ht="12" customHeight="1" x14ac:dyDescent="0.25">
      <c r="A13" s="81" t="s">
        <v>176</v>
      </c>
      <c r="B13" s="81"/>
      <c r="C13" s="81"/>
      <c r="D13" s="82" t="s">
        <v>177</v>
      </c>
      <c r="E13" s="82"/>
      <c r="F13" s="54"/>
      <c r="G13" s="54"/>
    </row>
    <row r="14" spans="1:7" s="72" customFormat="1" ht="12" customHeight="1" x14ac:dyDescent="0.25">
      <c r="A14" s="85" t="s">
        <v>178</v>
      </c>
      <c r="B14" s="85"/>
      <c r="C14" s="85"/>
      <c r="D14" s="90" t="s">
        <v>243</v>
      </c>
      <c r="E14" s="90"/>
      <c r="F14" s="54"/>
      <c r="G14" s="54"/>
    </row>
    <row r="15" spans="1:7" ht="12" customHeight="1" x14ac:dyDescent="0.25">
      <c r="A15" s="81" t="s">
        <v>179</v>
      </c>
      <c r="B15" s="81"/>
      <c r="C15" s="81"/>
      <c r="D15" s="82" t="s">
        <v>243</v>
      </c>
      <c r="E15" s="82"/>
      <c r="F15" s="54"/>
      <c r="G15" s="54"/>
    </row>
    <row r="16" spans="1:7" ht="12" customHeight="1" x14ac:dyDescent="0.25">
      <c r="A16" s="85" t="s">
        <v>180</v>
      </c>
      <c r="B16" s="85"/>
      <c r="C16" s="85"/>
      <c r="D16" s="90" t="s">
        <v>181</v>
      </c>
      <c r="E16" s="90"/>
      <c r="F16" s="54"/>
      <c r="G16" s="54"/>
    </row>
    <row r="17" spans="1:7" ht="12" customHeight="1" x14ac:dyDescent="0.25">
      <c r="A17" s="76" t="s">
        <v>182</v>
      </c>
      <c r="B17" s="76"/>
      <c r="C17" s="76"/>
      <c r="D17" s="76"/>
      <c r="E17" s="76"/>
      <c r="F17" s="50"/>
      <c r="G17" s="52"/>
    </row>
    <row r="18" spans="1:7" ht="12" customHeight="1" x14ac:dyDescent="0.25">
      <c r="A18" s="87" t="s">
        <v>183</v>
      </c>
      <c r="B18" s="87"/>
      <c r="C18" s="55" t="s">
        <v>184</v>
      </c>
      <c r="D18" s="64"/>
      <c r="E18" s="65" t="s">
        <v>185</v>
      </c>
    </row>
    <row r="19" spans="1:7" ht="12" customHeight="1" x14ac:dyDescent="0.25">
      <c r="A19" s="81" t="s">
        <v>186</v>
      </c>
      <c r="B19" s="81"/>
      <c r="C19" s="88">
        <v>44</v>
      </c>
      <c r="D19" s="88"/>
      <c r="E19" s="66" t="s">
        <v>187</v>
      </c>
    </row>
    <row r="20" spans="1:7" ht="12" customHeight="1" x14ac:dyDescent="0.25">
      <c r="A20" s="85" t="s">
        <v>188</v>
      </c>
      <c r="B20" s="85"/>
      <c r="C20" s="89">
        <v>11</v>
      </c>
      <c r="D20" s="89"/>
      <c r="E20" s="67" t="s">
        <v>185</v>
      </c>
    </row>
    <row r="21" spans="1:7" ht="12" customHeight="1" x14ac:dyDescent="0.25">
      <c r="A21" s="81" t="s">
        <v>189</v>
      </c>
      <c r="B21" s="81"/>
      <c r="C21" s="88">
        <v>14.2</v>
      </c>
      <c r="D21" s="88"/>
      <c r="E21" s="66" t="s">
        <v>187</v>
      </c>
    </row>
    <row r="22" spans="1:7" ht="12" customHeight="1" x14ac:dyDescent="0.25">
      <c r="A22" s="85" t="s">
        <v>190</v>
      </c>
      <c r="B22" s="85"/>
      <c r="C22" s="89">
        <v>62.2</v>
      </c>
      <c r="D22" s="89"/>
      <c r="E22" s="67" t="s">
        <v>185</v>
      </c>
    </row>
    <row r="23" spans="1:7" ht="12" customHeight="1" x14ac:dyDescent="0.25">
      <c r="A23" s="81" t="s">
        <v>191</v>
      </c>
      <c r="B23" s="81"/>
      <c r="C23" s="88">
        <v>102.8</v>
      </c>
      <c r="D23" s="88"/>
      <c r="E23" s="66" t="s">
        <v>192</v>
      </c>
    </row>
    <row r="24" spans="1:7" ht="12" customHeight="1" x14ac:dyDescent="0.25">
      <c r="A24" s="85" t="s">
        <v>227</v>
      </c>
      <c r="B24" s="85"/>
      <c r="C24" s="89">
        <v>340.7</v>
      </c>
      <c r="D24" s="89"/>
      <c r="E24" s="67" t="s">
        <v>193</v>
      </c>
    </row>
    <row r="25" spans="1:7" ht="12" customHeight="1" x14ac:dyDescent="0.25">
      <c r="A25" s="81" t="s">
        <v>194</v>
      </c>
      <c r="B25" s="81"/>
      <c r="C25" s="88">
        <v>11</v>
      </c>
      <c r="D25" s="88"/>
      <c r="E25" s="66" t="s">
        <v>187</v>
      </c>
    </row>
    <row r="26" spans="1:7" ht="12" customHeight="1" x14ac:dyDescent="0.25">
      <c r="A26" s="85" t="s">
        <v>195</v>
      </c>
      <c r="B26" s="85"/>
      <c r="C26" s="89">
        <v>22</v>
      </c>
      <c r="D26" s="89"/>
      <c r="E26" s="67" t="s">
        <v>187</v>
      </c>
    </row>
    <row r="27" spans="1:7" ht="12" customHeight="1" x14ac:dyDescent="0.25">
      <c r="A27" s="81" t="s">
        <v>196</v>
      </c>
      <c r="B27" s="81"/>
      <c r="C27" s="88">
        <v>26.6</v>
      </c>
      <c r="D27" s="88"/>
      <c r="E27" s="66" t="s">
        <v>197</v>
      </c>
    </row>
    <row r="28" spans="1:7" ht="12" customHeight="1" x14ac:dyDescent="0.25">
      <c r="A28" s="85" t="s">
        <v>198</v>
      </c>
      <c r="B28" s="85"/>
      <c r="C28" s="89">
        <v>85.8</v>
      </c>
      <c r="D28" s="89"/>
      <c r="E28" s="67" t="s">
        <v>199</v>
      </c>
    </row>
    <row r="29" spans="1:7" ht="12" customHeight="1" x14ac:dyDescent="0.25">
      <c r="A29" s="81" t="s">
        <v>200</v>
      </c>
      <c r="B29" s="81"/>
      <c r="C29" s="92">
        <v>71</v>
      </c>
      <c r="D29" s="92"/>
      <c r="E29" s="68"/>
    </row>
    <row r="30" spans="1:7" ht="12" customHeight="1" x14ac:dyDescent="0.25">
      <c r="A30" s="85" t="s">
        <v>201</v>
      </c>
      <c r="B30" s="85"/>
      <c r="C30" s="89" t="s">
        <v>202</v>
      </c>
      <c r="D30" s="89"/>
      <c r="E30" s="69"/>
    </row>
    <row r="31" spans="1:7" ht="12" customHeight="1" x14ac:dyDescent="0.25">
      <c r="A31" s="56" t="s">
        <v>203</v>
      </c>
      <c r="B31" s="57"/>
      <c r="C31" s="88"/>
      <c r="D31" s="88"/>
      <c r="E31" s="63" t="s">
        <v>204</v>
      </c>
    </row>
    <row r="32" spans="1:7" ht="12" customHeight="1" x14ac:dyDescent="0.25">
      <c r="A32" s="76" t="s">
        <v>229</v>
      </c>
      <c r="B32" s="76"/>
      <c r="C32" s="76"/>
      <c r="D32" s="76"/>
      <c r="E32" s="76"/>
      <c r="F32" s="50"/>
      <c r="G32" s="52"/>
    </row>
    <row r="33" spans="1:7" ht="12" customHeight="1" x14ac:dyDescent="0.25">
      <c r="A33" s="85" t="s">
        <v>205</v>
      </c>
      <c r="B33" s="85"/>
      <c r="C33" s="91">
        <v>33333</v>
      </c>
      <c r="D33" s="91"/>
      <c r="E33" s="67" t="s">
        <v>197</v>
      </c>
    </row>
    <row r="34" spans="1:7" ht="12" customHeight="1" x14ac:dyDescent="0.25">
      <c r="A34" s="81" t="s">
        <v>206</v>
      </c>
      <c r="B34" s="81"/>
      <c r="C34" s="95">
        <v>111</v>
      </c>
      <c r="D34" s="95"/>
      <c r="E34" s="66" t="s">
        <v>192</v>
      </c>
    </row>
    <row r="35" spans="1:7" ht="12" customHeight="1" x14ac:dyDescent="0.25">
      <c r="A35" s="85" t="s">
        <v>207</v>
      </c>
      <c r="B35" s="85"/>
      <c r="C35" s="91">
        <v>259.3</v>
      </c>
      <c r="D35" s="91"/>
      <c r="E35" s="67" t="s">
        <v>192</v>
      </c>
    </row>
    <row r="36" spans="1:7" ht="12" customHeight="1" x14ac:dyDescent="0.25">
      <c r="A36" s="81" t="s">
        <v>208</v>
      </c>
      <c r="B36" s="81"/>
      <c r="C36" s="94">
        <v>1513</v>
      </c>
      <c r="D36" s="94"/>
      <c r="E36" s="66" t="s">
        <v>209</v>
      </c>
    </row>
    <row r="37" spans="1:7" ht="12" customHeight="1" x14ac:dyDescent="0.25">
      <c r="A37" s="85" t="s">
        <v>210</v>
      </c>
      <c r="B37" s="85"/>
      <c r="C37" s="91">
        <v>2370</v>
      </c>
      <c r="D37" s="91"/>
      <c r="E37" s="67" t="s">
        <v>209</v>
      </c>
    </row>
    <row r="38" spans="1:7" ht="12" customHeight="1" x14ac:dyDescent="0.25">
      <c r="A38" s="81" t="s">
        <v>211</v>
      </c>
      <c r="B38" s="81"/>
      <c r="C38" s="94">
        <v>63</v>
      </c>
      <c r="D38" s="94"/>
      <c r="E38" s="66" t="s">
        <v>185</v>
      </c>
    </row>
    <row r="39" spans="1:7" ht="12" customHeight="1" x14ac:dyDescent="0.25">
      <c r="A39" s="85" t="s">
        <v>212</v>
      </c>
      <c r="B39" s="85"/>
      <c r="C39" s="89" t="s">
        <v>213</v>
      </c>
      <c r="D39" s="89"/>
      <c r="E39" s="70"/>
    </row>
    <row r="40" spans="1:7" ht="12" customHeight="1" x14ac:dyDescent="0.25">
      <c r="A40" s="81" t="s">
        <v>214</v>
      </c>
      <c r="B40" s="81"/>
      <c r="C40" s="88" t="s">
        <v>215</v>
      </c>
      <c r="D40" s="88"/>
      <c r="E40" s="66" t="s">
        <v>216</v>
      </c>
    </row>
    <row r="41" spans="1:7" ht="12" customHeight="1" x14ac:dyDescent="0.25">
      <c r="A41" s="85" t="s">
        <v>217</v>
      </c>
      <c r="B41" s="85"/>
      <c r="C41" s="89">
        <v>30</v>
      </c>
      <c r="D41" s="89"/>
      <c r="E41" s="67" t="s">
        <v>48</v>
      </c>
    </row>
    <row r="42" spans="1:7" ht="12" customHeight="1" x14ac:dyDescent="0.25">
      <c r="A42" s="81" t="s">
        <v>218</v>
      </c>
      <c r="B42" s="81"/>
      <c r="C42" s="88">
        <v>4.8</v>
      </c>
      <c r="D42" s="88"/>
      <c r="E42" s="66" t="s">
        <v>193</v>
      </c>
    </row>
    <row r="43" spans="1:7" ht="12" customHeight="1" x14ac:dyDescent="0.25">
      <c r="A43" s="76" t="s">
        <v>219</v>
      </c>
      <c r="B43" s="76"/>
      <c r="C43" s="76"/>
      <c r="D43" s="76"/>
      <c r="E43" s="76"/>
      <c r="F43" s="50"/>
      <c r="G43" s="52"/>
    </row>
    <row r="44" spans="1:7" ht="12" customHeight="1" x14ac:dyDescent="0.25">
      <c r="A44" s="85" t="s">
        <v>220</v>
      </c>
      <c r="B44" s="85"/>
      <c r="C44" s="93">
        <v>45.5</v>
      </c>
      <c r="D44" s="93"/>
      <c r="E44" s="67" t="s">
        <v>192</v>
      </c>
    </row>
    <row r="45" spans="1:7" ht="12" customHeight="1" x14ac:dyDescent="0.25">
      <c r="A45" s="81" t="s">
        <v>221</v>
      </c>
      <c r="B45" s="81"/>
      <c r="C45" s="94" t="s">
        <v>222</v>
      </c>
      <c r="D45" s="94"/>
      <c r="E45" s="66"/>
    </row>
    <row r="46" spans="1:7" ht="12" customHeight="1" x14ac:dyDescent="0.25">
      <c r="A46" s="85" t="s">
        <v>223</v>
      </c>
      <c r="B46" s="85"/>
      <c r="C46" s="91" t="s">
        <v>224</v>
      </c>
      <c r="D46" s="91"/>
      <c r="E46" s="67" t="s">
        <v>225</v>
      </c>
    </row>
    <row r="47" spans="1:7" ht="12" customHeight="1" x14ac:dyDescent="0.25">
      <c r="A47" s="81" t="s">
        <v>226</v>
      </c>
      <c r="B47" s="81"/>
      <c r="C47" s="96">
        <v>4</v>
      </c>
      <c r="D47" s="96"/>
      <c r="E47" s="63" t="s">
        <v>232</v>
      </c>
    </row>
    <row r="48" spans="1:7" ht="12" customHeight="1" x14ac:dyDescent="0.25">
      <c r="A48" s="76" t="s">
        <v>230</v>
      </c>
      <c r="B48" s="76"/>
      <c r="C48" s="76"/>
      <c r="D48" s="76"/>
      <c r="E48" s="76"/>
      <c r="F48" s="50"/>
      <c r="G48" s="52"/>
    </row>
    <row r="49" spans="1:7" ht="12" customHeight="1" x14ac:dyDescent="0.25">
      <c r="A49" s="85" t="s">
        <v>220</v>
      </c>
      <c r="B49" s="85"/>
      <c r="C49" s="93"/>
      <c r="D49" s="93"/>
      <c r="E49" s="67" t="s">
        <v>192</v>
      </c>
    </row>
    <row r="50" spans="1:7" ht="12" customHeight="1" x14ac:dyDescent="0.25">
      <c r="A50" s="81" t="s">
        <v>233</v>
      </c>
      <c r="B50" s="81"/>
      <c r="C50" s="94" t="s">
        <v>234</v>
      </c>
      <c r="D50" s="94"/>
      <c r="E50" s="66"/>
    </row>
    <row r="51" spans="1:7" ht="12" customHeight="1" x14ac:dyDescent="0.25">
      <c r="A51" s="85" t="s">
        <v>231</v>
      </c>
      <c r="B51" s="85"/>
      <c r="C51" s="91" t="s">
        <v>235</v>
      </c>
      <c r="D51" s="91"/>
      <c r="E51" s="67" t="s">
        <v>225</v>
      </c>
    </row>
    <row r="52" spans="1:7" ht="12" customHeight="1" x14ac:dyDescent="0.25">
      <c r="A52" s="81" t="s">
        <v>226</v>
      </c>
      <c r="B52" s="81"/>
      <c r="C52" s="96" t="s">
        <v>236</v>
      </c>
      <c r="D52" s="96"/>
      <c r="E52" s="63" t="s">
        <v>232</v>
      </c>
    </row>
    <row r="53" spans="1:7" ht="12" customHeight="1" x14ac:dyDescent="0.25">
      <c r="A53" s="49" t="s">
        <v>156</v>
      </c>
      <c r="B53" s="75" t="str">
        <f>B1</f>
        <v>Enter your data</v>
      </c>
      <c r="C53" s="75"/>
      <c r="D53" s="75"/>
      <c r="E53" s="75"/>
      <c r="F53" s="50"/>
      <c r="G53" s="51"/>
    </row>
    <row r="54" spans="1:7" ht="12" customHeight="1" x14ac:dyDescent="0.25">
      <c r="A54" s="49" t="s">
        <v>158</v>
      </c>
      <c r="B54" s="75" t="str">
        <f>B2</f>
        <v>Geniox Tera C Macro CRAH</v>
      </c>
      <c r="C54" s="75"/>
      <c r="D54" s="75"/>
      <c r="E54" s="75"/>
      <c r="F54" s="50"/>
      <c r="G54" s="51"/>
    </row>
    <row r="55" spans="1:7" ht="12" customHeight="1" x14ac:dyDescent="0.25">
      <c r="A55" s="49" t="s">
        <v>160</v>
      </c>
      <c r="B55" s="75" t="str">
        <f>B3</f>
        <v>TERA 170</v>
      </c>
      <c r="C55" s="75"/>
      <c r="D55" s="75"/>
      <c r="E55" s="75"/>
      <c r="F55" s="50"/>
      <c r="G55" s="51"/>
    </row>
    <row r="56" spans="1:7" ht="12" customHeight="1" x14ac:dyDescent="0.25">
      <c r="A56" s="76" t="s">
        <v>244</v>
      </c>
      <c r="B56" s="76"/>
      <c r="C56" s="76"/>
      <c r="D56" s="76"/>
      <c r="E56" s="76"/>
      <c r="F56" s="60"/>
      <c r="G56" s="59"/>
    </row>
    <row r="57" spans="1:7" ht="12" customHeight="1" x14ac:dyDescent="0.25">
      <c r="A57" s="77" t="s">
        <v>237</v>
      </c>
      <c r="B57" s="77"/>
      <c r="C57" s="74"/>
      <c r="D57" s="74"/>
      <c r="E57" s="74"/>
      <c r="F57" s="60"/>
      <c r="G57" s="59"/>
    </row>
    <row r="58" spans="1:7" ht="12" customHeight="1" x14ac:dyDescent="0.25">
      <c r="A58" s="78" t="s">
        <v>108</v>
      </c>
      <c r="B58" s="78"/>
      <c r="C58" s="73"/>
      <c r="D58" s="73"/>
      <c r="E58" s="73"/>
      <c r="F58" s="60"/>
      <c r="G58" s="59"/>
    </row>
    <row r="59" spans="1:7" ht="12" customHeight="1" x14ac:dyDescent="0.25">
      <c r="A59" s="77" t="s">
        <v>238</v>
      </c>
      <c r="B59" s="77"/>
      <c r="C59" s="74"/>
      <c r="D59" s="74"/>
      <c r="E59" s="74"/>
      <c r="F59" s="60"/>
      <c r="G59" s="59"/>
    </row>
    <row r="60" spans="1:7" ht="12" customHeight="1" x14ac:dyDescent="0.25">
      <c r="A60" s="78" t="s">
        <v>73</v>
      </c>
      <c r="B60" s="78"/>
      <c r="C60" s="73"/>
      <c r="D60" s="73"/>
      <c r="E60" s="73"/>
      <c r="F60" s="60"/>
      <c r="G60" s="59"/>
    </row>
    <row r="61" spans="1:7" ht="12" customHeight="1" x14ac:dyDescent="0.25">
      <c r="A61" s="77" t="s">
        <v>10</v>
      </c>
      <c r="B61" s="77"/>
      <c r="C61" s="74"/>
      <c r="D61" s="74"/>
      <c r="E61" s="74"/>
      <c r="F61" s="60"/>
      <c r="G61" s="59"/>
    </row>
    <row r="62" spans="1:7" ht="12" customHeight="1" x14ac:dyDescent="0.25">
      <c r="A62" s="78" t="s">
        <v>169</v>
      </c>
      <c r="B62" s="78"/>
      <c r="C62" s="73"/>
      <c r="D62" s="73"/>
      <c r="E62" s="73"/>
      <c r="F62" s="60"/>
      <c r="G62" s="59"/>
    </row>
    <row r="63" spans="1:7" ht="12" customHeight="1" x14ac:dyDescent="0.25">
      <c r="A63" s="77" t="s">
        <v>239</v>
      </c>
      <c r="B63" s="77"/>
      <c r="C63" s="74"/>
      <c r="D63" s="74"/>
      <c r="E63" s="74"/>
      <c r="F63" s="60"/>
      <c r="G63" s="59"/>
    </row>
    <row r="64" spans="1:7" ht="12" customHeight="1" x14ac:dyDescent="0.25">
      <c r="A64" s="78" t="s">
        <v>240</v>
      </c>
      <c r="B64" s="78"/>
      <c r="C64" s="73"/>
      <c r="D64" s="73"/>
      <c r="E64" s="73"/>
      <c r="F64" s="60"/>
      <c r="G64" s="59"/>
    </row>
    <row r="65" spans="1:7" ht="12" customHeight="1" x14ac:dyDescent="0.25">
      <c r="A65" s="77" t="s">
        <v>241</v>
      </c>
      <c r="B65" s="77"/>
      <c r="C65" s="74"/>
      <c r="D65" s="74"/>
      <c r="E65" s="74"/>
      <c r="F65" s="60"/>
      <c r="G65" s="59"/>
    </row>
    <row r="66" spans="1:7" ht="12" customHeight="1" x14ac:dyDescent="0.25">
      <c r="A66" s="78" t="s">
        <v>15</v>
      </c>
      <c r="B66" s="78"/>
      <c r="C66" s="73"/>
      <c r="D66" s="73"/>
      <c r="E66" s="73"/>
      <c r="F66" s="60"/>
      <c r="G66" s="59"/>
    </row>
    <row r="67" spans="1:7" ht="12" customHeight="1" x14ac:dyDescent="0.25">
      <c r="A67" s="77" t="s">
        <v>16</v>
      </c>
      <c r="B67" s="77"/>
      <c r="C67" s="74"/>
      <c r="D67" s="74"/>
      <c r="E67" s="74"/>
      <c r="F67" s="60"/>
      <c r="G67" s="59"/>
    </row>
    <row r="68" spans="1:7" ht="12" customHeight="1" x14ac:dyDescent="0.25">
      <c r="A68" s="78" t="s">
        <v>17</v>
      </c>
      <c r="B68" s="78"/>
      <c r="C68" s="73"/>
      <c r="D68" s="73"/>
      <c r="E68" s="73"/>
      <c r="F68" s="60"/>
      <c r="G68" s="59"/>
    </row>
    <row r="69" spans="1:7" ht="12" customHeight="1" x14ac:dyDescent="0.25">
      <c r="A69" s="77" t="s">
        <v>18</v>
      </c>
      <c r="B69" s="77"/>
      <c r="C69" s="74"/>
      <c r="D69" s="74"/>
      <c r="E69" s="74"/>
      <c r="F69" s="60"/>
      <c r="G69" s="59"/>
    </row>
    <row r="70" spans="1:7" ht="12" customHeight="1" x14ac:dyDescent="0.25">
      <c r="A70" s="78" t="s">
        <v>19</v>
      </c>
      <c r="B70" s="78"/>
      <c r="C70" s="73"/>
      <c r="D70" s="73"/>
      <c r="E70" s="73"/>
      <c r="F70" s="60"/>
      <c r="G70" s="59"/>
    </row>
    <row r="71" spans="1:7" ht="12" customHeight="1" x14ac:dyDescent="0.25">
      <c r="A71" s="77" t="s">
        <v>242</v>
      </c>
      <c r="B71" s="77"/>
      <c r="C71" s="74"/>
      <c r="D71" s="74"/>
      <c r="E71" s="74"/>
      <c r="F71" s="60"/>
      <c r="G71" s="59"/>
    </row>
    <row r="72" spans="1:7" x14ac:dyDescent="0.25">
      <c r="A72" s="59"/>
      <c r="B72" s="59"/>
      <c r="C72" s="59"/>
      <c r="D72" s="59"/>
      <c r="E72" s="60"/>
      <c r="F72" s="60"/>
      <c r="G72" s="59"/>
    </row>
    <row r="73" spans="1:7" x14ac:dyDescent="0.25">
      <c r="A73" s="59"/>
      <c r="B73" s="59"/>
      <c r="C73" s="59"/>
      <c r="D73" s="59"/>
      <c r="E73" s="60"/>
      <c r="F73" s="60"/>
      <c r="G73" s="59"/>
    </row>
    <row r="74" spans="1:7" x14ac:dyDescent="0.25">
      <c r="A74" s="59"/>
      <c r="B74" s="59"/>
      <c r="C74" s="59"/>
      <c r="D74" s="59"/>
      <c r="E74" s="60"/>
      <c r="F74" s="60"/>
      <c r="G74" s="59"/>
    </row>
    <row r="75" spans="1:7" x14ac:dyDescent="0.25">
      <c r="A75" s="59"/>
      <c r="B75" s="59"/>
      <c r="C75" s="59"/>
      <c r="D75" s="59"/>
      <c r="E75" s="60"/>
      <c r="F75" s="60"/>
      <c r="G75" s="59"/>
    </row>
    <row r="76" spans="1:7" x14ac:dyDescent="0.25">
      <c r="A76" s="59"/>
      <c r="B76" s="59"/>
      <c r="C76" s="59"/>
      <c r="D76" s="59"/>
      <c r="E76" s="60"/>
      <c r="F76" s="60"/>
      <c r="G76" s="59"/>
    </row>
    <row r="77" spans="1:7" x14ac:dyDescent="0.25">
      <c r="A77" s="59"/>
      <c r="B77" s="59"/>
      <c r="C77" s="59"/>
      <c r="D77" s="59"/>
      <c r="E77" s="60"/>
      <c r="F77" s="60"/>
      <c r="G77" s="59"/>
    </row>
    <row r="78" spans="1:7" x14ac:dyDescent="0.25">
      <c r="A78" s="59"/>
      <c r="B78" s="59"/>
      <c r="C78" s="59"/>
      <c r="D78" s="59"/>
      <c r="E78" s="60"/>
      <c r="F78" s="60"/>
      <c r="G78" s="59"/>
    </row>
    <row r="79" spans="1:7" x14ac:dyDescent="0.25">
      <c r="A79" s="59"/>
      <c r="B79" s="59"/>
      <c r="C79" s="59"/>
      <c r="D79" s="59"/>
      <c r="E79" s="60"/>
      <c r="F79" s="60"/>
      <c r="G79" s="59"/>
    </row>
    <row r="80" spans="1:7" x14ac:dyDescent="0.25">
      <c r="A80" s="59"/>
      <c r="B80" s="59"/>
      <c r="C80" s="59"/>
      <c r="D80" s="59"/>
      <c r="E80" s="60"/>
      <c r="F80" s="60"/>
      <c r="G80" s="59"/>
    </row>
    <row r="81" spans="1:7" x14ac:dyDescent="0.25">
      <c r="A81" s="59"/>
      <c r="B81" s="59"/>
      <c r="C81" s="59"/>
      <c r="D81" s="59"/>
      <c r="E81" s="60"/>
      <c r="F81" s="60"/>
      <c r="G81" s="59"/>
    </row>
    <row r="82" spans="1:7" x14ac:dyDescent="0.25">
      <c r="A82" s="59"/>
      <c r="B82" s="59"/>
      <c r="C82" s="59"/>
      <c r="D82" s="59"/>
      <c r="E82" s="60"/>
      <c r="F82" s="60"/>
      <c r="G82" s="59"/>
    </row>
    <row r="83" spans="1:7" x14ac:dyDescent="0.25">
      <c r="A83" s="59"/>
      <c r="B83" s="59"/>
      <c r="C83" s="59"/>
      <c r="D83" s="59"/>
      <c r="E83" s="60"/>
      <c r="F83" s="60"/>
      <c r="G83" s="59"/>
    </row>
    <row r="84" spans="1:7" x14ac:dyDescent="0.25">
      <c r="A84" s="59"/>
      <c r="B84" s="59"/>
      <c r="C84" s="59"/>
      <c r="D84" s="59"/>
      <c r="E84" s="60"/>
      <c r="F84" s="60"/>
      <c r="G84" s="59"/>
    </row>
    <row r="85" spans="1:7" x14ac:dyDescent="0.25">
      <c r="A85" s="59"/>
      <c r="B85" s="59"/>
      <c r="C85" s="59"/>
      <c r="D85" s="59"/>
      <c r="E85" s="60"/>
      <c r="F85" s="60"/>
      <c r="G85" s="59"/>
    </row>
    <row r="86" spans="1:7" x14ac:dyDescent="0.25">
      <c r="A86" s="59"/>
      <c r="B86" s="59"/>
      <c r="C86" s="59"/>
      <c r="D86" s="59"/>
      <c r="E86" s="60"/>
      <c r="F86" s="60"/>
      <c r="G86" s="59"/>
    </row>
    <row r="87" spans="1:7" x14ac:dyDescent="0.25">
      <c r="A87" s="59"/>
      <c r="B87" s="59"/>
      <c r="C87" s="59"/>
      <c r="D87" s="59"/>
      <c r="E87" s="60"/>
      <c r="F87" s="60"/>
      <c r="G87" s="59"/>
    </row>
    <row r="88" spans="1:7" x14ac:dyDescent="0.25">
      <c r="A88" s="59"/>
      <c r="B88" s="59"/>
      <c r="C88" s="59"/>
      <c r="D88" s="59"/>
      <c r="E88" s="60"/>
      <c r="F88" s="60"/>
      <c r="G88" s="59"/>
    </row>
    <row r="89" spans="1:7" x14ac:dyDescent="0.25">
      <c r="A89" s="59"/>
      <c r="B89" s="59"/>
      <c r="C89" s="59"/>
      <c r="D89" s="59"/>
      <c r="E89" s="60"/>
      <c r="F89" s="60"/>
      <c r="G89" s="59"/>
    </row>
    <row r="90" spans="1:7" x14ac:dyDescent="0.25">
      <c r="A90" s="59"/>
      <c r="B90" s="59"/>
      <c r="C90" s="59"/>
      <c r="D90" s="59"/>
      <c r="E90" s="60"/>
      <c r="F90" s="60"/>
      <c r="G90" s="59"/>
    </row>
    <row r="91" spans="1:7" x14ac:dyDescent="0.25">
      <c r="A91" s="59"/>
      <c r="B91" s="59"/>
      <c r="C91" s="59"/>
      <c r="D91" s="59"/>
      <c r="E91" s="60"/>
      <c r="F91" s="60"/>
      <c r="G91" s="59"/>
    </row>
    <row r="92" spans="1:7" x14ac:dyDescent="0.25">
      <c r="A92" s="59"/>
      <c r="B92" s="59"/>
      <c r="C92" s="59"/>
      <c r="D92" s="59"/>
      <c r="E92" s="60"/>
      <c r="F92" s="60"/>
      <c r="G92" s="59"/>
    </row>
    <row r="93" spans="1:7" x14ac:dyDescent="0.25">
      <c r="A93" s="59"/>
      <c r="B93" s="59"/>
      <c r="C93" s="59"/>
      <c r="D93" s="59"/>
      <c r="E93" s="60"/>
      <c r="F93" s="60"/>
      <c r="G93" s="59"/>
    </row>
    <row r="94" spans="1:7" x14ac:dyDescent="0.25">
      <c r="A94" s="59"/>
      <c r="B94" s="59"/>
      <c r="C94" s="59"/>
      <c r="D94" s="59"/>
      <c r="E94" s="60"/>
      <c r="F94" s="60"/>
      <c r="G94" s="59"/>
    </row>
    <row r="95" spans="1:7" x14ac:dyDescent="0.25">
      <c r="A95" s="59"/>
      <c r="B95" s="59"/>
      <c r="C95" s="59"/>
      <c r="D95" s="59"/>
      <c r="E95" s="60"/>
      <c r="F95" s="60"/>
      <c r="G95" s="59"/>
    </row>
    <row r="96" spans="1:7" x14ac:dyDescent="0.25">
      <c r="A96" s="59"/>
      <c r="B96" s="59"/>
      <c r="C96" s="59"/>
      <c r="D96" s="59"/>
      <c r="E96" s="60"/>
      <c r="F96" s="60"/>
      <c r="G96" s="59"/>
    </row>
    <row r="97" spans="1:7" x14ac:dyDescent="0.25">
      <c r="A97" s="59"/>
      <c r="B97" s="59"/>
      <c r="C97" s="59"/>
      <c r="D97" s="59"/>
      <c r="E97" s="60"/>
      <c r="F97" s="60"/>
      <c r="G97" s="59"/>
    </row>
    <row r="98" spans="1:7" x14ac:dyDescent="0.25">
      <c r="A98" s="59"/>
      <c r="B98" s="59"/>
      <c r="C98" s="59"/>
      <c r="D98" s="59"/>
      <c r="E98" s="60"/>
      <c r="F98" s="60"/>
      <c r="G98" s="59"/>
    </row>
    <row r="99" spans="1:7" x14ac:dyDescent="0.25">
      <c r="A99" s="59"/>
      <c r="B99" s="59"/>
      <c r="C99" s="59"/>
      <c r="D99" s="59"/>
      <c r="E99" s="60"/>
      <c r="F99" s="60"/>
      <c r="G99" s="59"/>
    </row>
    <row r="100" spans="1:7" x14ac:dyDescent="0.25">
      <c r="A100" s="59"/>
      <c r="B100" s="59"/>
      <c r="C100" s="59"/>
      <c r="D100" s="59"/>
      <c r="E100" s="60"/>
      <c r="F100" s="60"/>
      <c r="G100" s="59"/>
    </row>
    <row r="101" spans="1:7" x14ac:dyDescent="0.25">
      <c r="A101" s="59"/>
      <c r="B101" s="59"/>
      <c r="C101" s="59"/>
      <c r="D101" s="59"/>
      <c r="E101" s="60"/>
      <c r="F101" s="60"/>
      <c r="G101" s="59"/>
    </row>
    <row r="102" spans="1:7" x14ac:dyDescent="0.25">
      <c r="A102" s="59"/>
      <c r="B102" s="59"/>
      <c r="C102" s="59"/>
      <c r="D102" s="59"/>
      <c r="E102" s="60"/>
      <c r="F102" s="60"/>
      <c r="G102" s="59"/>
    </row>
    <row r="103" spans="1:7" x14ac:dyDescent="0.25">
      <c r="A103" s="59"/>
      <c r="B103" s="59"/>
      <c r="C103" s="59"/>
      <c r="D103" s="59"/>
      <c r="E103" s="60"/>
      <c r="F103" s="60"/>
      <c r="G103" s="59"/>
    </row>
    <row r="104" spans="1:7" x14ac:dyDescent="0.25">
      <c r="A104" s="59"/>
      <c r="B104" s="59"/>
      <c r="C104" s="59"/>
      <c r="D104" s="59"/>
      <c r="E104" s="60"/>
      <c r="F104" s="60"/>
      <c r="G104" s="59"/>
    </row>
    <row r="105" spans="1:7" x14ac:dyDescent="0.25">
      <c r="A105" s="59"/>
      <c r="B105" s="59"/>
      <c r="C105" s="59"/>
      <c r="D105" s="59"/>
      <c r="E105" s="60"/>
      <c r="F105" s="60"/>
      <c r="G105" s="59"/>
    </row>
    <row r="106" spans="1:7" x14ac:dyDescent="0.25">
      <c r="A106" s="59"/>
      <c r="B106" s="59"/>
      <c r="C106" s="59"/>
      <c r="D106" s="59"/>
      <c r="E106" s="60"/>
      <c r="F106" s="60"/>
      <c r="G106" s="59"/>
    </row>
    <row r="107" spans="1:7" x14ac:dyDescent="0.25">
      <c r="A107" s="59"/>
      <c r="B107" s="59"/>
      <c r="C107" s="59"/>
      <c r="D107" s="59"/>
      <c r="E107" s="60"/>
      <c r="F107" s="60"/>
      <c r="G107" s="59"/>
    </row>
    <row r="108" spans="1:7" x14ac:dyDescent="0.25">
      <c r="A108" s="59"/>
      <c r="B108" s="59"/>
      <c r="C108" s="59"/>
      <c r="D108" s="59"/>
      <c r="E108" s="60"/>
      <c r="F108" s="60"/>
      <c r="G108" s="59"/>
    </row>
    <row r="109" spans="1:7" x14ac:dyDescent="0.25">
      <c r="A109" s="59"/>
      <c r="B109" s="59"/>
      <c r="C109" s="59"/>
      <c r="D109" s="59"/>
      <c r="E109" s="60"/>
      <c r="F109" s="60"/>
      <c r="G109" s="59"/>
    </row>
    <row r="110" spans="1:7" x14ac:dyDescent="0.25">
      <c r="A110" s="59"/>
      <c r="B110" s="59"/>
      <c r="C110" s="59"/>
      <c r="D110" s="59"/>
      <c r="E110" s="60"/>
      <c r="F110" s="60"/>
      <c r="G110" s="59"/>
    </row>
    <row r="111" spans="1:7" x14ac:dyDescent="0.25">
      <c r="A111" s="59"/>
      <c r="B111" s="59"/>
      <c r="C111" s="59"/>
      <c r="D111" s="59"/>
      <c r="E111" s="60"/>
      <c r="F111" s="60"/>
      <c r="G111" s="59"/>
    </row>
    <row r="112" spans="1:7" x14ac:dyDescent="0.25">
      <c r="A112" s="59"/>
      <c r="B112" s="59"/>
      <c r="C112" s="59"/>
      <c r="D112" s="59"/>
      <c r="E112" s="60"/>
      <c r="F112" s="60"/>
      <c r="G112" s="59"/>
    </row>
    <row r="113" spans="1:7" x14ac:dyDescent="0.25">
      <c r="A113" s="59"/>
      <c r="B113" s="59"/>
      <c r="C113" s="59"/>
      <c r="D113" s="59"/>
      <c r="E113" s="60"/>
      <c r="F113" s="60"/>
      <c r="G113" s="59"/>
    </row>
    <row r="114" spans="1:7" x14ac:dyDescent="0.25">
      <c r="A114" s="59"/>
      <c r="B114" s="59"/>
      <c r="C114" s="59"/>
      <c r="D114" s="59"/>
      <c r="E114" s="60"/>
      <c r="F114" s="60"/>
      <c r="G114" s="59"/>
    </row>
    <row r="115" spans="1:7" x14ac:dyDescent="0.25">
      <c r="A115" s="59"/>
      <c r="B115" s="59"/>
      <c r="C115" s="59"/>
      <c r="D115" s="59"/>
      <c r="E115" s="60"/>
      <c r="F115" s="60"/>
      <c r="G115" s="59"/>
    </row>
    <row r="116" spans="1:7" x14ac:dyDescent="0.25">
      <c r="A116" s="59"/>
      <c r="B116" s="59"/>
      <c r="C116" s="59"/>
      <c r="D116" s="59"/>
      <c r="E116" s="60"/>
      <c r="F116" s="60"/>
      <c r="G116" s="59"/>
    </row>
    <row r="117" spans="1:7" x14ac:dyDescent="0.25">
      <c r="A117" s="59"/>
      <c r="B117" s="59"/>
      <c r="C117" s="59"/>
      <c r="D117" s="59"/>
      <c r="E117" s="60"/>
      <c r="F117" s="60"/>
      <c r="G117" s="59"/>
    </row>
    <row r="118" spans="1:7" x14ac:dyDescent="0.25">
      <c r="A118" s="59"/>
      <c r="B118" s="59"/>
      <c r="C118" s="59"/>
      <c r="D118" s="59"/>
      <c r="E118" s="60"/>
      <c r="F118" s="60"/>
      <c r="G118" s="59"/>
    </row>
    <row r="119" spans="1:7" x14ac:dyDescent="0.25">
      <c r="A119" s="59"/>
      <c r="B119" s="59"/>
      <c r="C119" s="59"/>
      <c r="D119" s="59"/>
      <c r="E119" s="60"/>
      <c r="F119" s="60"/>
      <c r="G119" s="59"/>
    </row>
    <row r="120" spans="1:7" x14ac:dyDescent="0.25">
      <c r="A120" s="59"/>
      <c r="B120" s="59"/>
      <c r="C120" s="59"/>
      <c r="D120" s="59"/>
      <c r="E120" s="60"/>
      <c r="F120" s="60"/>
      <c r="G120" s="59"/>
    </row>
    <row r="121" spans="1:7" x14ac:dyDescent="0.25">
      <c r="A121" s="59"/>
      <c r="B121" s="59"/>
      <c r="C121" s="59"/>
      <c r="D121" s="59"/>
      <c r="E121" s="60"/>
      <c r="F121" s="60"/>
      <c r="G121" s="59"/>
    </row>
    <row r="122" spans="1:7" x14ac:dyDescent="0.25">
      <c r="A122" s="59"/>
      <c r="B122" s="59"/>
      <c r="C122" s="59"/>
      <c r="D122" s="59"/>
      <c r="E122" s="60"/>
      <c r="F122" s="60"/>
      <c r="G122" s="59"/>
    </row>
    <row r="123" spans="1:7" x14ac:dyDescent="0.25">
      <c r="A123" s="59"/>
      <c r="B123" s="59"/>
      <c r="C123" s="59"/>
      <c r="D123" s="59"/>
      <c r="E123" s="60"/>
      <c r="F123" s="60"/>
      <c r="G123" s="59"/>
    </row>
    <row r="124" spans="1:7" x14ac:dyDescent="0.25">
      <c r="A124" s="59"/>
      <c r="B124" s="59"/>
      <c r="C124" s="59"/>
      <c r="D124" s="59"/>
      <c r="E124" s="60"/>
      <c r="F124" s="60"/>
      <c r="G124" s="59"/>
    </row>
    <row r="125" spans="1:7" x14ac:dyDescent="0.25">
      <c r="A125" s="59"/>
      <c r="B125" s="59"/>
      <c r="C125" s="59"/>
      <c r="D125" s="59"/>
      <c r="E125" s="60"/>
      <c r="F125" s="60"/>
      <c r="G125" s="59"/>
    </row>
    <row r="126" spans="1:7" x14ac:dyDescent="0.25">
      <c r="A126" s="59"/>
      <c r="B126" s="59"/>
      <c r="C126" s="59"/>
      <c r="D126" s="59"/>
      <c r="E126" s="60"/>
      <c r="F126" s="60"/>
      <c r="G126" s="59"/>
    </row>
    <row r="127" spans="1:7" x14ac:dyDescent="0.25">
      <c r="A127" s="59"/>
      <c r="B127" s="59"/>
      <c r="C127" s="59"/>
      <c r="D127" s="59"/>
      <c r="E127" s="60"/>
      <c r="F127" s="60"/>
      <c r="G127" s="59"/>
    </row>
    <row r="128" spans="1:7" x14ac:dyDescent="0.25">
      <c r="A128" s="59"/>
      <c r="B128" s="59"/>
      <c r="C128" s="59"/>
      <c r="D128" s="59"/>
      <c r="E128" s="60"/>
      <c r="F128" s="60"/>
      <c r="G128" s="59"/>
    </row>
    <row r="129" spans="1:7" x14ac:dyDescent="0.25">
      <c r="A129" s="59"/>
      <c r="B129" s="59"/>
      <c r="C129" s="59"/>
      <c r="D129" s="59"/>
      <c r="E129" s="60"/>
      <c r="F129" s="60"/>
      <c r="G129" s="59"/>
    </row>
    <row r="130" spans="1:7" x14ac:dyDescent="0.25">
      <c r="A130" s="59"/>
      <c r="B130" s="59"/>
      <c r="C130" s="59"/>
      <c r="D130" s="59"/>
      <c r="E130" s="60"/>
      <c r="F130" s="60"/>
      <c r="G130" s="59"/>
    </row>
    <row r="131" spans="1:7" x14ac:dyDescent="0.25">
      <c r="A131" s="61"/>
      <c r="B131" s="61"/>
      <c r="C131" s="61"/>
      <c r="D131" s="61"/>
      <c r="E131" s="62"/>
      <c r="F131" s="62"/>
      <c r="G131" s="61"/>
    </row>
    <row r="132" spans="1:7" x14ac:dyDescent="0.25">
      <c r="A132" s="61"/>
      <c r="B132" s="61"/>
      <c r="C132" s="61"/>
      <c r="D132" s="61"/>
      <c r="E132" s="62"/>
      <c r="F132" s="62"/>
      <c r="G132" s="61"/>
    </row>
    <row r="133" spans="1:7" x14ac:dyDescent="0.25">
      <c r="A133" s="61"/>
      <c r="B133" s="61"/>
      <c r="C133" s="61"/>
      <c r="D133" s="61"/>
      <c r="E133" s="62"/>
      <c r="F133" s="62"/>
      <c r="G133" s="61"/>
    </row>
    <row r="134" spans="1:7" x14ac:dyDescent="0.25">
      <c r="A134" s="61"/>
      <c r="B134" s="61"/>
      <c r="C134" s="61"/>
      <c r="D134" s="61"/>
      <c r="E134" s="62"/>
      <c r="F134" s="62"/>
      <c r="G134" s="61"/>
    </row>
    <row r="135" spans="1:7" x14ac:dyDescent="0.25">
      <c r="A135" s="61"/>
      <c r="B135" s="61"/>
      <c r="C135" s="61"/>
      <c r="D135" s="61"/>
      <c r="E135" s="62"/>
      <c r="F135" s="62"/>
      <c r="G135" s="61"/>
    </row>
    <row r="136" spans="1:7" x14ac:dyDescent="0.25">
      <c r="A136" s="61"/>
      <c r="B136" s="61"/>
      <c r="C136" s="61"/>
      <c r="D136" s="61"/>
      <c r="E136" s="62"/>
      <c r="F136" s="62"/>
      <c r="G136" s="61"/>
    </row>
    <row r="137" spans="1:7" x14ac:dyDescent="0.25">
      <c r="A137" s="61"/>
      <c r="B137" s="61"/>
      <c r="C137" s="61"/>
      <c r="D137" s="61"/>
      <c r="E137" s="62"/>
      <c r="F137" s="62"/>
      <c r="G137" s="61"/>
    </row>
    <row r="138" spans="1:7" x14ac:dyDescent="0.25">
      <c r="A138" s="61"/>
      <c r="B138" s="61"/>
      <c r="C138" s="61"/>
      <c r="D138" s="61"/>
      <c r="E138" s="62"/>
      <c r="F138" s="62"/>
      <c r="G138" s="61"/>
    </row>
    <row r="139" spans="1:7" x14ac:dyDescent="0.25">
      <c r="A139" s="61"/>
      <c r="B139" s="61"/>
      <c r="C139" s="61"/>
      <c r="D139" s="61"/>
      <c r="E139" s="62"/>
      <c r="F139" s="62"/>
      <c r="G139" s="61"/>
    </row>
    <row r="140" spans="1:7" x14ac:dyDescent="0.25">
      <c r="A140" s="61"/>
      <c r="B140" s="61"/>
      <c r="C140" s="61"/>
      <c r="D140" s="61"/>
      <c r="E140" s="62"/>
      <c r="F140" s="62"/>
      <c r="G140" s="61"/>
    </row>
    <row r="141" spans="1:7" x14ac:dyDescent="0.25">
      <c r="A141" s="61"/>
      <c r="B141" s="61"/>
      <c r="C141" s="61"/>
      <c r="D141" s="61"/>
      <c r="E141" s="62"/>
      <c r="F141" s="62"/>
      <c r="G141" s="61"/>
    </row>
    <row r="142" spans="1:7" x14ac:dyDescent="0.25">
      <c r="A142" s="61"/>
      <c r="B142" s="61"/>
      <c r="C142" s="61"/>
      <c r="D142" s="61"/>
      <c r="E142" s="62"/>
      <c r="F142" s="62"/>
      <c r="G142" s="61"/>
    </row>
    <row r="143" spans="1:7" x14ac:dyDescent="0.25">
      <c r="A143" s="61"/>
      <c r="B143" s="61"/>
      <c r="C143" s="61"/>
      <c r="D143" s="61"/>
      <c r="E143" s="62"/>
      <c r="F143" s="62"/>
      <c r="G143" s="61"/>
    </row>
    <row r="144" spans="1:7" x14ac:dyDescent="0.25">
      <c r="A144" s="61"/>
      <c r="B144" s="61"/>
      <c r="C144" s="61"/>
      <c r="D144" s="61"/>
      <c r="E144" s="62"/>
      <c r="F144" s="62"/>
      <c r="G144" s="61"/>
    </row>
    <row r="145" spans="1:7" x14ac:dyDescent="0.25">
      <c r="A145" s="61"/>
      <c r="B145" s="61"/>
      <c r="C145" s="61"/>
      <c r="D145" s="61"/>
      <c r="E145" s="62"/>
      <c r="F145" s="62"/>
      <c r="G145" s="61"/>
    </row>
    <row r="146" spans="1:7" x14ac:dyDescent="0.25">
      <c r="A146" s="61"/>
      <c r="B146" s="61"/>
      <c r="C146" s="61"/>
      <c r="D146" s="61"/>
      <c r="E146" s="62"/>
      <c r="F146" s="62"/>
      <c r="G146" s="61"/>
    </row>
  </sheetData>
  <mergeCells count="122">
    <mergeCell ref="A70:B70"/>
    <mergeCell ref="A71:B71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46:B46"/>
    <mergeCell ref="C46:D46"/>
    <mergeCell ref="A47:B47"/>
    <mergeCell ref="C47:D47"/>
    <mergeCell ref="A52:B52"/>
    <mergeCell ref="C52:D52"/>
    <mergeCell ref="A48:E48"/>
    <mergeCell ref="A49:B49"/>
    <mergeCell ref="C49:D49"/>
    <mergeCell ref="A50:B50"/>
    <mergeCell ref="C50:D50"/>
    <mergeCell ref="A51:B51"/>
    <mergeCell ref="C51:D51"/>
    <mergeCell ref="A37:B37"/>
    <mergeCell ref="C37:D37"/>
    <mergeCell ref="A38:B38"/>
    <mergeCell ref="C38:D38"/>
    <mergeCell ref="A39:B39"/>
    <mergeCell ref="C39:D39"/>
    <mergeCell ref="A34:B34"/>
    <mergeCell ref="C34:D34"/>
    <mergeCell ref="A35:B35"/>
    <mergeCell ref="C35:D35"/>
    <mergeCell ref="A36:B36"/>
    <mergeCell ref="C36:D36"/>
    <mergeCell ref="A43:E43"/>
    <mergeCell ref="A44:B44"/>
    <mergeCell ref="C44:D44"/>
    <mergeCell ref="A45:B45"/>
    <mergeCell ref="C45:D45"/>
    <mergeCell ref="A40:B40"/>
    <mergeCell ref="C40:D40"/>
    <mergeCell ref="A41:B41"/>
    <mergeCell ref="C41:D41"/>
    <mergeCell ref="A42:B42"/>
    <mergeCell ref="C42:D42"/>
    <mergeCell ref="A30:B30"/>
    <mergeCell ref="C30:D30"/>
    <mergeCell ref="C31:D31"/>
    <mergeCell ref="A32:E32"/>
    <mergeCell ref="A33:B33"/>
    <mergeCell ref="C33:D33"/>
    <mergeCell ref="A27:B27"/>
    <mergeCell ref="C27:D27"/>
    <mergeCell ref="A28:B28"/>
    <mergeCell ref="C28:D28"/>
    <mergeCell ref="A29:B29"/>
    <mergeCell ref="C29:D29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B1:E1"/>
    <mergeCell ref="B2:E2"/>
    <mergeCell ref="B3:E3"/>
    <mergeCell ref="D5:E5"/>
    <mergeCell ref="A13:C13"/>
    <mergeCell ref="D13:E13"/>
    <mergeCell ref="D7:E7"/>
    <mergeCell ref="D8:E8"/>
    <mergeCell ref="D9:E9"/>
    <mergeCell ref="D10:E10"/>
    <mergeCell ref="A11:E11"/>
    <mergeCell ref="A12:C12"/>
    <mergeCell ref="D12:E12"/>
    <mergeCell ref="A10:B10"/>
    <mergeCell ref="A4:C4"/>
    <mergeCell ref="B53:E53"/>
    <mergeCell ref="B54:E54"/>
    <mergeCell ref="B55:E55"/>
    <mergeCell ref="A56:E56"/>
    <mergeCell ref="A57:B57"/>
    <mergeCell ref="A58:B58"/>
    <mergeCell ref="A59:B59"/>
    <mergeCell ref="A60:B60"/>
    <mergeCell ref="D6:E6"/>
    <mergeCell ref="A17:E17"/>
    <mergeCell ref="A18:B18"/>
    <mergeCell ref="A19:B19"/>
    <mergeCell ref="C19:D19"/>
    <mergeCell ref="A20:B20"/>
    <mergeCell ref="C20:D20"/>
    <mergeCell ref="A14:C14"/>
    <mergeCell ref="D14:E14"/>
    <mergeCell ref="A15:C15"/>
    <mergeCell ref="D15:E15"/>
    <mergeCell ref="A16:C16"/>
    <mergeCell ref="D16:E16"/>
    <mergeCell ref="A24:B24"/>
    <mergeCell ref="C24:D24"/>
    <mergeCell ref="A25:B25"/>
    <mergeCell ref="C66:E66"/>
    <mergeCell ref="C67:E67"/>
    <mergeCell ref="C68:E68"/>
    <mergeCell ref="C69:E69"/>
    <mergeCell ref="C70:E70"/>
    <mergeCell ref="C71:E71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</mergeCells>
  <pageMargins left="0.7" right="0.7" top="0.75" bottom="0.75" header="0.3" footer="0.3"/>
  <pageSetup orientation="portrait" r:id="rId1"/>
  <headerFooter>
    <oddHeader>&amp;R&amp;D</oddHeader>
    <oddFooter>&amp;L&amp;"Daxline Offc Pro,Normal"systemair.com.tr&amp;C&amp;P/&amp;N&amp;R&amp;G</oddFooter>
  </headerFooter>
  <rowBreaks count="2" manualBreakCount="2">
    <brk id="52" max="4" man="1"/>
    <brk id="71" max="4" man="1"/>
  </rowBreaks>
  <ignoredErrors>
    <ignoredError sqref="C52" numberStoredAsText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zoomScaleSheetLayoutView="115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29.28515625" bestFit="1" customWidth="1"/>
    <col min="3" max="3" width="108.28515625" customWidth="1"/>
  </cols>
  <sheetData>
    <row r="1" spans="1:8" x14ac:dyDescent="0.25">
      <c r="A1" s="20" t="s">
        <v>63</v>
      </c>
      <c r="B1" s="23">
        <v>17</v>
      </c>
      <c r="C1" s="29" t="s">
        <v>88</v>
      </c>
    </row>
    <row r="2" spans="1:8" x14ac:dyDescent="0.25">
      <c r="A2" s="21" t="s">
        <v>1</v>
      </c>
      <c r="B2" s="24" t="s">
        <v>23</v>
      </c>
      <c r="C2" s="30" t="s">
        <v>57</v>
      </c>
    </row>
    <row r="3" spans="1:8" x14ac:dyDescent="0.25">
      <c r="A3" s="21" t="s">
        <v>2</v>
      </c>
      <c r="B3" s="24" t="s">
        <v>27</v>
      </c>
      <c r="C3" s="30" t="s">
        <v>58</v>
      </c>
    </row>
    <row r="4" spans="1:8" x14ac:dyDescent="0.25">
      <c r="A4" s="21" t="s">
        <v>3</v>
      </c>
      <c r="B4" s="24" t="s">
        <v>28</v>
      </c>
      <c r="C4" s="30">
        <v>-5371</v>
      </c>
    </row>
    <row r="5" spans="1:8" x14ac:dyDescent="0.25">
      <c r="A5" s="21" t="s">
        <v>4</v>
      </c>
      <c r="B5" s="24">
        <v>0</v>
      </c>
      <c r="C5" s="30" t="s">
        <v>59</v>
      </c>
    </row>
    <row r="6" spans="1:8" x14ac:dyDescent="0.25">
      <c r="A6" s="21" t="s">
        <v>5</v>
      </c>
      <c r="B6" s="24" t="s">
        <v>28</v>
      </c>
      <c r="C6" s="30" t="s">
        <v>60</v>
      </c>
    </row>
    <row r="7" spans="1:8" x14ac:dyDescent="0.25">
      <c r="A7" s="21" t="s">
        <v>6</v>
      </c>
      <c r="B7" s="24">
        <v>0</v>
      </c>
      <c r="C7" s="30" t="s">
        <v>61</v>
      </c>
    </row>
    <row r="8" spans="1:8" x14ac:dyDescent="0.25">
      <c r="A8" s="21" t="s">
        <v>7</v>
      </c>
      <c r="B8" s="24" t="s">
        <v>29</v>
      </c>
      <c r="C8" s="30" t="s">
        <v>70</v>
      </c>
    </row>
    <row r="9" spans="1:8" x14ac:dyDescent="0.25">
      <c r="A9" s="21" t="s">
        <v>8</v>
      </c>
      <c r="B9" s="24" t="s">
        <v>29</v>
      </c>
      <c r="C9" s="30" t="s">
        <v>62</v>
      </c>
      <c r="F9" s="27"/>
      <c r="G9" s="27"/>
      <c r="H9" s="27"/>
    </row>
    <row r="10" spans="1:8" ht="45" x14ac:dyDescent="0.25">
      <c r="A10" s="22" t="s">
        <v>9</v>
      </c>
      <c r="B10" s="24" t="s">
        <v>34</v>
      </c>
      <c r="C10" s="31" t="s">
        <v>71</v>
      </c>
      <c r="F10" s="27"/>
      <c r="G10" s="27"/>
      <c r="H10" s="27"/>
    </row>
    <row r="11" spans="1:8" ht="30" x14ac:dyDescent="0.25">
      <c r="A11" s="22" t="s">
        <v>73</v>
      </c>
      <c r="B11" s="24">
        <v>0</v>
      </c>
      <c r="C11" s="31" t="s">
        <v>72</v>
      </c>
      <c r="F11" s="27"/>
      <c r="G11" s="27"/>
      <c r="H11" s="27"/>
    </row>
    <row r="12" spans="1:8" ht="30" x14ac:dyDescent="0.25">
      <c r="A12" s="22" t="s">
        <v>10</v>
      </c>
      <c r="B12" s="24">
        <v>0</v>
      </c>
      <c r="C12" s="31" t="s">
        <v>82</v>
      </c>
      <c r="F12" s="27"/>
      <c r="G12" s="27"/>
      <c r="H12" s="27"/>
    </row>
    <row r="13" spans="1:8" x14ac:dyDescent="0.25">
      <c r="A13" s="21" t="s">
        <v>74</v>
      </c>
      <c r="B13" s="24">
        <v>0</v>
      </c>
      <c r="C13" s="30" t="s">
        <v>64</v>
      </c>
    </row>
    <row r="14" spans="1:8" x14ac:dyDescent="0.25">
      <c r="A14" s="21" t="s">
        <v>75</v>
      </c>
      <c r="B14" s="24" t="s">
        <v>34</v>
      </c>
      <c r="C14" s="30" t="s">
        <v>85</v>
      </c>
    </row>
    <row r="15" spans="1:8" x14ac:dyDescent="0.25">
      <c r="A15" s="21" t="s">
        <v>13</v>
      </c>
      <c r="B15" s="24">
        <v>0</v>
      </c>
      <c r="C15" s="30" t="s">
        <v>86</v>
      </c>
    </row>
    <row r="16" spans="1:8" x14ac:dyDescent="0.25">
      <c r="A16" s="21" t="s">
        <v>14</v>
      </c>
      <c r="B16" s="24">
        <v>0</v>
      </c>
      <c r="C16" s="30" t="s">
        <v>76</v>
      </c>
    </row>
    <row r="17" spans="1:3" x14ac:dyDescent="0.25">
      <c r="A17" s="21" t="s">
        <v>15</v>
      </c>
      <c r="B17" s="24">
        <v>0</v>
      </c>
      <c r="C17" s="30" t="s">
        <v>65</v>
      </c>
    </row>
    <row r="18" spans="1:3" x14ac:dyDescent="0.25">
      <c r="A18" s="21" t="s">
        <v>16</v>
      </c>
      <c r="B18" s="24">
        <v>0</v>
      </c>
      <c r="C18" s="30" t="s">
        <v>66</v>
      </c>
    </row>
    <row r="19" spans="1:3" x14ac:dyDescent="0.25">
      <c r="A19" s="21" t="s">
        <v>17</v>
      </c>
      <c r="B19" s="24" t="s">
        <v>34</v>
      </c>
      <c r="C19" s="30" t="s">
        <v>87</v>
      </c>
    </row>
    <row r="20" spans="1:3" x14ac:dyDescent="0.25">
      <c r="A20" s="21" t="s">
        <v>18</v>
      </c>
      <c r="B20" s="24">
        <v>0</v>
      </c>
      <c r="C20" s="30" t="s">
        <v>67</v>
      </c>
    </row>
    <row r="21" spans="1:3" x14ac:dyDescent="0.25">
      <c r="A21" s="21" t="s">
        <v>19</v>
      </c>
      <c r="B21" s="24">
        <v>0</v>
      </c>
      <c r="C21" s="30" t="s">
        <v>77</v>
      </c>
    </row>
    <row r="22" spans="1:3" x14ac:dyDescent="0.25">
      <c r="A22" s="21" t="s">
        <v>20</v>
      </c>
      <c r="B22" s="24" t="s">
        <v>24</v>
      </c>
      <c r="C22" s="30" t="s">
        <v>68</v>
      </c>
    </row>
    <row r="23" spans="1:3" x14ac:dyDescent="0.25">
      <c r="A23" s="21" t="s">
        <v>21</v>
      </c>
      <c r="B23" s="24">
        <v>0</v>
      </c>
      <c r="C23" s="30" t="s">
        <v>78</v>
      </c>
    </row>
    <row r="24" spans="1:3" ht="15.75" x14ac:dyDescent="0.25">
      <c r="A24" s="25" t="s">
        <v>69</v>
      </c>
      <c r="B24" s="28" t="str">
        <f>B1&amp;B2&amp;B3&amp;B4&amp;B5&amp;B6&amp;B7&amp;B8&amp;B9&amp;B10&amp;B11&amp;B12&amp;B13&amp;B14&amp;B15&amp;B16&amp;B17&amp;B18&amp;B19&amp;B20&amp;B21&amp;B22&amp;B23</f>
        <v>17BRH0H0SSN000N0000N00F0</v>
      </c>
      <c r="C24" s="97" t="s">
        <v>79</v>
      </c>
    </row>
    <row r="25" spans="1:3" ht="28.9" customHeight="1" thickBot="1" x14ac:dyDescent="0.3">
      <c r="A25" s="26" t="s">
        <v>22</v>
      </c>
      <c r="B25" s="36">
        <f>Calculation!B25</f>
        <v>26358.463472333602</v>
      </c>
      <c r="C25" s="98"/>
    </row>
  </sheetData>
  <sheetProtection formatCells="0" formatColumns="0" formatRows="0" insertColumns="0" insertRows="0" insertHyperlinks="0" deleteColumns="0" deleteRows="0" sort="0" autoFilter="0" pivotTables="0"/>
  <mergeCells count="1">
    <mergeCell ref="C24:C25"/>
  </mergeCells>
  <pageMargins left="0.7" right="0.7" top="0.75" bottom="0.75" header="0.3" footer="0.3"/>
  <pageSetup scale="60" orientation="portrait" r:id="rId1"/>
  <colBreaks count="1" manualBreakCount="1">
    <brk id="3" max="22" man="1"/>
  </colBreaks>
  <extLst>
    <ext xmlns:x14="http://schemas.microsoft.com/office/spreadsheetml/2009/9/main" uri="{CCE6A557-97BC-4b89-ADB6-D9C93CAAB3DF}">
      <x14:dataValidations xmlns:xm="http://schemas.microsoft.com/office/excel/2006/main" count="23">
        <x14:dataValidation type="list" showInputMessage="1" showErrorMessage="1" promptTitle="Please Selection">
          <x14:formula1>
            <xm:f>Sayfa2!$B$1:$B$4</xm:f>
          </x14:formula1>
          <xm:sqref>B1</xm:sqref>
        </x14:dataValidation>
        <x14:dataValidation type="list" allowBlank="1" showInputMessage="1" showErrorMessage="1">
          <x14:formula1>
            <xm:f>Sayfa2!$B$5:$B$7</xm:f>
          </x14:formula1>
          <xm:sqref>B2</xm:sqref>
        </x14:dataValidation>
        <x14:dataValidation type="list" allowBlank="1" showInputMessage="1" showErrorMessage="1">
          <x14:formula1>
            <xm:f>Sayfa2!$B$8:$B$9</xm:f>
          </x14:formula1>
          <xm:sqref>B3</xm:sqref>
        </x14:dataValidation>
        <x14:dataValidation type="list" allowBlank="1" showInputMessage="1" showErrorMessage="1">
          <x14:formula1>
            <xm:f>Sayfa2!$B$10:$B$11</xm:f>
          </x14:formula1>
          <xm:sqref>B4</xm:sqref>
        </x14:dataValidation>
        <x14:dataValidation type="list" allowBlank="1" showInputMessage="1" showErrorMessage="1">
          <x14:formula1>
            <xm:f>Sayfa2!$B$12:$B$13</xm:f>
          </x14:formula1>
          <xm:sqref>B5</xm:sqref>
        </x14:dataValidation>
        <x14:dataValidation type="list" allowBlank="1" showInputMessage="1" showErrorMessage="1">
          <x14:formula1>
            <xm:f>Sayfa2!$B$14:$B$16</xm:f>
          </x14:formula1>
          <xm:sqref>B6</xm:sqref>
        </x14:dataValidation>
        <x14:dataValidation type="list" allowBlank="1" showInputMessage="1" showErrorMessage="1">
          <x14:formula1>
            <xm:f>Sayfa2!$B$17:$B$18</xm:f>
          </x14:formula1>
          <xm:sqref>B7</xm:sqref>
        </x14:dataValidation>
        <x14:dataValidation type="list" allowBlank="1" showInputMessage="1" showErrorMessage="1">
          <x14:formula1>
            <xm:f>Sayfa2!$B$19:$B$20</xm:f>
          </x14:formula1>
          <xm:sqref>B8</xm:sqref>
        </x14:dataValidation>
        <x14:dataValidation type="list" allowBlank="1" showInputMessage="1" showErrorMessage="1">
          <x14:formula1>
            <xm:f>Sayfa2!$B$21:$B$22</xm:f>
          </x14:formula1>
          <xm:sqref>B9</xm:sqref>
        </x14:dataValidation>
        <x14:dataValidation type="list" allowBlank="1" showInputMessage="1" showErrorMessage="1">
          <x14:formula1>
            <xm:f>Sayfa2!$B$23:$B$28</xm:f>
          </x14:formula1>
          <xm:sqref>B10</xm:sqref>
        </x14:dataValidation>
        <x14:dataValidation type="list" allowBlank="1" showInputMessage="1" showErrorMessage="1">
          <x14:formula1>
            <xm:f>Sayfa2!$B$29:$B$34</xm:f>
          </x14:formula1>
          <xm:sqref>B11</xm:sqref>
        </x14:dataValidation>
        <x14:dataValidation type="list" allowBlank="1" showInputMessage="1" showErrorMessage="1">
          <x14:formula1>
            <xm:f>Sayfa2!$B$35:$B$36</xm:f>
          </x14:formula1>
          <xm:sqref>B13</xm:sqref>
        </x14:dataValidation>
        <x14:dataValidation type="list" allowBlank="1" showInputMessage="1" showErrorMessage="1">
          <x14:formula1>
            <xm:f>Sayfa2!$B$37:$B$40</xm:f>
          </x14:formula1>
          <xm:sqref>B14</xm:sqref>
        </x14:dataValidation>
        <x14:dataValidation type="list" allowBlank="1" showInputMessage="1" showErrorMessage="1">
          <x14:formula1>
            <xm:f>Sayfa2!$B$43:$B$45</xm:f>
          </x14:formula1>
          <xm:sqref>B16</xm:sqref>
        </x14:dataValidation>
        <x14:dataValidation type="list" allowBlank="1" showInputMessage="1" showErrorMessage="1">
          <x14:formula1>
            <xm:f>Sayfa2!$B$46:$B$47</xm:f>
          </x14:formula1>
          <xm:sqref>B17</xm:sqref>
        </x14:dataValidation>
        <x14:dataValidation type="list" allowBlank="1" showInputMessage="1" showErrorMessage="1">
          <x14:formula1>
            <xm:f>Sayfa2!$B$48:$B$49</xm:f>
          </x14:formula1>
          <xm:sqref>B18</xm:sqref>
        </x14:dataValidation>
        <x14:dataValidation type="list" allowBlank="1" showInputMessage="1" showErrorMessage="1">
          <x14:formula1>
            <xm:f>Sayfa2!$B$50:$B$54</xm:f>
          </x14:formula1>
          <xm:sqref>B19</xm:sqref>
        </x14:dataValidation>
        <x14:dataValidation type="list" allowBlank="1" showInputMessage="1" showErrorMessage="1">
          <x14:formula1>
            <xm:f>Sayfa2!$B$55:$B$59</xm:f>
          </x14:formula1>
          <xm:sqref>B20</xm:sqref>
        </x14:dataValidation>
        <x14:dataValidation type="list" allowBlank="1" showInputMessage="1" showErrorMessage="1">
          <x14:formula1>
            <xm:f>Sayfa2!$B$60:$B$63</xm:f>
          </x14:formula1>
          <xm:sqref>B21</xm:sqref>
        </x14:dataValidation>
        <x14:dataValidation type="list" allowBlank="1" showInputMessage="1" showErrorMessage="1">
          <x14:formula1>
            <xm:f>Sayfa2!$B$64:$B$66</xm:f>
          </x14:formula1>
          <xm:sqref>B22</xm:sqref>
        </x14:dataValidation>
        <x14:dataValidation type="list" allowBlank="1" showInputMessage="1" showErrorMessage="1">
          <x14:formula1>
            <xm:f>Sayfa2!$B$67:$B$68</xm:f>
          </x14:formula1>
          <xm:sqref>B23</xm:sqref>
        </x14:dataValidation>
        <x14:dataValidation type="list" allowBlank="1" showInputMessage="1" showErrorMessage="1">
          <x14:formula1>
            <xm:f>Sayfa2!$B$69:$B$71</xm:f>
          </x14:formula1>
          <xm:sqref>B12</xm:sqref>
        </x14:dataValidation>
        <x14:dataValidation type="list" allowBlank="1" showInputMessage="1" showErrorMessage="1">
          <x14:formula1>
            <xm:f>Sayfa2!$B$41:$B$42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9" sqref="E19"/>
    </sheetView>
  </sheetViews>
  <sheetFormatPr defaultRowHeight="15" x14ac:dyDescent="0.25"/>
  <cols>
    <col min="1" max="1" width="30.5703125" bestFit="1" customWidth="1"/>
    <col min="2" max="2" width="11.7109375" bestFit="1" customWidth="1"/>
  </cols>
  <sheetData>
    <row r="1" spans="1:2" x14ac:dyDescent="0.25">
      <c r="A1" s="33" t="s">
        <v>63</v>
      </c>
      <c r="B1" s="35">
        <f xml:space="preserve">
IF('Selection List'!B1=17,'Material Costs'!$F$2,
IF('Selection List'!B1=23,'Material Costs'!$G$2,
IF('Selection List'!B1=30,'Material Costs'!$H$2,
0)))</f>
        <v>24016.9</v>
      </c>
    </row>
    <row r="2" spans="1:2" x14ac:dyDescent="0.25">
      <c r="A2" s="33" t="s">
        <v>1</v>
      </c>
      <c r="B2" s="35">
        <f xml:space="preserve">
IF('Selection List'!B2="M",
IF('Selection List'!B1=17,'Material Costs'!$F$7,
IF('Selection List'!B1=23,'Material Costs'!$G$7,
IF('Selection List'!B1=30,'Material Costs'!$H$7,
))),0)+
IF('Selection List'!B2="F",
IF('Selection List'!B1=17,'Material Costs'!$F$6,
IF('Selection List'!B1=23,'Material Costs'!$G$6,
IF('Selection List'!B1=30,'Material Costs'!$H$6,
))),0)+
IF('Selection List'!B2="B",
IF('Selection List'!B1=17,'Material Costs'!$F$5,
IF('Selection List'!B1=23,'Material Costs'!$G$5,
IF('Selection List'!B1=30,'Material Costs'!$H$5,
))),0)</f>
        <v>1457.95</v>
      </c>
    </row>
    <row r="3" spans="1:2" x14ac:dyDescent="0.25">
      <c r="A3" s="33" t="s">
        <v>2</v>
      </c>
      <c r="B3" s="35">
        <v>0</v>
      </c>
    </row>
    <row r="4" spans="1:2" x14ac:dyDescent="0.25">
      <c r="A4" s="33" t="s">
        <v>3</v>
      </c>
      <c r="B4" s="35">
        <f xml:space="preserve">
IF('Selection List'!B4="H",
IF('Selection List'!B1=17,'Material Costs'!$F$11,
IF('Selection List'!B1=23,'Material Costs'!$G$11,
IF('Selection List'!B1=30,'Material Costs'!$H$11,
))),0)</f>
        <v>758.99999999999943</v>
      </c>
    </row>
    <row r="5" spans="1:2" x14ac:dyDescent="0.25">
      <c r="A5" s="33" t="s">
        <v>4</v>
      </c>
      <c r="B5" s="35">
        <f>IF('Selection List'!B5="S",'Material Costs'!$H$12,0)</f>
        <v>0</v>
      </c>
    </row>
    <row r="6" spans="1:2" x14ac:dyDescent="0.25">
      <c r="A6" s="33" t="s">
        <v>5</v>
      </c>
      <c r="B6" s="35">
        <v>0</v>
      </c>
    </row>
    <row r="7" spans="1:2" x14ac:dyDescent="0.25">
      <c r="A7" s="33" t="s">
        <v>6</v>
      </c>
      <c r="B7" s="35">
        <f>IF('Selection List'!B7=1,
IF('Selection List'!B1=17,'Material Costs'!$F$17,
IF('Selection List'!B1=23,'Material Costs'!$G$17,
IF('Selection List'!B1=30,'Material Costs'!$H$17,
))),0)</f>
        <v>0</v>
      </c>
    </row>
    <row r="8" spans="1:2" x14ac:dyDescent="0.25">
      <c r="A8" s="33" t="s">
        <v>7</v>
      </c>
      <c r="B8" s="35">
        <f xml:space="preserve">
IF('Selection List'!B8="O",
IF('Selection List'!B1=17,'Material Costs'!$F$20,
IF('Selection List'!B1=23,'Material Costs'!$G$20,
IF('Selection List'!B1=30,'Material Costs'!$H$20,
))),0)+
IF('Selection List'!B8="S",
IF('Selection List'!B1=17,'Material Costs'!$F$19,
IF('Selection List'!B1=23,'Material Costs'!$G$19,
IF('Selection List'!B1=30,'Material Costs'!$H$19,
))),0)</f>
        <v>3.7423148890670954</v>
      </c>
    </row>
    <row r="9" spans="1:2" x14ac:dyDescent="0.25">
      <c r="A9" s="33" t="s">
        <v>8</v>
      </c>
      <c r="B9" s="35">
        <f>IF('Selection List'!B9="O",
IF('Selection List'!B1=17,'Material Costs'!$F$22,
IF('Selection List'!B1=23,'Material Costs'!$G$22,
IF('Selection List'!B1=30,'Material Costs'!$H$22,
))),0)</f>
        <v>0</v>
      </c>
    </row>
    <row r="10" spans="1:2" x14ac:dyDescent="0.25">
      <c r="A10" s="34" t="s">
        <v>9</v>
      </c>
      <c r="B10" s="35">
        <f xml:space="preserve">
IF(AND('Selection List'!B1=17,'Selection List'!B10="N"),'Material Costs'!$F$23,0)+
IF(AND('Selection List'!B1=17,'Selection List'!B10="F"),'Material Costs'!$F$24,0)+
IF(AND('Selection List'!B1=17,'Selection List'!B10=2),'Material Costs'!$F$25,0)+
IF(AND('Selection List'!B1=17,'Selection List'!B10=3),'Material Costs'!$F$26,0)+
IF(AND('Selection List'!B1=17,'Selection List'!B10="E"),'Material Costs'!$F$27,0)+
IF(AND('Selection List'!B1=17,'Selection List'!B10="P"),'Material Costs'!$F$28,0)+
IF(AND('Selection List'!B1=23,'Selection List'!B10="N"),'Material Costs'!$G$23,0)+
IF(AND('Selection List'!B1=23,'Selection List'!B10="F"),'Material Costs'!$G$24,0)+
IF(AND('Selection List'!B1=23,'Selection List'!B10=2),'Material Costs'!$G$25,0)+
IF(AND('Selection List'!B1=23,'Selection List'!B10=3),'Material Costs'!$G$26,0)+
IF(AND('Selection List'!B1=23,'Selection List'!B10="E"),'Material Costs'!$G$27,0)+
IF(AND('Selection List'!B1=23,'Selection List'!B10="P"),'Material Costs'!$G$28,0)+
IF(AND('Selection List'!B1=30,'Selection List'!B10="N"),'Material Costs'!$H$23,0)+
IF(AND('Selection List'!B1=30,'Selection List'!B10="F"),'Material Costs'!$H$24,0)+
IF(AND('Selection List'!B1=30,'Selection List'!B10=2),'Material Costs'!$H$25,0)+
IF(AND('Selection List'!B1=30,'Selection List'!B10=3),'Material Costs'!$H$26,0)+
IF(AND('Selection List'!B1=30,'Selection List'!B10="E"),'Material Costs'!$H$27,0)+
IF(AND('Selection List'!B1=30,'Selection List'!B10="P"),'Material Costs'!$H$28,0)</f>
        <v>120.87115744453357</v>
      </c>
    </row>
    <row r="11" spans="1:2" x14ac:dyDescent="0.25">
      <c r="A11" s="34" t="s">
        <v>73</v>
      </c>
      <c r="B11" s="35">
        <f xml:space="preserve">
IF('Selection List'!B11=1,'Material Costs'!F30,
IF('Selection List'!B11=2,'Material Costs'!F31,
IF('Selection List'!B11=3,'Material Costs'!F32,
IF('Selection List'!B11=4,'Material Costs'!F33,
IF('Selection List'!B11=5,'Material Costs'!F34,
0)))))</f>
        <v>0</v>
      </c>
    </row>
    <row r="12" spans="1:2" x14ac:dyDescent="0.25">
      <c r="A12" s="34" t="s">
        <v>10</v>
      </c>
      <c r="B12" s="35">
        <v>0</v>
      </c>
    </row>
    <row r="13" spans="1:2" x14ac:dyDescent="0.25">
      <c r="A13" s="33" t="s">
        <v>74</v>
      </c>
      <c r="B13" s="35">
        <v>0</v>
      </c>
    </row>
    <row r="14" spans="1:2" x14ac:dyDescent="0.25">
      <c r="A14" s="33" t="s">
        <v>75</v>
      </c>
      <c r="B14" s="35">
        <f xml:space="preserve">
IF(AND('Selection List'!B1=17,'Selection List'!B14="N"),'Material Costs'!$F$40,0)+
IF(AND('Selection List'!B1=17,'Selection List'!B14="A"),'Material Costs'!$F$41,0)+
IF(AND('Selection List'!B1=17,'Selection List'!B14="B"),'Material Costs'!$F$42,0)+
IF(AND('Selection List'!B1=17,'Selection List'!B14="U"),'Material Costs'!$F$43,0)+
IF(AND('Selection List'!B1=23,'Selection List'!B14="N"),'Material Costs'!$G$40,0)+
IF(AND('Selection List'!B1=23,'Selection List'!B14="A"),'Material Costs'!$G$41,0)+
IF(AND('Selection List'!B1=23,'Selection List'!B14="B"),'Material Costs'!$G$42,0)+
IF(AND('Selection List'!B1=23,'Selection List'!B14="U"),'Material Costs'!$G$43,0)+
IF(AND('Selection List'!B1=30,'Selection List'!B14="N"),'Material Costs'!$H$40,0)+
IF(AND('Selection List'!B1=30,'Selection List'!B14="A"),'Material Costs'!$H$41,0)+
IF(AND('Selection List'!B1=30,'Selection List'!B14="B"),'Material Costs'!$H$42,0)+
IF(AND('Selection List'!B1=30,'Selection List'!B14="U"),'Material Costs'!$H$43,0)</f>
        <v>0</v>
      </c>
    </row>
    <row r="15" spans="1:2" x14ac:dyDescent="0.25">
      <c r="A15" s="33" t="s">
        <v>13</v>
      </c>
      <c r="B15" s="35">
        <f xml:space="preserve">
IF('Selection List'!B15=3,'Material Costs'!F45,
0)</f>
        <v>0</v>
      </c>
    </row>
    <row r="16" spans="1:2" x14ac:dyDescent="0.25">
      <c r="A16" s="33" t="s">
        <v>14</v>
      </c>
      <c r="B16" s="35">
        <f xml:space="preserve">
IF('Selection List'!B16=1,'Material Costs'!F47,
IF('Selection List'!B16=2,'Material Costs'!F48,
0))</f>
        <v>0</v>
      </c>
    </row>
    <row r="17" spans="1:2" x14ac:dyDescent="0.25">
      <c r="A17" s="33" t="s">
        <v>15</v>
      </c>
      <c r="B17" s="35">
        <f xml:space="preserve">
IF('Selection List'!B17=1,'Material Costs'!$F$50,IF('Selection List'!B17=2,'Material Costs'!$F$51,
0))</f>
        <v>0</v>
      </c>
    </row>
    <row r="18" spans="1:2" x14ac:dyDescent="0.25">
      <c r="A18" s="33" t="s">
        <v>16</v>
      </c>
      <c r="B18" s="35">
        <f xml:space="preserve">
IF('Selection List'!B18="A",'Material Costs'!$F$53,
0)</f>
        <v>0</v>
      </c>
    </row>
    <row r="19" spans="1:2" x14ac:dyDescent="0.25">
      <c r="A19" s="33" t="s">
        <v>17</v>
      </c>
      <c r="B19" s="35">
        <f xml:space="preserve">
IF('Selection List'!B19=0,'Material Costs'!$F$55,
IF('Selection List'!B19=1,'Material Costs'!$F$56,
IF('Selection List'!B19=2,'Material Costs'!$F$57,
IF('Selection List'!B19=3,'Material Costs'!$F$58,
0))))</f>
        <v>0</v>
      </c>
    </row>
    <row r="20" spans="1:2" x14ac:dyDescent="0.25">
      <c r="A20" s="33" t="s">
        <v>18</v>
      </c>
      <c r="B20" s="35">
        <v>0</v>
      </c>
    </row>
    <row r="21" spans="1:2" x14ac:dyDescent="0.25">
      <c r="A21" s="33" t="s">
        <v>19</v>
      </c>
      <c r="B21" s="35">
        <f xml:space="preserve">
IF('Selection List'!B21=1,'Material Costs'!$F$65,
IF('Selection List'!B21=3,'Material Costs'!$F$67,
0))</f>
        <v>0</v>
      </c>
    </row>
    <row r="22" spans="1:2" x14ac:dyDescent="0.25">
      <c r="A22" s="33" t="s">
        <v>20</v>
      </c>
      <c r="B22" s="35">
        <f xml:space="preserve">
IF(AND('Selection List'!B1=17,'Selection List'!B22="F"),'Material Costs'!$F$68,0)+
IF(AND('Selection List'!B1=17,'Selection List'!B22="B"),'Material Costs'!$F$69,0)+
IF(AND('Selection List'!B1=17,'Selection List'!B22="A"),'Material Costs'!$F$70,0)+
IF(AND('Selection List'!B1=23,'Selection List'!B22="F"),'Material Costs'!$G$68,0)+
IF(AND('Selection List'!B1=23,'Selection List'!B22="B"),'Material Costs'!$G$69,0)+
IF(AND('Selection List'!B1=23,'Selection List'!B22="A"),'Material Costs'!$G$70,0)+
IF(AND('Selection List'!B1=30,'Selection List'!B22="F"),'Material Costs'!$H$68,0)+
IF(AND('Selection List'!B1=30,'Selection List'!B22="B"),'Material Costs'!$H$69,0)+
IF(AND('Selection List'!B1=30,'Selection List'!B22="A"),'Material Costs'!$H$70,0)</f>
        <v>0</v>
      </c>
    </row>
    <row r="23" spans="1:2" x14ac:dyDescent="0.25">
      <c r="A23" s="33" t="s">
        <v>21</v>
      </c>
      <c r="B23" s="35">
        <f xml:space="preserve">
IF('Selection List'!B23=1,
IF('Selection List'!B1=17,'Material Costs'!$F$72,
IF('Selection List'!B1=23,'Material Costs'!$G$72,
IF('Selection List'!B1=30,'Material Costs'!$H$72,
))),0)</f>
        <v>0</v>
      </c>
    </row>
    <row r="24" spans="1:2" x14ac:dyDescent="0.25">
      <c r="A24" s="33" t="s">
        <v>84</v>
      </c>
      <c r="B24" s="35">
        <f xml:space="preserve">
IF(OR('Selection List'!B11&gt;0,'Selection List'!B5="S",'Selection List'!B19=1,'Selection List'!B19=2,'Selection List'!B19=3,'Selection List'!B19=0),'Material Costs'!$G$74,
0)</f>
        <v>0</v>
      </c>
    </row>
    <row r="25" spans="1:2" x14ac:dyDescent="0.25">
      <c r="A25" s="33" t="s">
        <v>83</v>
      </c>
      <c r="B25" s="35">
        <f>SUM(B1:B24)</f>
        <v>26358.463472333602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1"/>
  <sheetViews>
    <sheetView topLeftCell="A19"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44.28515625" style="14" bestFit="1" customWidth="1"/>
  </cols>
  <sheetData>
    <row r="1" spans="1:3" x14ac:dyDescent="0.25">
      <c r="A1" s="104" t="s">
        <v>0</v>
      </c>
      <c r="B1" s="17">
        <v>15</v>
      </c>
      <c r="C1">
        <v>150</v>
      </c>
    </row>
    <row r="2" spans="1:3" x14ac:dyDescent="0.25">
      <c r="A2" s="104"/>
      <c r="B2" s="18">
        <v>17</v>
      </c>
      <c r="C2">
        <v>170</v>
      </c>
    </row>
    <row r="3" spans="1:3" x14ac:dyDescent="0.25">
      <c r="A3" s="104"/>
      <c r="B3" s="18">
        <v>23</v>
      </c>
      <c r="C3">
        <f>230</f>
        <v>230</v>
      </c>
    </row>
    <row r="4" spans="1:3" ht="15" customHeight="1" thickBot="1" x14ac:dyDescent="0.3">
      <c r="A4" s="105"/>
      <c r="B4" s="19">
        <v>30</v>
      </c>
      <c r="C4">
        <f>300</f>
        <v>300</v>
      </c>
    </row>
    <row r="5" spans="1:3" x14ac:dyDescent="0.25">
      <c r="A5" s="102" t="s">
        <v>1</v>
      </c>
      <c r="B5" s="15" t="s">
        <v>23</v>
      </c>
      <c r="C5" t="e">
        <f xml:space="preserve"> TOP SIDE RETURN BOTTOM SUPPLY</f>
        <v>#NAME?</v>
      </c>
    </row>
    <row r="6" spans="1:3" x14ac:dyDescent="0.25">
      <c r="A6" s="106"/>
      <c r="B6" s="6" t="s">
        <v>24</v>
      </c>
      <c r="C6" t="e">
        <f xml:space="preserve"> TOP SIDE RETURN FRONT SUPPLY</f>
        <v>#NAME?</v>
      </c>
    </row>
    <row r="7" spans="1:3" ht="15.75" thickBot="1" x14ac:dyDescent="0.3">
      <c r="A7" s="103"/>
      <c r="B7" s="3" t="s">
        <v>25</v>
      </c>
      <c r="C7" t="e">
        <f xml:space="preserve"> FRONT SIDE RETURN BOTTOM SUPPLY</f>
        <v>#NAME?</v>
      </c>
    </row>
    <row r="8" spans="1:3" x14ac:dyDescent="0.25">
      <c r="A8" s="99" t="s">
        <v>2</v>
      </c>
      <c r="B8" s="5" t="s">
        <v>26</v>
      </c>
      <c r="C8" t="e">
        <f>Left</f>
        <v>#NAME?</v>
      </c>
    </row>
    <row r="9" spans="1:3" ht="15" customHeight="1" thickBot="1" x14ac:dyDescent="0.3">
      <c r="A9" s="101"/>
      <c r="B9" s="3" t="s">
        <v>27</v>
      </c>
      <c r="C9" t="e">
        <f>Right</f>
        <v>#NAME?</v>
      </c>
    </row>
    <row r="10" spans="1:3" x14ac:dyDescent="0.25">
      <c r="A10" s="102" t="s">
        <v>3</v>
      </c>
      <c r="B10" s="5" t="s">
        <v>26</v>
      </c>
      <c r="C10">
        <f xml:space="preserve"> 20/28</f>
        <v>0.7142857142857143</v>
      </c>
    </row>
    <row r="11" spans="1:3" ht="15" customHeight="1" thickBot="1" x14ac:dyDescent="0.3">
      <c r="A11" s="103"/>
      <c r="B11" s="3" t="s">
        <v>28</v>
      </c>
      <c r="C11">
        <f>20/30</f>
        <v>0.66666666666666663</v>
      </c>
    </row>
    <row r="12" spans="1:3" x14ac:dyDescent="0.25">
      <c r="A12" s="102" t="s">
        <v>4</v>
      </c>
      <c r="B12" s="5" t="s">
        <v>29</v>
      </c>
      <c r="C12" t="s">
        <v>30</v>
      </c>
    </row>
    <row r="13" spans="1:3" ht="15.75" thickBot="1" x14ac:dyDescent="0.3">
      <c r="A13" s="103"/>
      <c r="B13" s="3">
        <v>0</v>
      </c>
      <c r="C13" t="e">
        <f xml:space="preserve"> NONE</f>
        <v>#NAME?</v>
      </c>
    </row>
    <row r="14" spans="1:3" x14ac:dyDescent="0.25">
      <c r="A14" s="99" t="s">
        <v>5</v>
      </c>
      <c r="B14" s="5" t="s">
        <v>28</v>
      </c>
      <c r="C14" t="s">
        <v>31</v>
      </c>
    </row>
    <row r="15" spans="1:3" x14ac:dyDescent="0.25">
      <c r="A15" s="100"/>
      <c r="B15" s="6" t="s">
        <v>26</v>
      </c>
      <c r="C15" t="s">
        <v>32</v>
      </c>
    </row>
    <row r="16" spans="1:3" ht="15.75" thickBot="1" x14ac:dyDescent="0.3">
      <c r="A16" s="101"/>
      <c r="B16" s="3" t="s">
        <v>29</v>
      </c>
      <c r="C16" t="e">
        <f xml:space="preserve"> …. Pa ESP</f>
        <v>#NAME?</v>
      </c>
    </row>
    <row r="17" spans="1:3" x14ac:dyDescent="0.25">
      <c r="A17" s="102" t="s">
        <v>6</v>
      </c>
      <c r="B17" s="5">
        <v>1</v>
      </c>
      <c r="C17" t="e">
        <f xml:space="preserve"> ON TOP</f>
        <v>#NAME?</v>
      </c>
    </row>
    <row r="18" spans="1:3" ht="15.75" thickBot="1" x14ac:dyDescent="0.3">
      <c r="A18" s="103"/>
      <c r="B18" s="3">
        <v>0</v>
      </c>
      <c r="C18" t="e">
        <f xml:space="preserve"> NONE</f>
        <v>#NAME?</v>
      </c>
    </row>
    <row r="19" spans="1:3" x14ac:dyDescent="0.25">
      <c r="A19" s="99" t="s">
        <v>7</v>
      </c>
      <c r="B19" s="5" t="s">
        <v>29</v>
      </c>
      <c r="C19" t="e">
        <f>RETURN and SUPPLY Avg Temp Sensor</f>
        <v>#NAME?</v>
      </c>
    </row>
    <row r="20" spans="1:3" ht="15.75" thickBot="1" x14ac:dyDescent="0.3">
      <c r="A20" s="101"/>
      <c r="B20" s="3" t="s">
        <v>33</v>
      </c>
      <c r="C20" t="e">
        <f xml:space="preserve"> RETURN and SUPPLY Temp/Hum</f>
        <v>#NAME?</v>
      </c>
    </row>
    <row r="21" spans="1:3" x14ac:dyDescent="0.25">
      <c r="A21" s="99" t="s">
        <v>8</v>
      </c>
      <c r="B21" s="5" t="s">
        <v>29</v>
      </c>
      <c r="C21" t="e">
        <f xml:space="preserve"> Wire Type</f>
        <v>#NAME?</v>
      </c>
    </row>
    <row r="22" spans="1:3" ht="15.75" thickBot="1" x14ac:dyDescent="0.3">
      <c r="A22" s="101"/>
      <c r="B22" s="3" t="s">
        <v>33</v>
      </c>
      <c r="C22" t="e">
        <f xml:space="preserve"> Additional Leak Sensor</f>
        <v>#NAME?</v>
      </c>
    </row>
    <row r="23" spans="1:3" x14ac:dyDescent="0.25">
      <c r="A23" s="99" t="s">
        <v>9</v>
      </c>
      <c r="B23" s="7" t="s">
        <v>34</v>
      </c>
      <c r="C23" t="s">
        <v>35</v>
      </c>
    </row>
    <row r="24" spans="1:3" x14ac:dyDescent="0.25">
      <c r="A24" s="100"/>
      <c r="B24" s="8" t="s">
        <v>24</v>
      </c>
      <c r="C24" t="s">
        <v>36</v>
      </c>
    </row>
    <row r="25" spans="1:3" x14ac:dyDescent="0.25">
      <c r="A25" s="100"/>
      <c r="B25" s="9">
        <v>2</v>
      </c>
      <c r="C25" t="s">
        <v>38</v>
      </c>
    </row>
    <row r="26" spans="1:3" x14ac:dyDescent="0.25">
      <c r="A26" s="100"/>
      <c r="B26" s="8">
        <v>3</v>
      </c>
      <c r="C26" t="s">
        <v>37</v>
      </c>
    </row>
    <row r="27" spans="1:3" x14ac:dyDescent="0.25">
      <c r="A27" s="100"/>
      <c r="B27" s="8" t="s">
        <v>39</v>
      </c>
      <c r="C27" t="s">
        <v>40</v>
      </c>
    </row>
    <row r="28" spans="1:3" ht="15.75" thickBot="1" x14ac:dyDescent="0.3">
      <c r="A28" s="101"/>
      <c r="B28" s="10" t="s">
        <v>41</v>
      </c>
      <c r="C28" t="e">
        <f xml:space="preserve"> Pressure Independent Control Valve</f>
        <v>#NAME?</v>
      </c>
    </row>
    <row r="29" spans="1:3" x14ac:dyDescent="0.25">
      <c r="A29" s="99" t="s">
        <v>10</v>
      </c>
      <c r="B29" s="5">
        <v>0</v>
      </c>
      <c r="C29" t="e">
        <f xml:space="preserve"> NONE</f>
        <v>#NAME?</v>
      </c>
    </row>
    <row r="30" spans="1:3" x14ac:dyDescent="0.25">
      <c r="A30" s="100"/>
      <c r="B30" s="6">
        <v>1</v>
      </c>
      <c r="C30" t="e">
        <f xml:space="preserve"> Corridors dP</f>
        <v>#NAME?</v>
      </c>
    </row>
    <row r="31" spans="1:3" x14ac:dyDescent="0.25">
      <c r="A31" s="100"/>
      <c r="B31" s="6">
        <v>2</v>
      </c>
      <c r="C31" t="e">
        <f xml:space="preserve"> Double dP</f>
        <v>#NAME?</v>
      </c>
    </row>
    <row r="32" spans="1:3" x14ac:dyDescent="0.25">
      <c r="A32" s="100"/>
      <c r="B32" s="6">
        <v>3</v>
      </c>
      <c r="C32" t="s">
        <v>42</v>
      </c>
    </row>
    <row r="33" spans="1:3" x14ac:dyDescent="0.25">
      <c r="A33" s="100"/>
      <c r="B33" s="6">
        <v>4</v>
      </c>
      <c r="C33" t="s">
        <v>43</v>
      </c>
    </row>
    <row r="34" spans="1:3" ht="15.75" thickBot="1" x14ac:dyDescent="0.3">
      <c r="A34" s="101"/>
      <c r="B34" s="6">
        <v>5</v>
      </c>
      <c r="C34" t="s">
        <v>44</v>
      </c>
    </row>
    <row r="35" spans="1:3" x14ac:dyDescent="0.25">
      <c r="A35" s="99" t="s">
        <v>11</v>
      </c>
      <c r="B35" s="5">
        <v>0</v>
      </c>
      <c r="C35" t="s">
        <v>45</v>
      </c>
    </row>
    <row r="36" spans="1:3" ht="15.75" thickBot="1" x14ac:dyDescent="0.3">
      <c r="A36" s="101"/>
      <c r="B36" s="3">
        <v>1</v>
      </c>
      <c r="C36" t="s">
        <v>46</v>
      </c>
    </row>
    <row r="37" spans="1:3" x14ac:dyDescent="0.25">
      <c r="A37" s="99" t="s">
        <v>12</v>
      </c>
      <c r="B37" s="5" t="s">
        <v>34</v>
      </c>
      <c r="C37" t="e">
        <f xml:space="preserve"> NONE</f>
        <v>#NAME?</v>
      </c>
    </row>
    <row r="38" spans="1:3" x14ac:dyDescent="0.25">
      <c r="A38" s="100"/>
      <c r="B38" s="6" t="s">
        <v>48</v>
      </c>
    </row>
    <row r="39" spans="1:3" x14ac:dyDescent="0.25">
      <c r="A39" s="100"/>
      <c r="B39" s="6" t="s">
        <v>23</v>
      </c>
    </row>
    <row r="40" spans="1:3" ht="15.75" thickBot="1" x14ac:dyDescent="0.3">
      <c r="A40" s="100"/>
      <c r="B40" s="6" t="s">
        <v>47</v>
      </c>
      <c r="C40" t="e">
        <f xml:space="preserve"> Single SUPPLY w UltraCap</f>
        <v>#NAME?</v>
      </c>
    </row>
    <row r="41" spans="1:3" x14ac:dyDescent="0.25">
      <c r="A41" s="99" t="s">
        <v>13</v>
      </c>
      <c r="B41" s="5">
        <v>0</v>
      </c>
      <c r="C41" t="e">
        <f xml:space="preserve"> Double SUPPLY w Ats</f>
        <v>#NAME?</v>
      </c>
    </row>
    <row r="42" spans="1:3" ht="15.75" thickBot="1" x14ac:dyDescent="0.3">
      <c r="A42" s="101"/>
      <c r="B42" s="3">
        <v>3</v>
      </c>
      <c r="C42" t="e">
        <f xml:space="preserve"> Energy Analyser</f>
        <v>#NAME?</v>
      </c>
    </row>
    <row r="43" spans="1:3" x14ac:dyDescent="0.25">
      <c r="A43" s="99" t="s">
        <v>14</v>
      </c>
      <c r="B43" s="5">
        <v>0</v>
      </c>
      <c r="C43" t="s">
        <v>49</v>
      </c>
    </row>
    <row r="44" spans="1:3" x14ac:dyDescent="0.25">
      <c r="A44" s="100"/>
      <c r="B44" s="6">
        <v>1</v>
      </c>
      <c r="C44" t="s">
        <v>50</v>
      </c>
    </row>
    <row r="45" spans="1:3" ht="15.75" thickBot="1" x14ac:dyDescent="0.3">
      <c r="A45" s="101"/>
      <c r="B45" s="3">
        <v>2</v>
      </c>
      <c r="C45" t="e">
        <f xml:space="preserve"> Touch Panel</f>
        <v>#NAME?</v>
      </c>
    </row>
    <row r="46" spans="1:3" x14ac:dyDescent="0.25">
      <c r="A46" s="99" t="s">
        <v>15</v>
      </c>
      <c r="B46" s="5">
        <v>0</v>
      </c>
      <c r="C46" t="s">
        <v>51</v>
      </c>
    </row>
    <row r="47" spans="1:3" ht="15.75" thickBot="1" x14ac:dyDescent="0.3">
      <c r="A47" s="101"/>
      <c r="B47" s="3">
        <v>1</v>
      </c>
      <c r="C47" t="e">
        <f xml:space="preserve"> Active PFC</f>
        <v>#NAME?</v>
      </c>
    </row>
    <row r="48" spans="1:3" x14ac:dyDescent="0.25">
      <c r="A48" s="99" t="s">
        <v>16</v>
      </c>
      <c r="B48" s="5">
        <v>0</v>
      </c>
      <c r="C48" t="e">
        <f xml:space="preserve"> NONE</f>
        <v>#NAME?</v>
      </c>
    </row>
    <row r="49" spans="1:3" ht="15.75" thickBot="1" x14ac:dyDescent="0.3">
      <c r="A49" s="101"/>
      <c r="B49" s="3" t="s">
        <v>48</v>
      </c>
      <c r="C49" t="e">
        <f>CF Type Socket</f>
        <v>#NAME?</v>
      </c>
    </row>
    <row r="50" spans="1:3" x14ac:dyDescent="0.25">
      <c r="A50" s="99" t="s">
        <v>17</v>
      </c>
      <c r="B50" s="5" t="s">
        <v>34</v>
      </c>
      <c r="C50" t="e">
        <f xml:space="preserve"> NONE</f>
        <v>#NAME?</v>
      </c>
    </row>
    <row r="51" spans="1:3" x14ac:dyDescent="0.25">
      <c r="A51" s="100"/>
      <c r="B51" s="6">
        <v>0</v>
      </c>
      <c r="C51" t="e">
        <f xml:space="preserve"> Shutdown ON fire</f>
        <v>#NAME?</v>
      </c>
    </row>
    <row r="52" spans="1:3" x14ac:dyDescent="0.25">
      <c r="A52" s="100"/>
      <c r="B52" s="6">
        <v>1</v>
      </c>
      <c r="C52" t="e">
        <f xml:space="preserve"> Continue ON fire</f>
        <v>#NAME?</v>
      </c>
    </row>
    <row r="53" spans="1:3" x14ac:dyDescent="0.25">
      <c r="A53" s="100"/>
      <c r="B53" s="6">
        <v>2</v>
      </c>
      <c r="C53" t="e">
        <f xml:space="preserve"> Shutdown with Smoke</f>
        <v>#NAME?</v>
      </c>
    </row>
    <row r="54" spans="1:3" ht="15" customHeight="1" thickBot="1" x14ac:dyDescent="0.3">
      <c r="A54" s="100"/>
      <c r="B54" s="6">
        <v>3</v>
      </c>
      <c r="C54" t="e">
        <f xml:space="preserve"> Continue with Smoke</f>
        <v>#NAME?</v>
      </c>
    </row>
    <row r="55" spans="1:3" x14ac:dyDescent="0.25">
      <c r="A55" s="109" t="s">
        <v>18</v>
      </c>
      <c r="B55" s="11">
        <v>0</v>
      </c>
      <c r="C55" t="e">
        <f>NONE</f>
        <v>#NAME?</v>
      </c>
    </row>
    <row r="56" spans="1:3" x14ac:dyDescent="0.25">
      <c r="A56" s="110"/>
      <c r="B56" s="12">
        <v>1</v>
      </c>
      <c r="C56" t="e">
        <f>BacNET IP</f>
        <v>#NAME?</v>
      </c>
    </row>
    <row r="57" spans="1:3" x14ac:dyDescent="0.25">
      <c r="A57" s="110"/>
      <c r="B57" s="12">
        <v>2</v>
      </c>
      <c r="C57" t="e">
        <f>BacNET MSTP</f>
        <v>#NAME?</v>
      </c>
    </row>
    <row r="58" spans="1:3" x14ac:dyDescent="0.25">
      <c r="A58" s="110"/>
      <c r="B58" s="12">
        <v>3</v>
      </c>
      <c r="C58" t="e">
        <f>Modbus RTU</f>
        <v>#NAME?</v>
      </c>
    </row>
    <row r="59" spans="1:3" ht="15" customHeight="1" thickBot="1" x14ac:dyDescent="0.3">
      <c r="A59" s="110"/>
      <c r="B59" s="12">
        <v>4</v>
      </c>
      <c r="C59" t="e">
        <f>Modbus TCP/IP</f>
        <v>#NAME?</v>
      </c>
    </row>
    <row r="60" spans="1:3" x14ac:dyDescent="0.25">
      <c r="A60" s="109" t="s">
        <v>19</v>
      </c>
      <c r="B60" s="11">
        <v>0</v>
      </c>
      <c r="C60" t="e">
        <f xml:space="preserve"> NONE</f>
        <v>#NAME?</v>
      </c>
    </row>
    <row r="61" spans="1:3" x14ac:dyDescent="0.25">
      <c r="A61" s="110"/>
      <c r="B61" s="12">
        <v>1</v>
      </c>
      <c r="C61" t="e">
        <f>Teamwork</f>
        <v>#NAME?</v>
      </c>
    </row>
    <row r="62" spans="1:3" x14ac:dyDescent="0.25">
      <c r="A62" s="110"/>
      <c r="B62" s="12">
        <v>2</v>
      </c>
      <c r="C62" t="e">
        <f>WSCO</f>
        <v>#NAME?</v>
      </c>
    </row>
    <row r="63" spans="1:3" ht="15" customHeight="1" thickBot="1" x14ac:dyDescent="0.3">
      <c r="A63" s="110"/>
      <c r="B63" s="12">
        <v>3</v>
      </c>
      <c r="C63" t="e">
        <f>Teamwork and WSCO</f>
        <v>#NAME?</v>
      </c>
    </row>
    <row r="64" spans="1:3" x14ac:dyDescent="0.25">
      <c r="A64" s="102" t="s">
        <v>20</v>
      </c>
      <c r="B64" s="5" t="s">
        <v>24</v>
      </c>
      <c r="C64" t="s">
        <v>52</v>
      </c>
    </row>
    <row r="65" spans="1:3" x14ac:dyDescent="0.25">
      <c r="A65" s="106"/>
      <c r="B65" s="6" t="s">
        <v>23</v>
      </c>
      <c r="C65" t="s">
        <v>53</v>
      </c>
    </row>
    <row r="66" spans="1:3" ht="15" customHeight="1" thickBot="1" x14ac:dyDescent="0.3">
      <c r="A66" s="103"/>
      <c r="B66" s="3" t="s">
        <v>48</v>
      </c>
      <c r="C66" t="s">
        <v>54</v>
      </c>
    </row>
    <row r="67" spans="1:3" x14ac:dyDescent="0.25">
      <c r="A67" s="102" t="s">
        <v>21</v>
      </c>
      <c r="B67" s="13">
        <v>0</v>
      </c>
      <c r="C67" t="s">
        <v>55</v>
      </c>
    </row>
    <row r="68" spans="1:3" ht="15.75" thickBot="1" x14ac:dyDescent="0.3">
      <c r="A68" s="103"/>
      <c r="B68" s="3">
        <v>1</v>
      </c>
      <c r="C68" t="s">
        <v>56</v>
      </c>
    </row>
    <row r="69" spans="1:3" ht="15.75" thickBot="1" x14ac:dyDescent="0.3">
      <c r="A69" s="32"/>
      <c r="B69" s="16">
        <v>0</v>
      </c>
    </row>
    <row r="70" spans="1:3" x14ac:dyDescent="0.25">
      <c r="A70" s="107" t="s">
        <v>10</v>
      </c>
      <c r="B70" s="4">
        <v>1</v>
      </c>
      <c r="C70" s="1" t="s">
        <v>80</v>
      </c>
    </row>
    <row r="71" spans="1:3" ht="15.75" thickBot="1" x14ac:dyDescent="0.3">
      <c r="A71" s="108"/>
      <c r="B71" s="4">
        <v>2</v>
      </c>
      <c r="C71" s="2" t="s">
        <v>81</v>
      </c>
    </row>
  </sheetData>
  <mergeCells count="23">
    <mergeCell ref="A70:A71"/>
    <mergeCell ref="A37:A40"/>
    <mergeCell ref="A41:A42"/>
    <mergeCell ref="A29:A34"/>
    <mergeCell ref="A35:A36"/>
    <mergeCell ref="A43:A45"/>
    <mergeCell ref="A46:A47"/>
    <mergeCell ref="A48:A49"/>
    <mergeCell ref="A50:A54"/>
    <mergeCell ref="A55:A59"/>
    <mergeCell ref="A60:A63"/>
    <mergeCell ref="A64:A66"/>
    <mergeCell ref="A67:A68"/>
    <mergeCell ref="A1:A4"/>
    <mergeCell ref="A5:A7"/>
    <mergeCell ref="A8:A9"/>
    <mergeCell ref="A10:A11"/>
    <mergeCell ref="A12:A13"/>
    <mergeCell ref="A14:A16"/>
    <mergeCell ref="A17:A18"/>
    <mergeCell ref="A19:A20"/>
    <mergeCell ref="A21:A22"/>
    <mergeCell ref="A23:A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E19" sqref="E19"/>
    </sheetView>
  </sheetViews>
  <sheetFormatPr defaultRowHeight="15" x14ac:dyDescent="0.25"/>
  <cols>
    <col min="1" max="1" width="29.7109375" bestFit="1" customWidth="1"/>
    <col min="2" max="2" width="54.85546875" bestFit="1" customWidth="1"/>
    <col min="3" max="5" width="11.7109375" hidden="1" customWidth="1"/>
    <col min="6" max="8" width="12" bestFit="1" customWidth="1"/>
  </cols>
  <sheetData>
    <row r="1" spans="1:8" ht="15.75" thickBot="1" x14ac:dyDescent="0.3">
      <c r="C1">
        <v>170</v>
      </c>
      <c r="D1">
        <v>230</v>
      </c>
      <c r="E1">
        <v>300</v>
      </c>
      <c r="F1">
        <v>170</v>
      </c>
      <c r="G1">
        <v>230</v>
      </c>
      <c r="H1">
        <v>300</v>
      </c>
    </row>
    <row r="2" spans="1:8" x14ac:dyDescent="0.25">
      <c r="A2" s="99" t="s">
        <v>63</v>
      </c>
      <c r="B2" s="38" t="s">
        <v>89</v>
      </c>
      <c r="C2" s="37">
        <v>14440.154438724534</v>
      </c>
      <c r="D2" s="37">
        <v>20956.581756699787</v>
      </c>
      <c r="E2" s="37">
        <v>24574.707105540692</v>
      </c>
      <c r="F2" s="37">
        <v>24016.9</v>
      </c>
      <c r="G2" s="37">
        <v>35008.94</v>
      </c>
      <c r="H2" s="37">
        <v>41208.74</v>
      </c>
    </row>
    <row r="3" spans="1:8" x14ac:dyDescent="0.25">
      <c r="A3" s="100"/>
      <c r="B3" s="39" t="s">
        <v>90</v>
      </c>
      <c r="C3" s="37">
        <v>0</v>
      </c>
      <c r="D3" s="37">
        <v>0</v>
      </c>
      <c r="E3" s="37">
        <v>0</v>
      </c>
      <c r="F3" s="37">
        <f t="shared" ref="F3:F66" si="0">C3/0.6</f>
        <v>0</v>
      </c>
      <c r="G3" s="37">
        <f t="shared" ref="G3:H17" si="1">D3/0.6</f>
        <v>0</v>
      </c>
      <c r="H3" s="37">
        <f t="shared" si="1"/>
        <v>0</v>
      </c>
    </row>
    <row r="4" spans="1:8" ht="15.75" thickBot="1" x14ac:dyDescent="0.3">
      <c r="A4" s="101"/>
      <c r="B4" s="2" t="s">
        <v>91</v>
      </c>
      <c r="C4" s="37">
        <v>0</v>
      </c>
      <c r="D4" s="37">
        <v>0</v>
      </c>
      <c r="E4" s="37">
        <v>0</v>
      </c>
      <c r="F4" s="37">
        <f t="shared" si="0"/>
        <v>0</v>
      </c>
      <c r="G4" s="37">
        <f t="shared" si="1"/>
        <v>0</v>
      </c>
      <c r="H4" s="37">
        <f t="shared" si="1"/>
        <v>0</v>
      </c>
    </row>
    <row r="5" spans="1:8" x14ac:dyDescent="0.25">
      <c r="A5" s="102" t="s">
        <v>1</v>
      </c>
      <c r="B5" s="40" t="s">
        <v>92</v>
      </c>
      <c r="C5" s="37">
        <v>874.77</v>
      </c>
      <c r="D5" s="37">
        <v>1046.0650000000001</v>
      </c>
      <c r="E5" s="37">
        <v>1198.6174999999998</v>
      </c>
      <c r="F5" s="37">
        <f t="shared" si="0"/>
        <v>1457.95</v>
      </c>
      <c r="G5" s="37">
        <f t="shared" si="1"/>
        <v>1743.4416666666668</v>
      </c>
      <c r="H5" s="37">
        <f t="shared" si="1"/>
        <v>1997.6958333333332</v>
      </c>
    </row>
    <row r="6" spans="1:8" x14ac:dyDescent="0.25">
      <c r="A6" s="106"/>
      <c r="B6" s="39" t="s">
        <v>93</v>
      </c>
      <c r="C6" s="37">
        <v>713.41750000000002</v>
      </c>
      <c r="D6" s="37">
        <v>878.83249999999998</v>
      </c>
      <c r="E6" s="37">
        <v>1037.2649999999999</v>
      </c>
      <c r="F6" s="37">
        <f t="shared" si="0"/>
        <v>1189.0291666666667</v>
      </c>
      <c r="G6" s="37">
        <f t="shared" si="1"/>
        <v>1464.7208333333333</v>
      </c>
      <c r="H6" s="37">
        <f t="shared" si="1"/>
        <v>1728.7749999999999</v>
      </c>
    </row>
    <row r="7" spans="1:8" ht="15.75" thickBot="1" x14ac:dyDescent="0.3">
      <c r="A7" s="103"/>
      <c r="B7" s="2" t="s">
        <v>94</v>
      </c>
      <c r="C7" s="37">
        <v>921.53</v>
      </c>
      <c r="D7" s="37">
        <v>1103.1925000000001</v>
      </c>
      <c r="E7" s="37">
        <v>1270.7450000000001</v>
      </c>
      <c r="F7" s="37">
        <f t="shared" si="0"/>
        <v>1535.8833333333334</v>
      </c>
      <c r="G7" s="37">
        <f t="shared" si="1"/>
        <v>1838.6541666666669</v>
      </c>
      <c r="H7" s="37">
        <f t="shared" si="1"/>
        <v>2117.9083333333338</v>
      </c>
    </row>
    <row r="8" spans="1:8" x14ac:dyDescent="0.25">
      <c r="A8" s="99" t="s">
        <v>2</v>
      </c>
      <c r="B8" s="1" t="s">
        <v>95</v>
      </c>
      <c r="C8" s="37">
        <v>0</v>
      </c>
      <c r="D8" s="37">
        <v>0</v>
      </c>
      <c r="E8" s="37">
        <v>0</v>
      </c>
      <c r="F8" s="37">
        <f t="shared" si="0"/>
        <v>0</v>
      </c>
      <c r="G8" s="37">
        <f t="shared" si="1"/>
        <v>0</v>
      </c>
      <c r="H8" s="37">
        <f t="shared" si="1"/>
        <v>0</v>
      </c>
    </row>
    <row r="9" spans="1:8" ht="15.75" thickBot="1" x14ac:dyDescent="0.3">
      <c r="A9" s="101"/>
      <c r="B9" s="2" t="s">
        <v>96</v>
      </c>
      <c r="C9" s="37">
        <v>0</v>
      </c>
      <c r="D9" s="37">
        <v>0</v>
      </c>
      <c r="E9" s="37">
        <v>0</v>
      </c>
      <c r="F9" s="37">
        <f t="shared" si="0"/>
        <v>0</v>
      </c>
      <c r="G9" s="37">
        <f t="shared" si="1"/>
        <v>0</v>
      </c>
      <c r="H9" s="37">
        <f t="shared" si="1"/>
        <v>0</v>
      </c>
    </row>
    <row r="10" spans="1:8" x14ac:dyDescent="0.25">
      <c r="A10" s="102" t="s">
        <v>3</v>
      </c>
      <c r="B10" s="1" t="s">
        <v>97</v>
      </c>
      <c r="C10" s="37">
        <v>0</v>
      </c>
      <c r="D10" s="37">
        <v>0</v>
      </c>
      <c r="E10" s="37">
        <v>0</v>
      </c>
      <c r="F10" s="37">
        <f t="shared" si="0"/>
        <v>0</v>
      </c>
      <c r="G10" s="37">
        <f t="shared" si="1"/>
        <v>0</v>
      </c>
      <c r="H10" s="37">
        <f t="shared" si="1"/>
        <v>0</v>
      </c>
    </row>
    <row r="11" spans="1:8" ht="15.75" thickBot="1" x14ac:dyDescent="0.3">
      <c r="A11" s="103"/>
      <c r="B11" s="2" t="s">
        <v>98</v>
      </c>
      <c r="C11" s="37">
        <v>455.39999999999964</v>
      </c>
      <c r="D11" s="37">
        <v>589.05000000000291</v>
      </c>
      <c r="E11" s="37">
        <v>773.850000000004</v>
      </c>
      <c r="F11" s="37">
        <f t="shared" si="0"/>
        <v>758.99999999999943</v>
      </c>
      <c r="G11" s="37">
        <f t="shared" si="1"/>
        <v>981.75000000000489</v>
      </c>
      <c r="H11" s="37">
        <f t="shared" si="1"/>
        <v>1289.7500000000068</v>
      </c>
    </row>
    <row r="12" spans="1:8" x14ac:dyDescent="0.25">
      <c r="A12" s="102" t="s">
        <v>4</v>
      </c>
      <c r="B12" s="38" t="s">
        <v>99</v>
      </c>
      <c r="C12" s="37">
        <v>818.27</v>
      </c>
      <c r="D12" s="37">
        <v>818.27</v>
      </c>
      <c r="E12" s="37">
        <v>818.27</v>
      </c>
      <c r="F12" s="37">
        <f t="shared" si="0"/>
        <v>1363.7833333333333</v>
      </c>
      <c r="G12" s="37">
        <f t="shared" si="1"/>
        <v>1363.7833333333333</v>
      </c>
      <c r="H12" s="37">
        <f t="shared" si="1"/>
        <v>1363.7833333333333</v>
      </c>
    </row>
    <row r="13" spans="1:8" ht="15.75" thickBot="1" x14ac:dyDescent="0.3">
      <c r="A13" s="103"/>
      <c r="B13" s="41" t="s">
        <v>100</v>
      </c>
      <c r="C13" s="37">
        <v>0</v>
      </c>
      <c r="D13" s="37">
        <v>0</v>
      </c>
      <c r="E13" s="37">
        <v>0</v>
      </c>
      <c r="F13" s="37">
        <f t="shared" si="0"/>
        <v>0</v>
      </c>
      <c r="G13" s="37">
        <f t="shared" si="1"/>
        <v>0</v>
      </c>
      <c r="H13" s="37">
        <f t="shared" si="1"/>
        <v>0</v>
      </c>
    </row>
    <row r="14" spans="1:8" x14ac:dyDescent="0.25">
      <c r="A14" s="99" t="s">
        <v>5</v>
      </c>
      <c r="B14" s="38" t="s">
        <v>101</v>
      </c>
      <c r="C14" s="37">
        <v>0</v>
      </c>
      <c r="D14" s="37">
        <v>0</v>
      </c>
      <c r="E14" s="37">
        <v>0</v>
      </c>
      <c r="F14" s="37">
        <f t="shared" si="0"/>
        <v>0</v>
      </c>
      <c r="G14" s="37">
        <f t="shared" si="1"/>
        <v>0</v>
      </c>
      <c r="H14" s="37">
        <f t="shared" si="1"/>
        <v>0</v>
      </c>
    </row>
    <row r="15" spans="1:8" x14ac:dyDescent="0.25">
      <c r="A15" s="100"/>
      <c r="B15" s="39" t="s">
        <v>102</v>
      </c>
      <c r="C15" s="37">
        <v>0</v>
      </c>
      <c r="D15" s="37">
        <v>0</v>
      </c>
      <c r="E15" s="37">
        <v>0</v>
      </c>
      <c r="F15" s="37">
        <f t="shared" si="0"/>
        <v>0</v>
      </c>
      <c r="G15" s="37">
        <f t="shared" si="1"/>
        <v>0</v>
      </c>
      <c r="H15" s="37">
        <f t="shared" si="1"/>
        <v>0</v>
      </c>
    </row>
    <row r="16" spans="1:8" ht="15.75" thickBot="1" x14ac:dyDescent="0.3">
      <c r="A16" s="101"/>
      <c r="B16" s="3" t="s">
        <v>103</v>
      </c>
      <c r="C16" s="37">
        <v>0</v>
      </c>
      <c r="D16" s="37">
        <v>0</v>
      </c>
      <c r="E16" s="37">
        <v>0</v>
      </c>
      <c r="F16" s="37">
        <f t="shared" si="0"/>
        <v>0</v>
      </c>
      <c r="G16" s="37">
        <f t="shared" si="1"/>
        <v>0</v>
      </c>
      <c r="H16" s="37">
        <f t="shared" si="1"/>
        <v>0</v>
      </c>
    </row>
    <row r="17" spans="1:8" x14ac:dyDescent="0.25">
      <c r="A17" s="114" t="s">
        <v>6</v>
      </c>
      <c r="B17" s="38" t="s">
        <v>104</v>
      </c>
      <c r="C17" s="37">
        <v>897.51099999999997</v>
      </c>
      <c r="D17" s="37">
        <v>874.51099999999997</v>
      </c>
      <c r="E17" s="37">
        <v>1306.511</v>
      </c>
      <c r="F17" s="37">
        <f t="shared" si="0"/>
        <v>1495.8516666666667</v>
      </c>
      <c r="G17" s="37">
        <f t="shared" si="1"/>
        <v>1457.5183333333334</v>
      </c>
      <c r="H17" s="37">
        <f t="shared" si="1"/>
        <v>2177.5183333333334</v>
      </c>
    </row>
    <row r="18" spans="1:8" ht="15.75" thickBot="1" x14ac:dyDescent="0.3">
      <c r="A18" s="115"/>
      <c r="B18" s="41" t="s">
        <v>100</v>
      </c>
      <c r="C18" s="37">
        <v>0</v>
      </c>
      <c r="D18" s="37">
        <v>0</v>
      </c>
      <c r="E18" s="37">
        <v>0</v>
      </c>
      <c r="F18" s="37">
        <f t="shared" si="0"/>
        <v>0</v>
      </c>
      <c r="G18" s="37">
        <f t="shared" ref="G18:G72" si="2">D18/0.6</f>
        <v>0</v>
      </c>
      <c r="H18" s="37">
        <f t="shared" ref="H18:H72" si="3">E18/0.6</f>
        <v>0</v>
      </c>
    </row>
    <row r="19" spans="1:8" x14ac:dyDescent="0.25">
      <c r="A19" s="102" t="s">
        <v>105</v>
      </c>
      <c r="B19" s="1" t="s">
        <v>106</v>
      </c>
      <c r="C19" s="37">
        <v>2.2453889334402573</v>
      </c>
      <c r="D19" s="37">
        <v>2.2453889334402573</v>
      </c>
      <c r="E19" s="37">
        <v>2.2453889334402573</v>
      </c>
      <c r="F19" s="37">
        <f t="shared" si="0"/>
        <v>3.7423148890670954</v>
      </c>
      <c r="G19" s="37">
        <f t="shared" si="2"/>
        <v>3.7423148890670954</v>
      </c>
      <c r="H19" s="37">
        <f t="shared" si="3"/>
        <v>3.7423148890670954</v>
      </c>
    </row>
    <row r="20" spans="1:8" ht="15.75" thickBot="1" x14ac:dyDescent="0.3">
      <c r="A20" s="103"/>
      <c r="B20" s="2" t="s">
        <v>107</v>
      </c>
      <c r="C20" s="37">
        <v>255.11681956696071</v>
      </c>
      <c r="D20" s="37">
        <v>255.11681956696071</v>
      </c>
      <c r="E20" s="37">
        <v>255.11681956696071</v>
      </c>
      <c r="F20" s="37">
        <f t="shared" si="0"/>
        <v>425.19469927826788</v>
      </c>
      <c r="G20" s="37">
        <f t="shared" si="2"/>
        <v>425.19469927826788</v>
      </c>
      <c r="H20" s="37">
        <f t="shared" si="3"/>
        <v>425.19469927826788</v>
      </c>
    </row>
    <row r="21" spans="1:8" x14ac:dyDescent="0.25">
      <c r="A21" s="99" t="s">
        <v>108</v>
      </c>
      <c r="B21" s="1" t="s">
        <v>109</v>
      </c>
      <c r="C21" s="37">
        <v>0</v>
      </c>
      <c r="D21" s="37">
        <v>0</v>
      </c>
      <c r="E21" s="37">
        <v>0</v>
      </c>
      <c r="F21" s="37">
        <f t="shared" si="0"/>
        <v>0</v>
      </c>
      <c r="G21" s="37">
        <f t="shared" si="2"/>
        <v>0</v>
      </c>
      <c r="H21" s="37">
        <f t="shared" si="3"/>
        <v>0</v>
      </c>
    </row>
    <row r="22" spans="1:8" ht="15.75" thickBot="1" x14ac:dyDescent="0.3">
      <c r="A22" s="101"/>
      <c r="B22" s="2" t="s">
        <v>110</v>
      </c>
      <c r="C22" s="37">
        <v>192.07650000000001</v>
      </c>
      <c r="D22" s="37">
        <v>192.07650000000001</v>
      </c>
      <c r="E22" s="37">
        <v>192.07650000000001</v>
      </c>
      <c r="F22" s="37">
        <f t="shared" si="0"/>
        <v>320.12750000000005</v>
      </c>
      <c r="G22" s="37">
        <f t="shared" si="2"/>
        <v>320.12750000000005</v>
      </c>
      <c r="H22" s="37">
        <f t="shared" si="3"/>
        <v>320.12750000000005</v>
      </c>
    </row>
    <row r="23" spans="1:8" x14ac:dyDescent="0.25">
      <c r="A23" s="99" t="s">
        <v>9</v>
      </c>
      <c r="B23" s="42" t="s">
        <v>111</v>
      </c>
      <c r="C23" s="37">
        <v>72.522694466720139</v>
      </c>
      <c r="D23" s="37">
        <v>72.522694466720139</v>
      </c>
      <c r="E23" s="37">
        <v>72.522694466720139</v>
      </c>
      <c r="F23" s="37">
        <f t="shared" si="0"/>
        <v>120.87115744453357</v>
      </c>
      <c r="G23" s="37">
        <f t="shared" si="2"/>
        <v>120.87115744453357</v>
      </c>
      <c r="H23" s="37">
        <f t="shared" si="3"/>
        <v>120.87115744453357</v>
      </c>
    </row>
    <row r="24" spans="1:8" x14ac:dyDescent="0.25">
      <c r="A24" s="100"/>
      <c r="B24" s="43" t="s">
        <v>112</v>
      </c>
      <c r="C24" s="37">
        <v>577.22269446672021</v>
      </c>
      <c r="D24" s="37">
        <v>627.20269446672023</v>
      </c>
      <c r="E24" s="37">
        <v>652.20269446672023</v>
      </c>
      <c r="F24" s="37">
        <f t="shared" si="0"/>
        <v>962.03782411120039</v>
      </c>
      <c r="G24" s="37">
        <f t="shared" si="2"/>
        <v>1045.3378241112005</v>
      </c>
      <c r="H24" s="37">
        <f t="shared" si="3"/>
        <v>1087.0044907778672</v>
      </c>
    </row>
    <row r="25" spans="1:8" x14ac:dyDescent="0.25">
      <c r="A25" s="100"/>
      <c r="B25" s="43" t="s">
        <v>113</v>
      </c>
      <c r="C25" s="37">
        <v>1115.0536944667201</v>
      </c>
      <c r="D25" s="37">
        <v>1024.3861944667201</v>
      </c>
      <c r="E25" s="37">
        <v>1049.3861944667201</v>
      </c>
      <c r="F25" s="37">
        <f t="shared" si="0"/>
        <v>1858.4228241112003</v>
      </c>
      <c r="G25" s="37">
        <f t="shared" si="2"/>
        <v>1707.3103241112003</v>
      </c>
      <c r="H25" s="37">
        <f t="shared" si="3"/>
        <v>1748.9769907778668</v>
      </c>
    </row>
    <row r="26" spans="1:8" ht="45" x14ac:dyDescent="0.25">
      <c r="A26" s="100"/>
      <c r="B26" s="44" t="s">
        <v>114</v>
      </c>
      <c r="C26" s="37">
        <v>1250.5036944667202</v>
      </c>
      <c r="D26" s="37">
        <v>1477.6711944667204</v>
      </c>
      <c r="E26" s="37">
        <v>1502.6711944667204</v>
      </c>
      <c r="F26" s="37">
        <f t="shared" si="0"/>
        <v>2084.1728241112005</v>
      </c>
      <c r="G26" s="37">
        <f t="shared" si="2"/>
        <v>2462.7853241112007</v>
      </c>
      <c r="H26" s="37">
        <f t="shared" si="3"/>
        <v>2504.4519907778676</v>
      </c>
    </row>
    <row r="27" spans="1:8" x14ac:dyDescent="0.25">
      <c r="A27" s="100"/>
      <c r="B27" s="43" t="s">
        <v>115</v>
      </c>
      <c r="C27" s="37">
        <v>1978.48</v>
      </c>
      <c r="D27" s="37">
        <v>2267.86</v>
      </c>
      <c r="E27" s="37">
        <v>2292.86</v>
      </c>
      <c r="F27" s="37">
        <f t="shared" si="0"/>
        <v>3297.4666666666667</v>
      </c>
      <c r="G27" s="37">
        <f t="shared" si="2"/>
        <v>3779.7666666666669</v>
      </c>
      <c r="H27" s="37">
        <f t="shared" si="3"/>
        <v>3821.4333333333338</v>
      </c>
    </row>
    <row r="28" spans="1:8" ht="15.75" thickBot="1" x14ac:dyDescent="0.3">
      <c r="A28" s="101"/>
      <c r="B28" s="45" t="s">
        <v>116</v>
      </c>
      <c r="C28" s="37">
        <v>1721.125</v>
      </c>
      <c r="D28" s="37">
        <v>1982.68</v>
      </c>
      <c r="E28" s="37">
        <v>2007.68</v>
      </c>
      <c r="F28" s="37">
        <f t="shared" si="0"/>
        <v>2868.541666666667</v>
      </c>
      <c r="G28" s="37">
        <f t="shared" si="2"/>
        <v>3304.4666666666667</v>
      </c>
      <c r="H28" s="37">
        <f t="shared" si="3"/>
        <v>3346.1333333333337</v>
      </c>
    </row>
    <row r="29" spans="1:8" x14ac:dyDescent="0.25">
      <c r="A29" s="99" t="s">
        <v>73</v>
      </c>
      <c r="B29" s="1" t="s">
        <v>117</v>
      </c>
      <c r="C29" s="37">
        <v>0</v>
      </c>
      <c r="D29" s="37">
        <v>0</v>
      </c>
      <c r="E29" s="37">
        <v>0</v>
      </c>
      <c r="F29" s="37">
        <f t="shared" si="0"/>
        <v>0</v>
      </c>
      <c r="G29" s="37">
        <f t="shared" si="2"/>
        <v>0</v>
      </c>
      <c r="H29" s="37">
        <f t="shared" si="3"/>
        <v>0</v>
      </c>
    </row>
    <row r="30" spans="1:8" x14ac:dyDescent="0.25">
      <c r="A30" s="100"/>
      <c r="B30" s="46" t="s">
        <v>118</v>
      </c>
      <c r="C30" s="37">
        <v>68.712000000000003</v>
      </c>
      <c r="D30" s="37">
        <v>68.712000000000003</v>
      </c>
      <c r="E30" s="37">
        <v>68.712000000000003</v>
      </c>
      <c r="F30" s="37">
        <f t="shared" si="0"/>
        <v>114.52000000000001</v>
      </c>
      <c r="G30" s="37">
        <f t="shared" si="2"/>
        <v>114.52000000000001</v>
      </c>
      <c r="H30" s="37">
        <f t="shared" si="3"/>
        <v>114.52000000000001</v>
      </c>
    </row>
    <row r="31" spans="1:8" x14ac:dyDescent="0.25">
      <c r="A31" s="100"/>
      <c r="B31" s="46" t="s">
        <v>119</v>
      </c>
      <c r="C31" s="37">
        <v>137.42400000000001</v>
      </c>
      <c r="D31" s="37">
        <v>137.42400000000001</v>
      </c>
      <c r="E31" s="37">
        <v>137.42400000000001</v>
      </c>
      <c r="F31" s="37">
        <f t="shared" si="0"/>
        <v>229.04000000000002</v>
      </c>
      <c r="G31" s="37">
        <f t="shared" si="2"/>
        <v>229.04000000000002</v>
      </c>
      <c r="H31" s="37">
        <f t="shared" si="3"/>
        <v>229.04000000000002</v>
      </c>
    </row>
    <row r="32" spans="1:8" x14ac:dyDescent="0.25">
      <c r="A32" s="100"/>
      <c r="B32" s="46" t="s">
        <v>120</v>
      </c>
      <c r="C32" s="37">
        <v>213.339</v>
      </c>
      <c r="D32" s="37">
        <v>213.339</v>
      </c>
      <c r="E32" s="37">
        <v>213.339</v>
      </c>
      <c r="F32" s="37">
        <f t="shared" si="0"/>
        <v>355.565</v>
      </c>
      <c r="G32" s="37">
        <f t="shared" si="2"/>
        <v>355.565</v>
      </c>
      <c r="H32" s="37">
        <f t="shared" si="3"/>
        <v>355.565</v>
      </c>
    </row>
    <row r="33" spans="1:8" x14ac:dyDescent="0.25">
      <c r="A33" s="100"/>
      <c r="B33" s="46" t="s">
        <v>121</v>
      </c>
      <c r="C33" s="37">
        <v>282.05100000000004</v>
      </c>
      <c r="D33" s="37">
        <v>282.05100000000004</v>
      </c>
      <c r="E33" s="37">
        <v>282.05100000000004</v>
      </c>
      <c r="F33" s="37">
        <f t="shared" si="0"/>
        <v>470.08500000000009</v>
      </c>
      <c r="G33" s="37">
        <f t="shared" si="2"/>
        <v>470.08500000000009</v>
      </c>
      <c r="H33" s="37">
        <f t="shared" si="3"/>
        <v>470.08500000000009</v>
      </c>
    </row>
    <row r="34" spans="1:8" ht="15.75" thickBot="1" x14ac:dyDescent="0.3">
      <c r="A34" s="100"/>
      <c r="B34" s="46" t="s">
        <v>122</v>
      </c>
      <c r="C34" s="37">
        <v>144.62700000000001</v>
      </c>
      <c r="D34" s="37">
        <v>144.62700000000001</v>
      </c>
      <c r="E34" s="37">
        <v>144.62700000000001</v>
      </c>
      <c r="F34" s="37">
        <f t="shared" si="0"/>
        <v>241.04500000000002</v>
      </c>
      <c r="G34" s="37">
        <f t="shared" si="2"/>
        <v>241.04500000000002</v>
      </c>
      <c r="H34" s="37">
        <f t="shared" si="3"/>
        <v>241.04500000000002</v>
      </c>
    </row>
    <row r="35" spans="1:8" x14ac:dyDescent="0.25">
      <c r="A35" s="99" t="s">
        <v>10</v>
      </c>
      <c r="B35" s="47" t="s">
        <v>123</v>
      </c>
      <c r="C35" s="37">
        <v>0</v>
      </c>
      <c r="D35" s="37">
        <v>0</v>
      </c>
      <c r="E35" s="37">
        <v>0</v>
      </c>
      <c r="F35" s="37">
        <f t="shared" si="0"/>
        <v>0</v>
      </c>
      <c r="G35" s="37">
        <f t="shared" si="2"/>
        <v>0</v>
      </c>
      <c r="H35" s="37">
        <f t="shared" si="3"/>
        <v>0</v>
      </c>
    </row>
    <row r="36" spans="1:8" x14ac:dyDescent="0.25">
      <c r="A36" s="100"/>
      <c r="B36" s="48" t="s">
        <v>80</v>
      </c>
      <c r="C36" s="37">
        <v>0</v>
      </c>
      <c r="D36" s="37">
        <v>0</v>
      </c>
      <c r="E36" s="37">
        <v>0</v>
      </c>
      <c r="F36" s="37">
        <f t="shared" si="0"/>
        <v>0</v>
      </c>
      <c r="G36" s="37">
        <f t="shared" si="2"/>
        <v>0</v>
      </c>
      <c r="H36" s="37">
        <f t="shared" si="3"/>
        <v>0</v>
      </c>
    </row>
    <row r="37" spans="1:8" ht="15.75" thickBot="1" x14ac:dyDescent="0.3">
      <c r="A37" s="101"/>
      <c r="B37" s="2" t="s">
        <v>81</v>
      </c>
      <c r="C37" s="37">
        <v>0</v>
      </c>
      <c r="D37" s="37">
        <v>0</v>
      </c>
      <c r="E37" s="37">
        <v>0</v>
      </c>
      <c r="F37" s="37">
        <f t="shared" si="0"/>
        <v>0</v>
      </c>
      <c r="G37" s="37">
        <f t="shared" si="2"/>
        <v>0</v>
      </c>
      <c r="H37" s="37">
        <f t="shared" si="3"/>
        <v>0</v>
      </c>
    </row>
    <row r="38" spans="1:8" x14ac:dyDescent="0.25">
      <c r="A38" s="99" t="s">
        <v>74</v>
      </c>
      <c r="B38" s="1" t="s">
        <v>124</v>
      </c>
      <c r="C38" s="37">
        <v>0</v>
      </c>
      <c r="D38" s="37">
        <v>0</v>
      </c>
      <c r="E38" s="37">
        <v>0</v>
      </c>
      <c r="F38" s="37">
        <f t="shared" si="0"/>
        <v>0</v>
      </c>
      <c r="G38" s="37">
        <f t="shared" si="2"/>
        <v>0</v>
      </c>
      <c r="H38" s="37">
        <f t="shared" si="3"/>
        <v>0</v>
      </c>
    </row>
    <row r="39" spans="1:8" ht="15.75" thickBot="1" x14ac:dyDescent="0.3">
      <c r="A39" s="101"/>
      <c r="B39" s="2" t="s">
        <v>125</v>
      </c>
      <c r="C39" s="37">
        <v>0</v>
      </c>
      <c r="D39" s="37">
        <v>0</v>
      </c>
      <c r="E39" s="37">
        <v>0</v>
      </c>
      <c r="F39" s="37">
        <f t="shared" si="0"/>
        <v>0</v>
      </c>
      <c r="G39" s="37">
        <f t="shared" si="2"/>
        <v>0</v>
      </c>
      <c r="H39" s="37">
        <f t="shared" si="3"/>
        <v>0</v>
      </c>
    </row>
    <row r="40" spans="1:8" x14ac:dyDescent="0.25">
      <c r="A40" s="102" t="s">
        <v>126</v>
      </c>
      <c r="B40" s="1" t="s">
        <v>127</v>
      </c>
      <c r="C40" s="37">
        <v>0</v>
      </c>
      <c r="D40" s="37">
        <v>0</v>
      </c>
      <c r="E40" s="37">
        <v>0</v>
      </c>
      <c r="F40" s="37">
        <f t="shared" si="0"/>
        <v>0</v>
      </c>
      <c r="G40" s="37">
        <f t="shared" si="2"/>
        <v>0</v>
      </c>
      <c r="H40" s="37">
        <f t="shared" si="3"/>
        <v>0</v>
      </c>
    </row>
    <row r="41" spans="1:8" x14ac:dyDescent="0.25">
      <c r="A41" s="106"/>
      <c r="B41" s="46" t="s">
        <v>128</v>
      </c>
      <c r="C41" s="37">
        <v>1069.047</v>
      </c>
      <c r="D41" s="37">
        <v>1069.047</v>
      </c>
      <c r="E41" s="37">
        <v>1069.047</v>
      </c>
      <c r="F41" s="37">
        <f t="shared" si="0"/>
        <v>1781.7450000000001</v>
      </c>
      <c r="G41" s="37">
        <f t="shared" si="2"/>
        <v>1781.7450000000001</v>
      </c>
      <c r="H41" s="37">
        <f t="shared" si="3"/>
        <v>1781.7450000000001</v>
      </c>
    </row>
    <row r="42" spans="1:8" x14ac:dyDescent="0.25">
      <c r="A42" s="106"/>
      <c r="B42" s="46" t="s">
        <v>129</v>
      </c>
      <c r="C42" s="37">
        <v>1484.7218195669607</v>
      </c>
      <c r="D42" s="37">
        <v>1484.7218195669607</v>
      </c>
      <c r="E42" s="37">
        <v>1484.7218195669607</v>
      </c>
      <c r="F42" s="37">
        <f t="shared" si="0"/>
        <v>2474.5363659449345</v>
      </c>
      <c r="G42" s="37">
        <f t="shared" si="2"/>
        <v>2474.5363659449345</v>
      </c>
      <c r="H42" s="37">
        <f t="shared" si="3"/>
        <v>2474.5363659449345</v>
      </c>
    </row>
    <row r="43" spans="1:8" ht="15.75" thickBot="1" x14ac:dyDescent="0.3">
      <c r="A43" s="103"/>
      <c r="B43" s="2" t="s">
        <v>130</v>
      </c>
      <c r="C43" s="37">
        <v>415.67481956696065</v>
      </c>
      <c r="D43" s="37">
        <v>415.67481956696065</v>
      </c>
      <c r="E43" s="37">
        <v>415.67481956696065</v>
      </c>
      <c r="F43" s="37">
        <f t="shared" si="0"/>
        <v>692.79136594493446</v>
      </c>
      <c r="G43" s="37">
        <f t="shared" si="2"/>
        <v>692.79136594493446</v>
      </c>
      <c r="H43" s="37">
        <f t="shared" si="3"/>
        <v>692.79136594493446</v>
      </c>
    </row>
    <row r="44" spans="1:8" x14ac:dyDescent="0.25">
      <c r="A44" s="114" t="s">
        <v>13</v>
      </c>
      <c r="B44" s="1" t="s">
        <v>117</v>
      </c>
      <c r="C44" s="37">
        <v>0</v>
      </c>
      <c r="D44" s="37">
        <v>0</v>
      </c>
      <c r="E44" s="37">
        <v>0</v>
      </c>
      <c r="F44" s="37">
        <f t="shared" si="0"/>
        <v>0</v>
      </c>
      <c r="G44" s="37">
        <f t="shared" si="2"/>
        <v>0</v>
      </c>
      <c r="H44" s="37">
        <f t="shared" si="3"/>
        <v>0</v>
      </c>
    </row>
    <row r="45" spans="1:8" ht="15.75" thickBot="1" x14ac:dyDescent="0.3">
      <c r="A45" s="115"/>
      <c r="B45" s="2" t="s">
        <v>131</v>
      </c>
      <c r="C45" s="37">
        <v>316.05</v>
      </c>
      <c r="D45" s="37">
        <v>316.05</v>
      </c>
      <c r="E45" s="37">
        <v>316.05</v>
      </c>
      <c r="F45" s="37">
        <f t="shared" si="0"/>
        <v>526.75</v>
      </c>
      <c r="G45" s="37">
        <f t="shared" si="2"/>
        <v>526.75</v>
      </c>
      <c r="H45" s="37">
        <f t="shared" si="3"/>
        <v>526.75</v>
      </c>
    </row>
    <row r="46" spans="1:8" x14ac:dyDescent="0.25">
      <c r="A46" s="99" t="s">
        <v>14</v>
      </c>
      <c r="B46" s="1" t="s">
        <v>132</v>
      </c>
      <c r="C46" s="37">
        <v>0</v>
      </c>
      <c r="D46" s="37">
        <v>0</v>
      </c>
      <c r="E46" s="37">
        <v>0</v>
      </c>
      <c r="F46" s="37">
        <f t="shared" si="0"/>
        <v>0</v>
      </c>
      <c r="G46" s="37">
        <f t="shared" si="2"/>
        <v>0</v>
      </c>
      <c r="H46" s="37">
        <f t="shared" si="3"/>
        <v>0</v>
      </c>
    </row>
    <row r="47" spans="1:8" x14ac:dyDescent="0.25">
      <c r="A47" s="100"/>
      <c r="B47" s="46" t="s">
        <v>133</v>
      </c>
      <c r="C47" s="37">
        <v>114.66000000000001</v>
      </c>
      <c r="D47" s="37">
        <v>114.66000000000001</v>
      </c>
      <c r="E47" s="37">
        <v>114.66000000000001</v>
      </c>
      <c r="F47" s="37">
        <f t="shared" si="0"/>
        <v>191.10000000000002</v>
      </c>
      <c r="G47" s="37">
        <f t="shared" si="2"/>
        <v>191.10000000000002</v>
      </c>
      <c r="H47" s="37">
        <f t="shared" si="3"/>
        <v>191.10000000000002</v>
      </c>
    </row>
    <row r="48" spans="1:8" ht="15.75" thickBot="1" x14ac:dyDescent="0.3">
      <c r="A48" s="101"/>
      <c r="B48" s="2" t="s">
        <v>134</v>
      </c>
      <c r="C48" s="37">
        <v>294.24229149959905</v>
      </c>
      <c r="D48" s="37">
        <v>294.24229149959905</v>
      </c>
      <c r="E48" s="37">
        <v>294.24229149959905</v>
      </c>
      <c r="F48" s="37">
        <f t="shared" si="0"/>
        <v>490.40381916599841</v>
      </c>
      <c r="G48" s="37">
        <f t="shared" si="2"/>
        <v>490.40381916599841</v>
      </c>
      <c r="H48" s="37">
        <f t="shared" si="3"/>
        <v>490.40381916599841</v>
      </c>
    </row>
    <row r="49" spans="1:8" x14ac:dyDescent="0.25">
      <c r="A49" s="111" t="s">
        <v>15</v>
      </c>
      <c r="B49" s="1" t="s">
        <v>135</v>
      </c>
      <c r="C49" s="37">
        <v>0</v>
      </c>
      <c r="D49" s="37">
        <v>0</v>
      </c>
      <c r="E49" s="37">
        <v>0</v>
      </c>
      <c r="F49" s="37">
        <f t="shared" si="0"/>
        <v>0</v>
      </c>
      <c r="G49" s="37">
        <f t="shared" si="2"/>
        <v>0</v>
      </c>
      <c r="H49" s="37">
        <f t="shared" si="3"/>
        <v>0</v>
      </c>
    </row>
    <row r="50" spans="1:8" ht="15.75" thickBot="1" x14ac:dyDescent="0.3">
      <c r="A50" s="112"/>
      <c r="B50" s="2" t="s">
        <v>136</v>
      </c>
      <c r="C50" s="37">
        <v>6431.4715316760221</v>
      </c>
      <c r="D50" s="37">
        <v>6431.4715316760221</v>
      </c>
      <c r="E50" s="37">
        <v>6431.4715316760221</v>
      </c>
      <c r="F50" s="37">
        <f t="shared" si="0"/>
        <v>10719.119219460037</v>
      </c>
      <c r="G50" s="37">
        <f t="shared" si="2"/>
        <v>10719.119219460037</v>
      </c>
      <c r="H50" s="37">
        <f t="shared" si="3"/>
        <v>10719.119219460037</v>
      </c>
    </row>
    <row r="51" spans="1:8" ht="15.75" thickBot="1" x14ac:dyDescent="0.3">
      <c r="A51" s="113"/>
      <c r="B51" s="46" t="s">
        <v>155</v>
      </c>
      <c r="C51" s="37">
        <v>436.80000000000018</v>
      </c>
      <c r="D51" s="37">
        <v>582.40000000000009</v>
      </c>
      <c r="E51" s="37">
        <v>728</v>
      </c>
      <c r="F51" s="37">
        <f t="shared" si="0"/>
        <v>728.00000000000034</v>
      </c>
      <c r="G51" s="37">
        <f t="shared" si="2"/>
        <v>970.66666666666686</v>
      </c>
      <c r="H51" s="37">
        <f t="shared" si="3"/>
        <v>1213.3333333333335</v>
      </c>
    </row>
    <row r="52" spans="1:8" x14ac:dyDescent="0.25">
      <c r="A52" s="99" t="s">
        <v>16</v>
      </c>
      <c r="B52" s="1" t="s">
        <v>117</v>
      </c>
      <c r="C52" s="37">
        <v>0</v>
      </c>
      <c r="D52" s="37">
        <v>0</v>
      </c>
      <c r="E52" s="37">
        <v>0</v>
      </c>
      <c r="F52" s="37">
        <f t="shared" si="0"/>
        <v>0</v>
      </c>
      <c r="G52" s="37">
        <f t="shared" si="2"/>
        <v>0</v>
      </c>
      <c r="H52" s="37">
        <f t="shared" si="3"/>
        <v>0</v>
      </c>
    </row>
    <row r="53" spans="1:8" ht="15.75" thickBot="1" x14ac:dyDescent="0.3">
      <c r="A53" s="101"/>
      <c r="B53" s="2" t="s">
        <v>137</v>
      </c>
      <c r="C53" s="37">
        <v>4.9039097834803531</v>
      </c>
      <c r="D53" s="37">
        <v>4.9039097834803531</v>
      </c>
      <c r="E53" s="37">
        <v>4.9039097834803531</v>
      </c>
      <c r="F53" s="37">
        <f t="shared" si="0"/>
        <v>8.1731829724672558</v>
      </c>
      <c r="G53" s="37">
        <f t="shared" si="2"/>
        <v>8.1731829724672558</v>
      </c>
      <c r="H53" s="37">
        <f t="shared" si="3"/>
        <v>8.1731829724672558</v>
      </c>
    </row>
    <row r="54" spans="1:8" x14ac:dyDescent="0.25">
      <c r="A54" s="116" t="s">
        <v>17</v>
      </c>
      <c r="B54" s="1" t="s">
        <v>127</v>
      </c>
      <c r="C54" s="37">
        <v>0</v>
      </c>
      <c r="D54" s="37">
        <v>0</v>
      </c>
      <c r="E54" s="37">
        <v>0</v>
      </c>
      <c r="F54" s="37">
        <f t="shared" si="0"/>
        <v>0</v>
      </c>
      <c r="G54" s="37">
        <f t="shared" si="2"/>
        <v>0</v>
      </c>
      <c r="H54" s="37">
        <f t="shared" si="3"/>
        <v>0</v>
      </c>
    </row>
    <row r="55" spans="1:8" x14ac:dyDescent="0.25">
      <c r="A55" s="117"/>
      <c r="B55" s="46" t="s">
        <v>138</v>
      </c>
      <c r="C55" s="37">
        <v>6.0585000000000004</v>
      </c>
      <c r="D55" s="37">
        <v>6.0585000000000004</v>
      </c>
      <c r="E55" s="37">
        <v>6.0585000000000004</v>
      </c>
      <c r="F55" s="37">
        <f t="shared" si="0"/>
        <v>10.097500000000002</v>
      </c>
      <c r="G55" s="37">
        <f t="shared" si="2"/>
        <v>10.097500000000002</v>
      </c>
      <c r="H55" s="37">
        <f t="shared" si="3"/>
        <v>10.097500000000002</v>
      </c>
    </row>
    <row r="56" spans="1:8" x14ac:dyDescent="0.25">
      <c r="A56" s="117"/>
      <c r="B56" s="46" t="s">
        <v>139</v>
      </c>
      <c r="C56" s="37">
        <v>6.0585000000000004</v>
      </c>
      <c r="D56" s="37">
        <v>6.0585000000000004</v>
      </c>
      <c r="E56" s="37">
        <v>6.0585000000000004</v>
      </c>
      <c r="F56" s="37">
        <f t="shared" si="0"/>
        <v>10.097500000000002</v>
      </c>
      <c r="G56" s="37">
        <f t="shared" si="2"/>
        <v>10.097500000000002</v>
      </c>
      <c r="H56" s="37">
        <f t="shared" si="3"/>
        <v>10.097500000000002</v>
      </c>
    </row>
    <row r="57" spans="1:8" x14ac:dyDescent="0.25">
      <c r="A57" s="117"/>
      <c r="B57" s="46" t="s">
        <v>140</v>
      </c>
      <c r="C57" s="37">
        <v>236.50276623897358</v>
      </c>
      <c r="D57" s="37">
        <v>236.50276623897358</v>
      </c>
      <c r="E57" s="37">
        <v>236.50276623897358</v>
      </c>
      <c r="F57" s="37">
        <f t="shared" si="0"/>
        <v>394.17127706495597</v>
      </c>
      <c r="G57" s="37">
        <f t="shared" si="2"/>
        <v>394.17127706495597</v>
      </c>
      <c r="H57" s="37">
        <f t="shared" si="3"/>
        <v>394.17127706495597</v>
      </c>
    </row>
    <row r="58" spans="1:8" ht="15.75" thickBot="1" x14ac:dyDescent="0.3">
      <c r="A58" s="118"/>
      <c r="B58" s="2" t="s">
        <v>141</v>
      </c>
      <c r="C58" s="37">
        <v>236.50276623897358</v>
      </c>
      <c r="D58" s="37">
        <v>236.50276623897358</v>
      </c>
      <c r="E58" s="37">
        <v>236.50276623897358</v>
      </c>
      <c r="F58" s="37">
        <f t="shared" si="0"/>
        <v>394.17127706495597</v>
      </c>
      <c r="G58" s="37">
        <f t="shared" si="2"/>
        <v>394.17127706495597</v>
      </c>
      <c r="H58" s="37">
        <f t="shared" si="3"/>
        <v>394.17127706495597</v>
      </c>
    </row>
    <row r="59" spans="1:8" x14ac:dyDescent="0.25">
      <c r="A59" s="102" t="s">
        <v>18</v>
      </c>
      <c r="B59" s="47" t="s">
        <v>142</v>
      </c>
      <c r="C59" s="37">
        <v>0</v>
      </c>
      <c r="D59" s="37">
        <v>0</v>
      </c>
      <c r="E59" s="37">
        <v>0</v>
      </c>
      <c r="F59" s="37">
        <f t="shared" si="0"/>
        <v>0</v>
      </c>
      <c r="G59" s="37">
        <f t="shared" si="2"/>
        <v>0</v>
      </c>
      <c r="H59" s="37">
        <f t="shared" si="3"/>
        <v>0</v>
      </c>
    </row>
    <row r="60" spans="1:8" x14ac:dyDescent="0.25">
      <c r="A60" s="106"/>
      <c r="B60" s="48" t="s">
        <v>143</v>
      </c>
      <c r="C60" s="37">
        <v>0</v>
      </c>
      <c r="D60" s="37">
        <v>0</v>
      </c>
      <c r="E60" s="37">
        <v>0</v>
      </c>
      <c r="F60" s="37">
        <f t="shared" si="0"/>
        <v>0</v>
      </c>
      <c r="G60" s="37">
        <f t="shared" si="2"/>
        <v>0</v>
      </c>
      <c r="H60" s="37">
        <f t="shared" si="3"/>
        <v>0</v>
      </c>
    </row>
    <row r="61" spans="1:8" x14ac:dyDescent="0.25">
      <c r="A61" s="106"/>
      <c r="B61" s="46" t="s">
        <v>144</v>
      </c>
      <c r="C61" s="37">
        <v>0</v>
      </c>
      <c r="D61" s="37">
        <v>0</v>
      </c>
      <c r="E61" s="37">
        <v>0</v>
      </c>
      <c r="F61" s="37">
        <f t="shared" si="0"/>
        <v>0</v>
      </c>
      <c r="G61" s="37">
        <f t="shared" si="2"/>
        <v>0</v>
      </c>
      <c r="H61" s="37">
        <f t="shared" si="3"/>
        <v>0</v>
      </c>
    </row>
    <row r="62" spans="1:8" x14ac:dyDescent="0.25">
      <c r="A62" s="106"/>
      <c r="B62" s="46" t="s">
        <v>145</v>
      </c>
      <c r="C62" s="37">
        <v>0</v>
      </c>
      <c r="D62" s="37">
        <v>0</v>
      </c>
      <c r="E62" s="37">
        <v>0</v>
      </c>
      <c r="F62" s="37">
        <f t="shared" si="0"/>
        <v>0</v>
      </c>
      <c r="G62" s="37">
        <f t="shared" si="2"/>
        <v>0</v>
      </c>
      <c r="H62" s="37">
        <f t="shared" si="3"/>
        <v>0</v>
      </c>
    </row>
    <row r="63" spans="1:8" ht="15.75" thickBot="1" x14ac:dyDescent="0.3">
      <c r="A63" s="103"/>
      <c r="B63" s="2" t="s">
        <v>146</v>
      </c>
      <c r="C63" s="37">
        <v>0</v>
      </c>
      <c r="D63" s="37">
        <v>0</v>
      </c>
      <c r="E63" s="37">
        <v>0</v>
      </c>
      <c r="F63" s="37">
        <f t="shared" si="0"/>
        <v>0</v>
      </c>
      <c r="G63" s="37">
        <f t="shared" si="2"/>
        <v>0</v>
      </c>
      <c r="H63" s="37">
        <f t="shared" si="3"/>
        <v>0</v>
      </c>
    </row>
    <row r="64" spans="1:8" x14ac:dyDescent="0.25">
      <c r="A64" s="102" t="s">
        <v>19</v>
      </c>
      <c r="B64" s="1" t="s">
        <v>117</v>
      </c>
      <c r="C64" s="37">
        <v>0</v>
      </c>
      <c r="D64" s="37">
        <v>0</v>
      </c>
      <c r="E64" s="37">
        <v>0</v>
      </c>
      <c r="F64" s="37">
        <f t="shared" si="0"/>
        <v>0</v>
      </c>
      <c r="G64" s="37">
        <f t="shared" si="2"/>
        <v>0</v>
      </c>
      <c r="H64" s="37">
        <f t="shared" si="3"/>
        <v>0</v>
      </c>
    </row>
    <row r="65" spans="1:8" x14ac:dyDescent="0.25">
      <c r="A65" s="106"/>
      <c r="B65" s="46" t="s">
        <v>147</v>
      </c>
      <c r="C65" s="37">
        <v>189</v>
      </c>
      <c r="D65" s="37">
        <v>189</v>
      </c>
      <c r="E65" s="37">
        <v>189</v>
      </c>
      <c r="F65" s="37">
        <f t="shared" si="0"/>
        <v>315</v>
      </c>
      <c r="G65" s="37">
        <f t="shared" si="2"/>
        <v>315</v>
      </c>
      <c r="H65" s="37">
        <f t="shared" si="3"/>
        <v>315</v>
      </c>
    </row>
    <row r="66" spans="1:8" x14ac:dyDescent="0.25">
      <c r="A66" s="106"/>
      <c r="B66" s="46" t="s">
        <v>148</v>
      </c>
      <c r="C66" s="37">
        <v>0</v>
      </c>
      <c r="D66" s="37">
        <v>0</v>
      </c>
      <c r="E66" s="37">
        <v>0</v>
      </c>
      <c r="F66" s="37">
        <f t="shared" si="0"/>
        <v>0</v>
      </c>
      <c r="G66" s="37">
        <f t="shared" si="2"/>
        <v>0</v>
      </c>
      <c r="H66" s="37">
        <f t="shared" si="3"/>
        <v>0</v>
      </c>
    </row>
    <row r="67" spans="1:8" ht="15.75" thickBot="1" x14ac:dyDescent="0.3">
      <c r="A67" s="103"/>
      <c r="B67" s="2" t="s">
        <v>149</v>
      </c>
      <c r="C67" s="37">
        <v>189</v>
      </c>
      <c r="D67" s="37">
        <v>189</v>
      </c>
      <c r="E67" s="37">
        <v>189</v>
      </c>
      <c r="F67" s="37">
        <f t="shared" ref="F67:F72" si="4">C67/0.6</f>
        <v>315</v>
      </c>
      <c r="G67" s="37">
        <f t="shared" si="2"/>
        <v>315</v>
      </c>
      <c r="H67" s="37">
        <f t="shared" si="3"/>
        <v>315</v>
      </c>
    </row>
    <row r="68" spans="1:8" x14ac:dyDescent="0.25">
      <c r="A68" s="102" t="s">
        <v>20</v>
      </c>
      <c r="B68" s="1" t="s">
        <v>150</v>
      </c>
      <c r="C68" s="37">
        <v>0</v>
      </c>
      <c r="D68" s="37">
        <v>0</v>
      </c>
      <c r="E68" s="37">
        <v>0</v>
      </c>
      <c r="F68" s="37">
        <f t="shared" si="4"/>
        <v>0</v>
      </c>
      <c r="G68" s="37">
        <f t="shared" si="2"/>
        <v>0</v>
      </c>
      <c r="H68" s="37">
        <f t="shared" si="3"/>
        <v>0</v>
      </c>
    </row>
    <row r="69" spans="1:8" x14ac:dyDescent="0.25">
      <c r="A69" s="106"/>
      <c r="B69" s="46" t="s">
        <v>151</v>
      </c>
      <c r="C69" s="37">
        <v>215</v>
      </c>
      <c r="D69" s="37">
        <v>265</v>
      </c>
      <c r="E69" s="37">
        <v>345</v>
      </c>
      <c r="F69" s="37">
        <f t="shared" si="4"/>
        <v>358.33333333333337</v>
      </c>
      <c r="G69" s="37">
        <f t="shared" si="2"/>
        <v>441.66666666666669</v>
      </c>
      <c r="H69" s="37">
        <f t="shared" si="3"/>
        <v>575</v>
      </c>
    </row>
    <row r="70" spans="1:8" ht="15.75" thickBot="1" x14ac:dyDescent="0.3">
      <c r="A70" s="103"/>
      <c r="B70" s="2" t="s">
        <v>152</v>
      </c>
      <c r="C70" s="37">
        <v>260</v>
      </c>
      <c r="D70" s="37">
        <v>325</v>
      </c>
      <c r="E70" s="37">
        <v>420</v>
      </c>
      <c r="F70" s="37">
        <f t="shared" si="4"/>
        <v>433.33333333333337</v>
      </c>
      <c r="G70" s="37">
        <f t="shared" si="2"/>
        <v>541.66666666666674</v>
      </c>
      <c r="H70" s="37">
        <f t="shared" si="3"/>
        <v>700</v>
      </c>
    </row>
    <row r="71" spans="1:8" x14ac:dyDescent="0.25">
      <c r="A71" s="102" t="s">
        <v>153</v>
      </c>
      <c r="B71" s="47" t="s">
        <v>117</v>
      </c>
      <c r="C71" s="37">
        <v>0</v>
      </c>
      <c r="D71" s="37">
        <v>0</v>
      </c>
      <c r="E71" s="37">
        <v>0</v>
      </c>
      <c r="F71" s="37">
        <f t="shared" si="4"/>
        <v>0</v>
      </c>
      <c r="G71" s="37">
        <f t="shared" si="2"/>
        <v>0</v>
      </c>
      <c r="H71" s="37">
        <f t="shared" si="3"/>
        <v>0</v>
      </c>
    </row>
    <row r="72" spans="1:8" ht="15.75" thickBot="1" x14ac:dyDescent="0.3">
      <c r="A72" s="103"/>
      <c r="B72" s="2" t="s">
        <v>154</v>
      </c>
      <c r="C72" s="37">
        <v>386.05849999999998</v>
      </c>
      <c r="D72" s="37">
        <v>386.05849999999998</v>
      </c>
      <c r="E72" s="37">
        <v>426.05849999999998</v>
      </c>
      <c r="F72" s="37">
        <f t="shared" si="4"/>
        <v>643.43083333333334</v>
      </c>
      <c r="G72" s="37">
        <f t="shared" si="2"/>
        <v>643.43083333333334</v>
      </c>
      <c r="H72" s="37">
        <f t="shared" si="3"/>
        <v>710.09749999999997</v>
      </c>
    </row>
    <row r="74" spans="1:8" x14ac:dyDescent="0.25">
      <c r="B74" t="s">
        <v>84</v>
      </c>
      <c r="G74" s="37">
        <f>92.1585/0.6</f>
        <v>153.59750000000003</v>
      </c>
    </row>
  </sheetData>
  <mergeCells count="23">
    <mergeCell ref="A54:A58"/>
    <mergeCell ref="A59:A63"/>
    <mergeCell ref="A64:A67"/>
    <mergeCell ref="A68:A70"/>
    <mergeCell ref="A71:A72"/>
    <mergeCell ref="A52:A53"/>
    <mergeCell ref="A17:A18"/>
    <mergeCell ref="A19:A20"/>
    <mergeCell ref="A21:A22"/>
    <mergeCell ref="A23:A28"/>
    <mergeCell ref="A29:A34"/>
    <mergeCell ref="A35:A37"/>
    <mergeCell ref="A38:A39"/>
    <mergeCell ref="A40:A43"/>
    <mergeCell ref="A44:A45"/>
    <mergeCell ref="A46:A48"/>
    <mergeCell ref="A14:A16"/>
    <mergeCell ref="A49:A51"/>
    <mergeCell ref="A2:A4"/>
    <mergeCell ref="A5:A7"/>
    <mergeCell ref="A8:A9"/>
    <mergeCell ref="A10:A11"/>
    <mergeCell ref="A12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5</vt:i4>
      </vt:variant>
      <vt:variant>
        <vt:lpstr>Adlandırılmış Aralıklar</vt:lpstr>
      </vt:variant>
      <vt:variant>
        <vt:i4>1</vt:i4>
      </vt:variant>
    </vt:vector>
  </HeadingPairs>
  <TitlesOfParts>
    <vt:vector size="6" baseType="lpstr">
      <vt:lpstr>Template3</vt:lpstr>
      <vt:lpstr>Selection List</vt:lpstr>
      <vt:lpstr>Calculation</vt:lpstr>
      <vt:lpstr>Sayfa2</vt:lpstr>
      <vt:lpstr>Material Costs</vt:lpstr>
      <vt:lpstr>Template3!Yazdırma_Alanı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2025-05-16T05:30:28Z</dcterms:modified>
</cp:coreProperties>
</file>