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4000" windowHeight="9735" tabRatio="681"/>
  </bookViews>
  <sheets>
    <sheet name="ИТОГИ" sheetId="3" r:id="rId1"/>
    <sheet name="Результаты матчей" sheetId="24" r:id="rId2"/>
    <sheet name="День за днем" sheetId="27" r:id="rId3"/>
    <sheet name="Статистика" sheetId="7" r:id="rId4"/>
    <sheet name="Правила" sheetId="23" r:id="rId5"/>
    <sheet name="01 Акиловский Руслан" sheetId="25" r:id="rId6"/>
    <sheet name="02 Бегларян Гайк" sheetId="43" r:id="rId7"/>
    <sheet name="03 Бегларян Римма" sheetId="45" r:id="rId8"/>
    <sheet name="04 Кулиев Бегенч" sheetId="46" r:id="rId9"/>
    <sheet name="05 Бикулов Камал" sheetId="47" r:id="rId10"/>
    <sheet name="06 Иванов Андрей" sheetId="48" r:id="rId11"/>
    <sheet name="07 Аванесова Изабелла" sheetId="49" r:id="rId12"/>
    <sheet name="08 Щербич Николай" sheetId="50" r:id="rId13"/>
    <sheet name="09 Жук Роман" sheetId="51" r:id="rId14"/>
    <sheet name="10 Бегларян Аркадий" sheetId="52" r:id="rId15"/>
    <sheet name="11 Демчихин Александр" sheetId="53" r:id="rId16"/>
    <sheet name="12 Иванов Евгений" sheetId="54" r:id="rId17"/>
    <sheet name="13 Гусаков Сергей" sheetId="55" r:id="rId18"/>
    <sheet name="14 Рижницын Андрей" sheetId="56" r:id="rId19"/>
    <sheet name="15 Тарасевич Максим" sheetId="57" r:id="rId20"/>
    <sheet name="16 Назарян Виталий" sheetId="58" r:id="rId21"/>
    <sheet name="17 Назарян Вадим" sheetId="59" r:id="rId22"/>
    <sheet name="18 Арутюнян Артем" sheetId="60" r:id="rId23"/>
    <sheet name="19 Щербич Никита" sheetId="61" r:id="rId24"/>
  </sheets>
  <calcPr calcId="125725"/>
</workbook>
</file>

<file path=xl/calcChain.xml><?xml version="1.0" encoding="utf-8"?>
<calcChain xmlns="http://schemas.openxmlformats.org/spreadsheetml/2006/main">
  <c r="Q36" i="7"/>
  <c r="Q33"/>
  <c r="Q37" l="1"/>
  <c r="Q35"/>
  <c r="Q34" l="1"/>
  <c r="Q38" l="1"/>
  <c r="AE4" l="1"/>
  <c r="AB10" i="61" l="1"/>
  <c r="AC10"/>
  <c r="AD10"/>
  <c r="AE10"/>
  <c r="AE11" i="7" l="1"/>
  <c r="P52" i="61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E10" i="7"/>
  <c r="P52" i="60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E22" i="7"/>
  <c r="P52" i="59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7"/>
  <c r="AC10"/>
  <c r="P52" i="58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6"/>
  <c r="AC10"/>
  <c r="AD10"/>
  <c r="AE10"/>
  <c r="P52" i="57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5"/>
  <c r="AC10"/>
  <c r="AD10"/>
  <c r="AE10"/>
  <c r="P52" i="56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4" l="1"/>
  <c r="AC10"/>
  <c r="AD10"/>
  <c r="AE10"/>
  <c r="P52" i="55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3" l="1"/>
  <c r="AC10"/>
  <c r="AD10"/>
  <c r="AE10"/>
  <c r="P52" i="54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2" l="1"/>
  <c r="P52" i="53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1"/>
  <c r="P52" i="52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50"/>
  <c r="AC10"/>
  <c r="AD10"/>
  <c r="AE10"/>
  <c r="P52" i="51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49"/>
  <c r="AC10"/>
  <c r="P52" i="50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48"/>
  <c r="AC10"/>
  <c r="AD10"/>
  <c r="AE10"/>
  <c r="P52" i="49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C10" i="47"/>
  <c r="P52" i="48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P52" i="47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45"/>
  <c r="AC10"/>
  <c r="AD10"/>
  <c r="P52" i="46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P52" i="45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AB10" i="43"/>
  <c r="AC10"/>
  <c r="AD10"/>
  <c r="AE10"/>
  <c r="E458" i="27"/>
  <c r="C458"/>
  <c r="E449"/>
  <c r="C449"/>
  <c r="E440"/>
  <c r="C440"/>
  <c r="E431"/>
  <c r="C431"/>
  <c r="E422"/>
  <c r="C422"/>
  <c r="E413"/>
  <c r="C413"/>
  <c r="E404"/>
  <c r="C404"/>
  <c r="E395"/>
  <c r="C395"/>
  <c r="E386"/>
  <c r="C386"/>
  <c r="E377"/>
  <c r="C377"/>
  <c r="E368"/>
  <c r="C368"/>
  <c r="E359"/>
  <c r="C359"/>
  <c r="E350"/>
  <c r="C350"/>
  <c r="C341"/>
  <c r="E332"/>
  <c r="C332"/>
  <c r="E323"/>
  <c r="C323"/>
  <c r="E314"/>
  <c r="C314"/>
  <c r="E305"/>
  <c r="C305"/>
  <c r="E296"/>
  <c r="C296"/>
  <c r="E287"/>
  <c r="C287"/>
  <c r="E278"/>
  <c r="C278"/>
  <c r="E269"/>
  <c r="E260"/>
  <c r="C260"/>
  <c r="E251"/>
  <c r="C251"/>
  <c r="E242"/>
  <c r="C242"/>
  <c r="E233"/>
  <c r="C233"/>
  <c r="E224"/>
  <c r="C224"/>
  <c r="E215"/>
  <c r="C215"/>
  <c r="E206"/>
  <c r="C206"/>
  <c r="E197"/>
  <c r="C197"/>
  <c r="E188"/>
  <c r="C188"/>
  <c r="E179"/>
  <c r="C179"/>
  <c r="E170"/>
  <c r="C170"/>
  <c r="E161"/>
  <c r="C161"/>
  <c r="C152"/>
  <c r="E143"/>
  <c r="C143"/>
  <c r="E134"/>
  <c r="C134"/>
  <c r="E125"/>
  <c r="C125"/>
  <c r="E116"/>
  <c r="C116"/>
  <c r="E107"/>
  <c r="C107"/>
  <c r="E98"/>
  <c r="C98"/>
  <c r="E89"/>
  <c r="C89"/>
  <c r="E80"/>
  <c r="C80"/>
  <c r="E71"/>
  <c r="C71"/>
  <c r="E62"/>
  <c r="C62"/>
  <c r="C53"/>
  <c r="E44"/>
  <c r="C44"/>
  <c r="E35"/>
  <c r="C35"/>
  <c r="E26"/>
  <c r="C26"/>
  <c r="AB10" i="25"/>
  <c r="AC10"/>
  <c r="AD10"/>
  <c r="P52" i="43" l="1"/>
  <c r="O52"/>
  <c r="P51"/>
  <c r="O51"/>
  <c r="P50"/>
  <c r="O50"/>
  <c r="P49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P52" i="25" l="1"/>
  <c r="C457" i="27" s="1"/>
  <c r="O52" i="25"/>
  <c r="C456" i="27" s="1"/>
  <c r="P51" i="25"/>
  <c r="C448" i="27" s="1"/>
  <c r="O51" i="25"/>
  <c r="C447" i="27" s="1"/>
  <c r="P50" i="25"/>
  <c r="C439" i="27" s="1"/>
  <c r="O50" i="25"/>
  <c r="C438" i="27" s="1"/>
  <c r="P49" i="25"/>
  <c r="O49"/>
  <c r="P48"/>
  <c r="O48"/>
  <c r="P47"/>
  <c r="O47"/>
  <c r="P46"/>
  <c r="O46"/>
  <c r="P45"/>
  <c r="O45"/>
  <c r="P44"/>
  <c r="O44"/>
  <c r="P43"/>
  <c r="O43"/>
  <c r="P42"/>
  <c r="O42"/>
  <c r="P41"/>
  <c r="O41"/>
  <c r="P40"/>
  <c r="O40"/>
  <c r="P39"/>
  <c r="O39"/>
  <c r="P38"/>
  <c r="O38"/>
  <c r="P37"/>
  <c r="O37"/>
  <c r="P36"/>
  <c r="O36"/>
  <c r="P35"/>
  <c r="O35"/>
  <c r="P34"/>
  <c r="O34"/>
  <c r="P33"/>
  <c r="O33"/>
  <c r="P32"/>
  <c r="O32"/>
  <c r="P31"/>
  <c r="O31"/>
  <c r="P30"/>
  <c r="O30"/>
  <c r="P29"/>
  <c r="O29"/>
  <c r="P28"/>
  <c r="O28"/>
  <c r="P27"/>
  <c r="O27"/>
  <c r="P26"/>
  <c r="O26"/>
  <c r="P25"/>
  <c r="O25"/>
  <c r="P24"/>
  <c r="O24"/>
  <c r="P23"/>
  <c r="O23"/>
  <c r="P22"/>
  <c r="O22"/>
  <c r="P21"/>
  <c r="O21"/>
  <c r="P20"/>
  <c r="O20"/>
  <c r="P19"/>
  <c r="O19"/>
  <c r="P18"/>
  <c r="O18"/>
  <c r="P17"/>
  <c r="O17"/>
  <c r="P16"/>
  <c r="O16"/>
  <c r="P15"/>
  <c r="O15"/>
  <c r="P14"/>
  <c r="O14"/>
  <c r="P13"/>
  <c r="O13"/>
  <c r="P12"/>
  <c r="O12"/>
  <c r="P11"/>
  <c r="O11"/>
  <c r="P10"/>
  <c r="O10"/>
  <c r="P9"/>
  <c r="O9"/>
  <c r="P8"/>
  <c r="O8"/>
  <c r="P7"/>
  <c r="O7"/>
  <c r="P6"/>
  <c r="O6"/>
  <c r="P5"/>
  <c r="O5"/>
  <c r="P4"/>
  <c r="O4"/>
  <c r="P3"/>
  <c r="O3"/>
  <c r="P2"/>
  <c r="O2"/>
  <c r="Q52" i="24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P52" l="1"/>
  <c r="O52"/>
  <c r="P51"/>
  <c r="O51"/>
  <c r="P50"/>
  <c r="O50"/>
  <c r="P49"/>
  <c r="O49"/>
  <c r="P48"/>
  <c r="O48"/>
  <c r="P47"/>
  <c r="O47"/>
  <c r="P46"/>
  <c r="O46"/>
  <c r="P45"/>
  <c r="O45"/>
  <c r="P44"/>
  <c r="O44"/>
  <c r="O42"/>
  <c r="P42"/>
  <c r="O43"/>
  <c r="P43"/>
  <c r="P41"/>
  <c r="O41"/>
  <c r="O39"/>
  <c r="P39"/>
  <c r="O40"/>
  <c r="P40"/>
  <c r="P38"/>
  <c r="O38"/>
  <c r="O37"/>
  <c r="P37"/>
  <c r="P36"/>
  <c r="O36"/>
  <c r="O35"/>
  <c r="P35"/>
  <c r="P34"/>
  <c r="O34"/>
  <c r="O31"/>
  <c r="P31"/>
  <c r="O32"/>
  <c r="P32"/>
  <c r="O33"/>
  <c r="P33"/>
  <c r="P30"/>
  <c r="O30"/>
  <c r="O29"/>
  <c r="P29"/>
  <c r="P28"/>
  <c r="O28"/>
  <c r="O27"/>
  <c r="P27"/>
  <c r="P26"/>
  <c r="O26"/>
  <c r="O24"/>
  <c r="P24"/>
  <c r="O25"/>
  <c r="P25"/>
  <c r="P23"/>
  <c r="O23"/>
  <c r="O21"/>
  <c r="P21"/>
  <c r="O22"/>
  <c r="P22"/>
  <c r="P20"/>
  <c r="O20"/>
  <c r="O18"/>
  <c r="P18"/>
  <c r="O19"/>
  <c r="P19"/>
  <c r="P17"/>
  <c r="O17"/>
  <c r="P15"/>
  <c r="P16"/>
  <c r="O15"/>
  <c r="O16"/>
  <c r="P14"/>
  <c r="O14"/>
  <c r="P13"/>
  <c r="O13"/>
  <c r="P12"/>
  <c r="O12"/>
  <c r="P11"/>
  <c r="P10"/>
  <c r="O11"/>
  <c r="O10"/>
  <c r="P9"/>
  <c r="O9"/>
  <c r="Q9" i="61" l="1"/>
  <c r="Q9" i="59"/>
  <c r="Q9" i="58"/>
  <c r="Q9" i="57"/>
  <c r="Q9" i="60"/>
  <c r="Q9" i="56"/>
  <c r="Q9" i="55"/>
  <c r="Q9" i="54"/>
  <c r="Q9" i="48"/>
  <c r="Q9" i="52"/>
  <c r="Q9" i="49"/>
  <c r="Q9" i="53"/>
  <c r="Q9" i="47"/>
  <c r="Q9" i="51"/>
  <c r="Q9" i="50"/>
  <c r="Q9" i="46"/>
  <c r="Q9" i="45"/>
  <c r="Q9" i="43"/>
  <c r="R10" i="61"/>
  <c r="R10" i="60"/>
  <c r="R10" i="59"/>
  <c r="R10" i="58"/>
  <c r="R10" i="57"/>
  <c r="R10" i="56"/>
  <c r="R10" i="55"/>
  <c r="R10" i="54"/>
  <c r="R10" i="52"/>
  <c r="R10" i="49"/>
  <c r="R10" i="45"/>
  <c r="R10" i="53"/>
  <c r="R10" i="51"/>
  <c r="R10" i="50"/>
  <c r="R10" i="46"/>
  <c r="R10" i="48"/>
  <c r="R10" i="47"/>
  <c r="R10" i="43"/>
  <c r="Q16" i="60"/>
  <c r="Q16" i="61"/>
  <c r="Q16" i="58"/>
  <c r="Q16" i="57"/>
  <c r="Q16" i="59"/>
  <c r="Q16" i="56"/>
  <c r="Q16" i="55"/>
  <c r="Q16" i="54"/>
  <c r="Q16" i="48"/>
  <c r="Q16" i="52"/>
  <c r="Q16" i="49"/>
  <c r="Q16" i="53"/>
  <c r="Q16" i="47"/>
  <c r="Q16" i="51"/>
  <c r="Q16" i="50"/>
  <c r="Q16" i="46"/>
  <c r="Q16" i="45"/>
  <c r="Q16" i="43"/>
  <c r="Q17" i="60"/>
  <c r="Q17" i="61"/>
  <c r="Q17" i="58"/>
  <c r="Q17" i="59"/>
  <c r="Q17" i="57"/>
  <c r="Q17" i="56"/>
  <c r="Q17" i="55"/>
  <c r="Q17" i="54"/>
  <c r="Q17" i="48"/>
  <c r="Q17" i="52"/>
  <c r="Q17" i="49"/>
  <c r="Q17" i="53"/>
  <c r="Q17" i="47"/>
  <c r="Q17" i="51"/>
  <c r="Q17" i="50"/>
  <c r="Q17" i="46"/>
  <c r="Q17" i="45"/>
  <c r="Q17" i="43"/>
  <c r="R22" i="61"/>
  <c r="R22" i="59"/>
  <c r="R22" i="60"/>
  <c r="R22" i="58"/>
  <c r="R22" i="57"/>
  <c r="R22" i="56"/>
  <c r="R22" i="55"/>
  <c r="R22" i="54"/>
  <c r="R22" i="52"/>
  <c r="R22" i="49"/>
  <c r="R22" i="45"/>
  <c r="R22" i="53"/>
  <c r="R22" i="51"/>
  <c r="R22" i="50"/>
  <c r="R22" i="46"/>
  <c r="R22" i="48"/>
  <c r="R22" i="47"/>
  <c r="R22" i="43"/>
  <c r="R24" i="61"/>
  <c r="R24" i="60"/>
  <c r="R24" i="59"/>
  <c r="R24" i="58"/>
  <c r="R24" i="57"/>
  <c r="R24" i="56"/>
  <c r="R24" i="55"/>
  <c r="R24" i="54"/>
  <c r="R24" i="52"/>
  <c r="R24" i="49"/>
  <c r="R24" i="45"/>
  <c r="R24" i="53"/>
  <c r="R24" i="51"/>
  <c r="R24" i="50"/>
  <c r="R24" i="46"/>
  <c r="R24" i="48"/>
  <c r="R24" i="47"/>
  <c r="R24" i="43"/>
  <c r="R27" i="61"/>
  <c r="R27" i="60"/>
  <c r="R27" i="59"/>
  <c r="R27" i="56"/>
  <c r="R27" i="58"/>
  <c r="R27" i="57"/>
  <c r="R27" i="55"/>
  <c r="R27" i="54"/>
  <c r="R27" i="52"/>
  <c r="R27" i="49"/>
  <c r="R27" i="45"/>
  <c r="R27" i="53"/>
  <c r="R27" i="51"/>
  <c r="R27" i="50"/>
  <c r="R27" i="46"/>
  <c r="R27" i="48"/>
  <c r="R27" i="47"/>
  <c r="R27" i="43"/>
  <c r="R33" i="61"/>
  <c r="R33" i="59"/>
  <c r="R33" i="60"/>
  <c r="R33" i="58"/>
  <c r="R33" i="57"/>
  <c r="R33" i="56"/>
  <c r="R33" i="55"/>
  <c r="R33" i="54"/>
  <c r="R33" i="52"/>
  <c r="R33" i="49"/>
  <c r="R33" i="45"/>
  <c r="R33" i="53"/>
  <c r="R33" i="51"/>
  <c r="R33" i="50"/>
  <c r="R33" i="46"/>
  <c r="R33" i="48"/>
  <c r="R33" i="47"/>
  <c r="R33" i="43"/>
  <c r="R35" i="61"/>
  <c r="R35" i="60"/>
  <c r="R35" i="59"/>
  <c r="R35" i="56"/>
  <c r="R35" i="58"/>
  <c r="R35" i="57"/>
  <c r="R35" i="55"/>
  <c r="R35" i="54"/>
  <c r="R35" i="52"/>
  <c r="R35" i="49"/>
  <c r="R35" i="45"/>
  <c r="R35" i="53"/>
  <c r="R35" i="51"/>
  <c r="R35" i="50"/>
  <c r="R35" i="46"/>
  <c r="R35" i="48"/>
  <c r="R35" i="47"/>
  <c r="R35" i="43"/>
  <c r="R40" i="61"/>
  <c r="R40" i="60"/>
  <c r="R40" i="59"/>
  <c r="R40" i="58"/>
  <c r="R40" i="57"/>
  <c r="R40" i="56"/>
  <c r="R40" i="55"/>
  <c r="R40" i="54"/>
  <c r="R40" i="52"/>
  <c r="R40" i="49"/>
  <c r="R40" i="45"/>
  <c r="R40" i="53"/>
  <c r="R40" i="51"/>
  <c r="R40" i="50"/>
  <c r="R40" i="46"/>
  <c r="R40" i="48"/>
  <c r="R40" i="47"/>
  <c r="R40" i="43"/>
  <c r="R42" i="61"/>
  <c r="R42" i="59"/>
  <c r="R42" i="58"/>
  <c r="R42" i="57"/>
  <c r="R42" i="56"/>
  <c r="R42" i="60"/>
  <c r="R42" i="55"/>
  <c r="R42" i="54"/>
  <c r="R42" i="52"/>
  <c r="R42" i="49"/>
  <c r="R42" i="45"/>
  <c r="R42" i="53"/>
  <c r="R42" i="51"/>
  <c r="R42" i="50"/>
  <c r="R42" i="46"/>
  <c r="R42" i="48"/>
  <c r="R42" i="47"/>
  <c r="R42" i="43"/>
  <c r="Q47" i="60"/>
  <c r="Q47" i="59"/>
  <c r="Q47" i="58"/>
  <c r="Q47" i="56"/>
  <c r="Q47" i="61"/>
  <c r="Q47" i="57"/>
  <c r="Q47" i="55"/>
  <c r="Q47" i="54"/>
  <c r="Q47" i="48"/>
  <c r="Q47" i="52"/>
  <c r="Q47" i="49"/>
  <c r="Q47" i="53"/>
  <c r="Q47" i="47"/>
  <c r="Q47" i="51"/>
  <c r="Q47" i="50"/>
  <c r="Q47" i="46"/>
  <c r="Q47" i="45"/>
  <c r="Q47" i="43"/>
  <c r="Q51" i="60"/>
  <c r="Q51" i="61"/>
  <c r="Q51" i="59"/>
  <c r="Q51" i="58"/>
  <c r="Q51" i="56"/>
  <c r="Q51" i="57"/>
  <c r="Q51" i="55"/>
  <c r="Q51" i="54"/>
  <c r="Q51" i="48"/>
  <c r="Q51" i="52"/>
  <c r="Q51" i="49"/>
  <c r="Q51" i="53"/>
  <c r="Q51" i="47"/>
  <c r="Q51" i="51"/>
  <c r="Q51" i="50"/>
  <c r="Q51" i="46"/>
  <c r="Q51" i="45"/>
  <c r="Q51" i="43"/>
  <c r="R17" i="61"/>
  <c r="R17" i="59"/>
  <c r="R17" i="60"/>
  <c r="R17" i="58"/>
  <c r="R17" i="56"/>
  <c r="R17" i="57"/>
  <c r="R17" i="55"/>
  <c r="R17" i="54"/>
  <c r="R17" i="52"/>
  <c r="R17" i="49"/>
  <c r="R17" i="45"/>
  <c r="R17" i="53"/>
  <c r="R17" i="51"/>
  <c r="R17" i="50"/>
  <c r="R17" i="46"/>
  <c r="R17" i="48"/>
  <c r="R17" i="47"/>
  <c r="R17" i="43"/>
  <c r="Q22" i="60"/>
  <c r="Q22" i="58"/>
  <c r="Q22" i="57"/>
  <c r="Q22" i="59"/>
  <c r="Q22" i="61"/>
  <c r="S22" s="1"/>
  <c r="Q22" i="56"/>
  <c r="S22" s="1"/>
  <c r="Q22" i="55"/>
  <c r="S22" s="1"/>
  <c r="Q22" i="54"/>
  <c r="S22" s="1"/>
  <c r="Q22" i="48"/>
  <c r="Q22" i="52"/>
  <c r="Q22" i="49"/>
  <c r="S22" s="1"/>
  <c r="Q22" i="53"/>
  <c r="S22" s="1"/>
  <c r="Q22" i="47"/>
  <c r="S22" s="1"/>
  <c r="Q22" i="51"/>
  <c r="Q22" i="50"/>
  <c r="S22" s="1"/>
  <c r="Q22" i="46"/>
  <c r="S22" s="1"/>
  <c r="Q22" i="45"/>
  <c r="Q22" i="43"/>
  <c r="S22" s="1"/>
  <c r="Q27" i="60"/>
  <c r="Q27" i="61"/>
  <c r="Q27" i="59"/>
  <c r="Q27" i="58"/>
  <c r="Q27" i="57"/>
  <c r="Q27" i="56"/>
  <c r="S27" s="1"/>
  <c r="Q27" i="55"/>
  <c r="Q27" i="54"/>
  <c r="Q27" i="48"/>
  <c r="Q27" i="52"/>
  <c r="Q27" i="49"/>
  <c r="S27" s="1"/>
  <c r="Q27" i="53"/>
  <c r="Q27" i="47"/>
  <c r="Q27" i="51"/>
  <c r="Q27" i="50"/>
  <c r="S27" s="1"/>
  <c r="Q27" i="46"/>
  <c r="Q27" i="45"/>
  <c r="S27" s="1"/>
  <c r="Q27" i="43"/>
  <c r="Q31" i="60"/>
  <c r="Q31" i="59"/>
  <c r="Q31" i="58"/>
  <c r="Q31" i="61"/>
  <c r="Q31" i="57"/>
  <c r="Q31" i="56"/>
  <c r="Q31" i="55"/>
  <c r="Q31" i="54"/>
  <c r="Q31" i="48"/>
  <c r="Q31" i="52"/>
  <c r="Q31" i="49"/>
  <c r="Q31" i="53"/>
  <c r="Q31" i="47"/>
  <c r="Q31" i="51"/>
  <c r="Q31" i="50"/>
  <c r="Q31" i="46"/>
  <c r="Q31" i="45"/>
  <c r="Q31" i="43"/>
  <c r="Q37" i="60"/>
  <c r="Q37" i="61"/>
  <c r="Q37" i="58"/>
  <c r="Q37" i="59"/>
  <c r="Q37" i="57"/>
  <c r="Q37" i="56"/>
  <c r="Q37" i="55"/>
  <c r="Q37" i="54"/>
  <c r="Q37" i="48"/>
  <c r="Q37" i="52"/>
  <c r="Q37" i="49"/>
  <c r="Q37" i="53"/>
  <c r="Q37" i="47"/>
  <c r="Q37" i="51"/>
  <c r="Q37" i="50"/>
  <c r="Q37" i="46"/>
  <c r="Q37" i="45"/>
  <c r="Q37" i="43"/>
  <c r="R41" i="61"/>
  <c r="R41" i="59"/>
  <c r="R41" i="60"/>
  <c r="R41" i="58"/>
  <c r="R41" i="57"/>
  <c r="R41" i="56"/>
  <c r="R41" i="55"/>
  <c r="R41" i="54"/>
  <c r="R41" i="52"/>
  <c r="R41" i="49"/>
  <c r="R41" i="45"/>
  <c r="R41" i="53"/>
  <c r="R41" i="51"/>
  <c r="R41" i="50"/>
  <c r="R41" i="46"/>
  <c r="R41" i="48"/>
  <c r="R41" i="47"/>
  <c r="R41" i="43"/>
  <c r="R45" i="61"/>
  <c r="R45" i="59"/>
  <c r="R45" i="60"/>
  <c r="R45" i="58"/>
  <c r="R45" i="57"/>
  <c r="R45" i="56"/>
  <c r="R45" i="55"/>
  <c r="R45" i="54"/>
  <c r="R45" i="52"/>
  <c r="R45" i="49"/>
  <c r="R45" i="45"/>
  <c r="R45" i="53"/>
  <c r="R45" i="51"/>
  <c r="R45" i="50"/>
  <c r="R45" i="46"/>
  <c r="R45" i="48"/>
  <c r="R45" i="47"/>
  <c r="R45" i="43"/>
  <c r="R49" i="61"/>
  <c r="R49" i="59"/>
  <c r="R49" i="60"/>
  <c r="R49" i="58"/>
  <c r="R49" i="57"/>
  <c r="R49" i="56"/>
  <c r="R49" i="55"/>
  <c r="R49" i="54"/>
  <c r="R49" i="52"/>
  <c r="R49" i="49"/>
  <c r="R49" i="45"/>
  <c r="R49" i="53"/>
  <c r="R49" i="47"/>
  <c r="R49" i="51"/>
  <c r="R49" i="50"/>
  <c r="R49" i="46"/>
  <c r="R49" i="48"/>
  <c r="R49" i="43"/>
  <c r="Q10" i="59"/>
  <c r="Q10" i="58"/>
  <c r="S10" s="1"/>
  <c r="Q10" i="57"/>
  <c r="Q10" i="61"/>
  <c r="Q10" i="60"/>
  <c r="Q10" i="56"/>
  <c r="S10" s="1"/>
  <c r="Q10" i="55"/>
  <c r="S10" s="1"/>
  <c r="Q10" i="54"/>
  <c r="S10" s="1"/>
  <c r="Q10" i="48"/>
  <c r="S10" s="1"/>
  <c r="Q10" i="52"/>
  <c r="Q10" i="49"/>
  <c r="Q10" i="53"/>
  <c r="S10" s="1"/>
  <c r="Q10" i="47"/>
  <c r="S10" s="1"/>
  <c r="Q10" i="51"/>
  <c r="Q10" i="50"/>
  <c r="Q10" i="46"/>
  <c r="Q10" i="45"/>
  <c r="Q10" i="43"/>
  <c r="S10" s="1"/>
  <c r="Q12" i="61"/>
  <c r="Q12" i="58"/>
  <c r="Q12" i="57"/>
  <c r="Q12" i="60"/>
  <c r="Q12" i="59"/>
  <c r="Q12" i="56"/>
  <c r="Q12" i="55"/>
  <c r="Q12" i="54"/>
  <c r="Q12" i="48"/>
  <c r="Q12" i="52"/>
  <c r="Q12" i="49"/>
  <c r="Q12" i="53"/>
  <c r="Q12" i="47"/>
  <c r="Q12" i="51"/>
  <c r="Q12" i="50"/>
  <c r="Q12" i="46"/>
  <c r="Q12" i="45"/>
  <c r="Q12" i="43"/>
  <c r="Q14" i="60"/>
  <c r="Q14" i="58"/>
  <c r="Q14" i="57"/>
  <c r="Q14" i="59"/>
  <c r="Q14" i="61"/>
  <c r="Q14" i="56"/>
  <c r="Q14" i="55"/>
  <c r="Q14" i="54"/>
  <c r="Q14" i="48"/>
  <c r="Q14" i="52"/>
  <c r="Q14" i="49"/>
  <c r="Q14" i="53"/>
  <c r="Q14" i="47"/>
  <c r="Q14" i="51"/>
  <c r="Q14" i="50"/>
  <c r="Q14" i="46"/>
  <c r="Q14" i="45"/>
  <c r="Q14" i="43"/>
  <c r="R16" i="61"/>
  <c r="R16" i="60"/>
  <c r="R16" i="59"/>
  <c r="R16" i="58"/>
  <c r="R16" i="57"/>
  <c r="R16" i="56"/>
  <c r="R16" i="55"/>
  <c r="R16" i="54"/>
  <c r="R16" i="52"/>
  <c r="R16" i="49"/>
  <c r="R16" i="45"/>
  <c r="R16" i="53"/>
  <c r="R16" i="51"/>
  <c r="R16" i="50"/>
  <c r="R16" i="46"/>
  <c r="R16" i="48"/>
  <c r="R16" i="47"/>
  <c r="R16" i="43"/>
  <c r="R19" i="61"/>
  <c r="R19" i="60"/>
  <c r="R19" i="59"/>
  <c r="R19" i="56"/>
  <c r="R19" i="58"/>
  <c r="R19" i="57"/>
  <c r="R19" i="55"/>
  <c r="R19" i="54"/>
  <c r="R19" i="52"/>
  <c r="R19" i="49"/>
  <c r="R19" i="45"/>
  <c r="R19" i="53"/>
  <c r="R19" i="51"/>
  <c r="R19" i="50"/>
  <c r="R19" i="46"/>
  <c r="R19" i="48"/>
  <c r="R19" i="47"/>
  <c r="R19" i="43"/>
  <c r="Q20" i="60"/>
  <c r="Q20" i="61"/>
  <c r="Q20" i="58"/>
  <c r="Q20" i="57"/>
  <c r="Q20" i="59"/>
  <c r="Q20" i="56"/>
  <c r="Q20" i="55"/>
  <c r="Q20" i="54"/>
  <c r="Q20" i="48"/>
  <c r="Q20" i="52"/>
  <c r="Q20" i="49"/>
  <c r="Q20" i="53"/>
  <c r="Q20" i="47"/>
  <c r="Q20" i="51"/>
  <c r="Q20" i="50"/>
  <c r="Q20" i="46"/>
  <c r="Q20" i="45"/>
  <c r="Q20" i="43"/>
  <c r="R21" i="61"/>
  <c r="R21" i="59"/>
  <c r="R21" i="60"/>
  <c r="R21" i="58"/>
  <c r="R21" i="56"/>
  <c r="R21" i="57"/>
  <c r="R21" i="55"/>
  <c r="R21" i="54"/>
  <c r="R21" i="52"/>
  <c r="R21" i="49"/>
  <c r="R21" i="45"/>
  <c r="R21" i="53"/>
  <c r="R21" i="51"/>
  <c r="R21" i="50"/>
  <c r="R21" i="46"/>
  <c r="R21" i="48"/>
  <c r="R21" i="47"/>
  <c r="R21" i="43"/>
  <c r="R25" i="61"/>
  <c r="R25" i="59"/>
  <c r="R25" i="60"/>
  <c r="R25" i="58"/>
  <c r="R25" i="56"/>
  <c r="R25" i="57"/>
  <c r="R25" i="55"/>
  <c r="R25" i="54"/>
  <c r="R25" i="52"/>
  <c r="R25" i="49"/>
  <c r="R25" i="45"/>
  <c r="R25" i="53"/>
  <c r="R25" i="51"/>
  <c r="R25" i="50"/>
  <c r="R25" i="46"/>
  <c r="R25" i="48"/>
  <c r="R25" i="47"/>
  <c r="R25" i="43"/>
  <c r="Q26" i="60"/>
  <c r="Q26" i="58"/>
  <c r="Q26" i="57"/>
  <c r="Q26" i="61"/>
  <c r="Q26" i="59"/>
  <c r="Q26" i="56"/>
  <c r="Q26" i="55"/>
  <c r="Q26" i="54"/>
  <c r="Q26" i="48"/>
  <c r="Q26" i="52"/>
  <c r="Q26" i="49"/>
  <c r="Q26" i="53"/>
  <c r="Q26" i="47"/>
  <c r="Q26" i="51"/>
  <c r="Q26" i="50"/>
  <c r="Q26" i="46"/>
  <c r="Q26" i="45"/>
  <c r="Q26" i="43"/>
  <c r="Q28" i="60"/>
  <c r="Q28" i="61"/>
  <c r="Q28" i="58"/>
  <c r="Q28" i="57"/>
  <c r="Q28" i="59"/>
  <c r="Q28" i="56"/>
  <c r="Q28" i="55"/>
  <c r="Q28" i="54"/>
  <c r="Q28" i="48"/>
  <c r="Q28" i="52"/>
  <c r="Q28" i="49"/>
  <c r="Q28" i="53"/>
  <c r="Q28" i="47"/>
  <c r="Q28" i="51"/>
  <c r="Q28" i="50"/>
  <c r="Q28" i="46"/>
  <c r="Q28" i="45"/>
  <c r="Q28" i="43"/>
  <c r="Q30" i="60"/>
  <c r="Q30" i="58"/>
  <c r="Q30" i="57"/>
  <c r="Q30" i="59"/>
  <c r="Q30" i="61"/>
  <c r="Q30" i="56"/>
  <c r="Q30" i="55"/>
  <c r="Q30" i="54"/>
  <c r="Q30" i="48"/>
  <c r="Q30" i="52"/>
  <c r="Q30" i="49"/>
  <c r="Q30" i="53"/>
  <c r="Q30" i="47"/>
  <c r="Q30" i="51"/>
  <c r="Q30" i="50"/>
  <c r="Q30" i="46"/>
  <c r="Q30" i="45"/>
  <c r="Q30" i="43"/>
  <c r="R32" i="61"/>
  <c r="R32" i="60"/>
  <c r="R32" i="59"/>
  <c r="R32" i="58"/>
  <c r="R32" i="57"/>
  <c r="R32" i="56"/>
  <c r="R32" i="55"/>
  <c r="R32" i="54"/>
  <c r="R32" i="52"/>
  <c r="R32" i="49"/>
  <c r="R32" i="45"/>
  <c r="R32" i="53"/>
  <c r="R32" i="51"/>
  <c r="R32" i="50"/>
  <c r="R32" i="46"/>
  <c r="R32" i="48"/>
  <c r="R32" i="47"/>
  <c r="R32" i="43"/>
  <c r="Q34" i="60"/>
  <c r="Q34" i="58"/>
  <c r="Q34" i="57"/>
  <c r="Q34" i="61"/>
  <c r="Q34" i="59"/>
  <c r="Q34" i="56"/>
  <c r="Q34" i="55"/>
  <c r="Q34" i="54"/>
  <c r="Q34" i="48"/>
  <c r="Q34" i="52"/>
  <c r="Q34" i="49"/>
  <c r="Q34" i="53"/>
  <c r="Q34" i="47"/>
  <c r="Q34" i="51"/>
  <c r="Q34" i="50"/>
  <c r="Q34" i="46"/>
  <c r="Q34" i="45"/>
  <c r="Q34" i="43"/>
  <c r="Q36" i="60"/>
  <c r="Q36" i="61"/>
  <c r="Q36" i="58"/>
  <c r="Q36" i="57"/>
  <c r="Q36" i="59"/>
  <c r="Q36" i="56"/>
  <c r="Q36" i="55"/>
  <c r="Q36" i="54"/>
  <c r="Q36" i="48"/>
  <c r="Q36" i="52"/>
  <c r="Q36" i="49"/>
  <c r="Q36" i="53"/>
  <c r="Q36" i="47"/>
  <c r="Q36" i="51"/>
  <c r="Q36" i="50"/>
  <c r="Q36" i="46"/>
  <c r="Q36" i="45"/>
  <c r="Q36" i="43"/>
  <c r="Q38" i="60"/>
  <c r="Q38" i="58"/>
  <c r="Q38" i="57"/>
  <c r="Q38" i="59"/>
  <c r="Q38" i="61"/>
  <c r="Q38" i="56"/>
  <c r="Q38" i="55"/>
  <c r="Q38" i="54"/>
  <c r="Q38" i="48"/>
  <c r="Q38" i="52"/>
  <c r="Q38" i="49"/>
  <c r="Q38" i="53"/>
  <c r="Q38" i="47"/>
  <c r="Q38" i="51"/>
  <c r="Q38" i="50"/>
  <c r="Q38" i="46"/>
  <c r="Q38" i="45"/>
  <c r="Q38" i="43"/>
  <c r="R39" i="61"/>
  <c r="R39" i="60"/>
  <c r="R39" i="59"/>
  <c r="R39" i="56"/>
  <c r="R39" i="58"/>
  <c r="R39" i="57"/>
  <c r="R39" i="55"/>
  <c r="R39" i="54"/>
  <c r="R39" i="52"/>
  <c r="R39" i="49"/>
  <c r="R39" i="45"/>
  <c r="R39" i="53"/>
  <c r="R39" i="51"/>
  <c r="R39" i="50"/>
  <c r="R39" i="46"/>
  <c r="R39" i="48"/>
  <c r="R39" i="47"/>
  <c r="R39" i="43"/>
  <c r="R43" i="61"/>
  <c r="R43" i="60"/>
  <c r="R43" i="59"/>
  <c r="R43" i="58"/>
  <c r="R43" i="57"/>
  <c r="R43" i="56"/>
  <c r="R43" i="55"/>
  <c r="R43" i="54"/>
  <c r="R43" i="52"/>
  <c r="R43" i="49"/>
  <c r="R43" i="45"/>
  <c r="R43" i="53"/>
  <c r="R43" i="51"/>
  <c r="R43" i="50"/>
  <c r="R43" i="46"/>
  <c r="R43" i="48"/>
  <c r="R43" i="47"/>
  <c r="R43" i="43"/>
  <c r="Q44" i="60"/>
  <c r="Q44" i="61"/>
  <c r="Q44" i="58"/>
  <c r="Q44" i="56"/>
  <c r="Q44" i="57"/>
  <c r="Q44" i="59"/>
  <c r="Q44" i="55"/>
  <c r="Q44" i="54"/>
  <c r="Q44" i="48"/>
  <c r="Q44" i="52"/>
  <c r="Q44" i="49"/>
  <c r="Q44" i="53"/>
  <c r="Q44" i="47"/>
  <c r="Q44" i="51"/>
  <c r="Q44" i="50"/>
  <c r="Q44" i="46"/>
  <c r="Q44" i="45"/>
  <c r="Q44" i="43"/>
  <c r="Q46" i="60"/>
  <c r="Q46" i="58"/>
  <c r="Q46" i="56"/>
  <c r="Q46" i="57"/>
  <c r="Q46" i="59"/>
  <c r="Q46" i="61"/>
  <c r="Q46" i="55"/>
  <c r="Q46" i="54"/>
  <c r="Q46" i="48"/>
  <c r="Q46" i="52"/>
  <c r="Q46" i="49"/>
  <c r="Q46" i="53"/>
  <c r="Q46" i="47"/>
  <c r="Q46" i="51"/>
  <c r="Q46" i="50"/>
  <c r="Q46" i="46"/>
  <c r="Q46" i="45"/>
  <c r="Q46" i="43"/>
  <c r="Q48" i="60"/>
  <c r="Q48" i="61"/>
  <c r="Q48" i="58"/>
  <c r="Q48" i="56"/>
  <c r="Q48" i="57"/>
  <c r="Q48" i="59"/>
  <c r="Q48" i="55"/>
  <c r="Q48" i="54"/>
  <c r="Q48" i="48"/>
  <c r="Q48" i="52"/>
  <c r="Q48" i="49"/>
  <c r="Q48" i="53"/>
  <c r="Q48" i="47"/>
  <c r="Q48" i="51"/>
  <c r="Q48" i="50"/>
  <c r="Q48" i="46"/>
  <c r="Q48" i="45"/>
  <c r="Q48" i="43"/>
  <c r="Q50" i="60"/>
  <c r="Q50" i="58"/>
  <c r="Q50" i="56"/>
  <c r="Q50" i="57"/>
  <c r="Q50" i="61"/>
  <c r="Q50" i="59"/>
  <c r="Q50" i="55"/>
  <c r="Q50" i="54"/>
  <c r="Q50" i="48"/>
  <c r="Q50" i="52"/>
  <c r="Q50" i="49"/>
  <c r="Q50" i="53"/>
  <c r="Q50" i="47"/>
  <c r="Q50" i="51"/>
  <c r="Q50" i="50"/>
  <c r="Q50" i="46"/>
  <c r="Q50" i="45"/>
  <c r="Q50" i="43"/>
  <c r="Q52" i="60"/>
  <c r="Q52" i="61"/>
  <c r="Q52" i="58"/>
  <c r="Q52" i="56"/>
  <c r="Q52" i="57"/>
  <c r="Q52" i="59"/>
  <c r="Q52" i="55"/>
  <c r="Q52" i="54"/>
  <c r="Q52" i="48"/>
  <c r="Q52" i="52"/>
  <c r="Q52" i="49"/>
  <c r="Q52" i="53"/>
  <c r="Q52" i="47"/>
  <c r="Q52" i="51"/>
  <c r="Q52" i="50"/>
  <c r="Q52" i="46"/>
  <c r="Q52" i="45"/>
  <c r="Q52" i="43"/>
  <c r="Q13" i="61"/>
  <c r="Q13" i="58"/>
  <c r="Q13" i="59"/>
  <c r="Q13" i="57"/>
  <c r="Q13" i="60"/>
  <c r="Q13" i="56"/>
  <c r="Q13" i="55"/>
  <c r="Q13" i="54"/>
  <c r="Q13" i="48"/>
  <c r="Q13" i="52"/>
  <c r="Q13" i="49"/>
  <c r="Q13" i="53"/>
  <c r="Q13" i="47"/>
  <c r="Q13" i="51"/>
  <c r="Q13" i="50"/>
  <c r="Q13" i="46"/>
  <c r="Q13" i="45"/>
  <c r="Q13" i="43"/>
  <c r="R18" i="61"/>
  <c r="R18" i="59"/>
  <c r="R18" i="60"/>
  <c r="R18" i="58"/>
  <c r="R18" i="57"/>
  <c r="R18" i="56"/>
  <c r="R18" i="55"/>
  <c r="R18" i="54"/>
  <c r="R18" i="52"/>
  <c r="R18" i="49"/>
  <c r="R18" i="45"/>
  <c r="R18" i="53"/>
  <c r="R18" i="51"/>
  <c r="R18" i="50"/>
  <c r="R18" i="46"/>
  <c r="R18" i="48"/>
  <c r="R18" i="47"/>
  <c r="R18" i="43"/>
  <c r="Q23" i="60"/>
  <c r="Q23" i="59"/>
  <c r="Q23" i="58"/>
  <c r="Q23" i="61"/>
  <c r="Q23" i="57"/>
  <c r="Q23" i="56"/>
  <c r="Q23" i="55"/>
  <c r="Q23" i="54"/>
  <c r="Q23" i="48"/>
  <c r="Q23" i="52"/>
  <c r="Q23" i="49"/>
  <c r="Q23" i="53"/>
  <c r="Q23" i="47"/>
  <c r="Q23" i="51"/>
  <c r="Q23" i="50"/>
  <c r="Q23" i="46"/>
  <c r="Q23" i="45"/>
  <c r="Q23" i="43"/>
  <c r="R29" i="61"/>
  <c r="R29" i="59"/>
  <c r="R29" i="60"/>
  <c r="R29" i="58"/>
  <c r="R29" i="56"/>
  <c r="R29" i="57"/>
  <c r="R29" i="55"/>
  <c r="R29" i="54"/>
  <c r="R29" i="52"/>
  <c r="R29" i="49"/>
  <c r="R29" i="45"/>
  <c r="R29" i="53"/>
  <c r="R29" i="51"/>
  <c r="R29" i="50"/>
  <c r="R29" i="46"/>
  <c r="R29" i="48"/>
  <c r="R29" i="47"/>
  <c r="R29" i="43"/>
  <c r="R31" i="61"/>
  <c r="R31" i="60"/>
  <c r="R31" i="59"/>
  <c r="R31" i="56"/>
  <c r="R31" i="58"/>
  <c r="R31" i="57"/>
  <c r="R31" i="55"/>
  <c r="R31" i="54"/>
  <c r="R31" i="52"/>
  <c r="R31" i="49"/>
  <c r="R31" i="45"/>
  <c r="R31" i="53"/>
  <c r="R31" i="51"/>
  <c r="R31" i="50"/>
  <c r="R31" i="46"/>
  <c r="R31" i="48"/>
  <c r="R31" i="47"/>
  <c r="R31" i="43"/>
  <c r="R37" i="61"/>
  <c r="R37" i="59"/>
  <c r="R37" i="60"/>
  <c r="R37" i="58"/>
  <c r="R37" i="57"/>
  <c r="R37" i="56"/>
  <c r="R37" i="55"/>
  <c r="R37" i="54"/>
  <c r="R37" i="52"/>
  <c r="R37" i="49"/>
  <c r="R37" i="45"/>
  <c r="R37" i="53"/>
  <c r="R37" i="51"/>
  <c r="R37" i="50"/>
  <c r="R37" i="46"/>
  <c r="R37" i="48"/>
  <c r="R37" i="47"/>
  <c r="R37" i="43"/>
  <c r="Q41" i="60"/>
  <c r="S41" s="1"/>
  <c r="Q41" i="61"/>
  <c r="Q41" i="58"/>
  <c r="Q41" i="59"/>
  <c r="S41" s="1"/>
  <c r="Q41" i="57"/>
  <c r="Q41" i="56"/>
  <c r="Q41" i="55"/>
  <c r="Q41" i="54"/>
  <c r="Q41" i="48"/>
  <c r="Q41" i="52"/>
  <c r="Q41" i="49"/>
  <c r="Q41" i="53"/>
  <c r="Q41" i="47"/>
  <c r="Q41" i="51"/>
  <c r="Q41" i="50"/>
  <c r="Q41" i="46"/>
  <c r="Q41" i="45"/>
  <c r="S41" s="1"/>
  <c r="Q41" i="43"/>
  <c r="Q45" i="60"/>
  <c r="S45" s="1"/>
  <c r="Q45" i="61"/>
  <c r="Q45" i="58"/>
  <c r="Q45" i="56"/>
  <c r="S45" s="1"/>
  <c r="Q45" i="59"/>
  <c r="Q45" i="57"/>
  <c r="Q45" i="55"/>
  <c r="Q45" i="54"/>
  <c r="Q45" i="48"/>
  <c r="Q45" i="52"/>
  <c r="Q45" i="49"/>
  <c r="Q45" i="53"/>
  <c r="Q45" i="47"/>
  <c r="Q45" i="51"/>
  <c r="Q45" i="50"/>
  <c r="Q45" i="46"/>
  <c r="Q45" i="45"/>
  <c r="S45" s="1"/>
  <c r="Q45" i="43"/>
  <c r="Q49" i="60"/>
  <c r="S49" s="1"/>
  <c r="Q49" i="61"/>
  <c r="Q49" i="58"/>
  <c r="Q49" i="56"/>
  <c r="S49" s="1"/>
  <c r="Q49" i="59"/>
  <c r="Q49" i="57"/>
  <c r="Q49" i="55"/>
  <c r="Q49" i="54"/>
  <c r="Q49" i="48"/>
  <c r="Q49" i="52"/>
  <c r="Q49" i="49"/>
  <c r="Q49" i="53"/>
  <c r="Q49" i="47"/>
  <c r="Q49" i="51"/>
  <c r="Q49" i="50"/>
  <c r="Q49" i="46"/>
  <c r="Q49" i="45"/>
  <c r="S49" s="1"/>
  <c r="Q49" i="43"/>
  <c r="R9" i="61"/>
  <c r="R9" i="60"/>
  <c r="R9" i="59"/>
  <c r="R9" i="56"/>
  <c r="R9" i="58"/>
  <c r="R9" i="57"/>
  <c r="R9" i="55"/>
  <c r="R9" i="54"/>
  <c r="R9" i="52"/>
  <c r="R9" i="49"/>
  <c r="R9" i="45"/>
  <c r="R9" i="53"/>
  <c r="R9" i="51"/>
  <c r="R9" i="50"/>
  <c r="R9" i="46"/>
  <c r="R9" i="48"/>
  <c r="R9" i="47"/>
  <c r="R9" i="43"/>
  <c r="R11" i="61"/>
  <c r="R11" i="59"/>
  <c r="R11" i="60"/>
  <c r="R11" i="56"/>
  <c r="R11" i="58"/>
  <c r="R11" i="57"/>
  <c r="R11" i="55"/>
  <c r="R11" i="54"/>
  <c r="R11" i="52"/>
  <c r="R11" i="49"/>
  <c r="R11" i="45"/>
  <c r="R11" i="53"/>
  <c r="R11" i="51"/>
  <c r="R11" i="50"/>
  <c r="R11" i="46"/>
  <c r="R11" i="48"/>
  <c r="R11" i="47"/>
  <c r="R11" i="43"/>
  <c r="R13" i="61"/>
  <c r="R13" i="59"/>
  <c r="R13" i="60"/>
  <c r="R13" i="58"/>
  <c r="R13" i="56"/>
  <c r="R13" i="57"/>
  <c r="R13" i="55"/>
  <c r="R13" i="54"/>
  <c r="R13" i="52"/>
  <c r="R13" i="49"/>
  <c r="R13" i="45"/>
  <c r="R13" i="53"/>
  <c r="R13" i="51"/>
  <c r="R13" i="50"/>
  <c r="R13" i="46"/>
  <c r="R13" i="48"/>
  <c r="R13" i="47"/>
  <c r="R13" i="43"/>
  <c r="Q15" i="60"/>
  <c r="Q15" i="59"/>
  <c r="Q15" i="58"/>
  <c r="Q15" i="61"/>
  <c r="Q15" i="57"/>
  <c r="Q15" i="56"/>
  <c r="Q15" i="55"/>
  <c r="Q15" i="54"/>
  <c r="Q15" i="48"/>
  <c r="Q15" i="52"/>
  <c r="Q15" i="49"/>
  <c r="Q15" i="53"/>
  <c r="Q15" i="47"/>
  <c r="Q15" i="51"/>
  <c r="Q15" i="50"/>
  <c r="Q15" i="46"/>
  <c r="Q15" i="45"/>
  <c r="Q15" i="43"/>
  <c r="Q18" i="60"/>
  <c r="Q18" i="58"/>
  <c r="Q18" i="57"/>
  <c r="Q18" i="61"/>
  <c r="Q18" i="59"/>
  <c r="Q18" i="56"/>
  <c r="S18" s="1"/>
  <c r="Q18" i="55"/>
  <c r="S18" s="1"/>
  <c r="Q18" i="54"/>
  <c r="S18" s="1"/>
  <c r="Q18" i="48"/>
  <c r="Q18" i="52"/>
  <c r="Q18" i="49"/>
  <c r="Q18" i="53"/>
  <c r="S18" s="1"/>
  <c r="Q18" i="47"/>
  <c r="S18" s="1"/>
  <c r="Q18" i="51"/>
  <c r="Q18" i="50"/>
  <c r="Q18" i="46"/>
  <c r="Q18" i="45"/>
  <c r="Q18" i="43"/>
  <c r="S18" s="1"/>
  <c r="R23" i="61"/>
  <c r="R23" i="60"/>
  <c r="R23" i="59"/>
  <c r="R23" i="56"/>
  <c r="R23" i="58"/>
  <c r="R23" i="57"/>
  <c r="R23" i="55"/>
  <c r="R23" i="54"/>
  <c r="R23" i="52"/>
  <c r="R23" i="49"/>
  <c r="R23" i="45"/>
  <c r="R23" i="53"/>
  <c r="R23" i="51"/>
  <c r="R23" i="50"/>
  <c r="R23" i="46"/>
  <c r="R23" i="48"/>
  <c r="R23" i="47"/>
  <c r="R23" i="43"/>
  <c r="Q24" i="60"/>
  <c r="Q24" i="61"/>
  <c r="Q24" i="58"/>
  <c r="S24" s="1"/>
  <c r="Q24" i="57"/>
  <c r="Q24" i="59"/>
  <c r="S24" s="1"/>
  <c r="Q24" i="56"/>
  <c r="Q24" i="55"/>
  <c r="Q24" i="54"/>
  <c r="S24" s="1"/>
  <c r="Q24" i="48"/>
  <c r="S24" s="1"/>
  <c r="Q24" i="52"/>
  <c r="Q24" i="49"/>
  <c r="Q24" i="53"/>
  <c r="S24" s="1"/>
  <c r="Q24" i="47"/>
  <c r="Q24" i="51"/>
  <c r="Q24" i="50"/>
  <c r="Q24" i="46"/>
  <c r="Q24" i="45"/>
  <c r="S24" s="1"/>
  <c r="Q24" i="43"/>
  <c r="Q29" i="60"/>
  <c r="S29" s="1"/>
  <c r="Q29" i="61"/>
  <c r="Q29" i="58"/>
  <c r="Q29" i="59"/>
  <c r="S29" s="1"/>
  <c r="Q29" i="57"/>
  <c r="Q29" i="56"/>
  <c r="Q29" i="55"/>
  <c r="Q29" i="54"/>
  <c r="Q29" i="48"/>
  <c r="Q29" i="52"/>
  <c r="Q29" i="49"/>
  <c r="Q29" i="53"/>
  <c r="Q29" i="47"/>
  <c r="Q29" i="51"/>
  <c r="Q29" i="50"/>
  <c r="Q29" i="46"/>
  <c r="Q29" i="45"/>
  <c r="S29" s="1"/>
  <c r="Q29" i="43"/>
  <c r="Q33" i="60"/>
  <c r="S33" s="1"/>
  <c r="Q33" i="61"/>
  <c r="Q33" i="58"/>
  <c r="S33" s="1"/>
  <c r="Q33" i="59"/>
  <c r="S33" s="1"/>
  <c r="Q33" i="57"/>
  <c r="Q33" i="56"/>
  <c r="Q33" i="55"/>
  <c r="Q33" i="54"/>
  <c r="S33" s="1"/>
  <c r="Q33" i="48"/>
  <c r="S33" s="1"/>
  <c r="Q33" i="52"/>
  <c r="Q33" i="49"/>
  <c r="Q33" i="53"/>
  <c r="S33" s="1"/>
  <c r="Q33" i="47"/>
  <c r="Q33" i="51"/>
  <c r="Q33" i="50"/>
  <c r="Q33" i="46"/>
  <c r="Q33" i="45"/>
  <c r="S33" s="1"/>
  <c r="Q33" i="43"/>
  <c r="Q35" i="60"/>
  <c r="Q35" i="61"/>
  <c r="Q35" i="59"/>
  <c r="Q35" i="58"/>
  <c r="Q35" i="57"/>
  <c r="Q35" i="56"/>
  <c r="S35" s="1"/>
  <c r="Q35" i="55"/>
  <c r="Q35" i="54"/>
  <c r="Q35" i="48"/>
  <c r="Q35" i="52"/>
  <c r="Q35" i="49"/>
  <c r="S35" s="1"/>
  <c r="Q35" i="53"/>
  <c r="Q35" i="47"/>
  <c r="Q35" i="51"/>
  <c r="Q35" i="50"/>
  <c r="S35" s="1"/>
  <c r="Q35" i="46"/>
  <c r="Q35" i="45"/>
  <c r="S35" s="1"/>
  <c r="Q35" i="43"/>
  <c r="Q40" i="60"/>
  <c r="Q40" i="61"/>
  <c r="Q40" i="58"/>
  <c r="Q40" i="57"/>
  <c r="S40" s="1"/>
  <c r="Q40" i="59"/>
  <c r="S40" s="1"/>
  <c r="Q40" i="56"/>
  <c r="Q40" i="55"/>
  <c r="Q40" i="54"/>
  <c r="Q40" i="48"/>
  <c r="Q40" i="52"/>
  <c r="Q40" i="49"/>
  <c r="Q40" i="53"/>
  <c r="Q40" i="47"/>
  <c r="Q40" i="51"/>
  <c r="Q40" i="50"/>
  <c r="Q40" i="46"/>
  <c r="Q40" i="45"/>
  <c r="S40" s="1"/>
  <c r="Q40" i="43"/>
  <c r="Q42" i="60"/>
  <c r="S42" s="1"/>
  <c r="Q42" i="58"/>
  <c r="Q42" i="57"/>
  <c r="Q42" i="61"/>
  <c r="Q42" i="59"/>
  <c r="S42" s="1"/>
  <c r="Q42" i="56"/>
  <c r="Q42" i="55"/>
  <c r="Q42" i="54"/>
  <c r="Q42" i="48"/>
  <c r="Q42" i="52"/>
  <c r="Q42" i="49"/>
  <c r="S42" s="1"/>
  <c r="Q42" i="53"/>
  <c r="Q42" i="47"/>
  <c r="Q42" i="51"/>
  <c r="Q42" i="50"/>
  <c r="S42" s="1"/>
  <c r="Q42" i="46"/>
  <c r="Q42" i="45"/>
  <c r="S42" s="1"/>
  <c r="Q42" i="43"/>
  <c r="S42" s="1"/>
  <c r="R47" i="61"/>
  <c r="R47" i="60"/>
  <c r="R47" i="59"/>
  <c r="R47" i="58"/>
  <c r="R47" i="57"/>
  <c r="R47" i="56"/>
  <c r="R47" i="55"/>
  <c r="R47" i="54"/>
  <c r="R47" i="52"/>
  <c r="R47" i="49"/>
  <c r="R47" i="45"/>
  <c r="R47" i="53"/>
  <c r="R47" i="47"/>
  <c r="R47" i="51"/>
  <c r="R47" i="50"/>
  <c r="R47" i="46"/>
  <c r="R47" i="48"/>
  <c r="R47" i="43"/>
  <c r="R51" i="61"/>
  <c r="R51" i="60"/>
  <c r="R51" i="59"/>
  <c r="R51" i="58"/>
  <c r="R51" i="57"/>
  <c r="R51" i="56"/>
  <c r="R51" i="55"/>
  <c r="R51" i="54"/>
  <c r="R51" i="52"/>
  <c r="R51" i="49"/>
  <c r="R51" i="45"/>
  <c r="R51" i="53"/>
  <c r="R51" i="47"/>
  <c r="R51" i="51"/>
  <c r="R51" i="50"/>
  <c r="R51" i="46"/>
  <c r="R51" i="48"/>
  <c r="R51" i="43"/>
  <c r="Q11" i="61"/>
  <c r="Q11" i="59"/>
  <c r="Q11" i="58"/>
  <c r="S11" s="1"/>
  <c r="Q11" i="57"/>
  <c r="S11" s="1"/>
  <c r="Q11" i="60"/>
  <c r="S11" s="1"/>
  <c r="Q11" i="56"/>
  <c r="S11" s="1"/>
  <c r="Q11" i="55"/>
  <c r="Q11" i="54"/>
  <c r="Q11" i="48"/>
  <c r="Q11" i="52"/>
  <c r="Q11" i="49"/>
  <c r="Q11" i="53"/>
  <c r="Q11" i="47"/>
  <c r="Q11" i="51"/>
  <c r="Q11" i="50"/>
  <c r="Q11" i="46"/>
  <c r="Q11" i="45"/>
  <c r="S11" s="1"/>
  <c r="Q11" i="43"/>
  <c r="R12" i="61"/>
  <c r="R12" i="59"/>
  <c r="R12" i="60"/>
  <c r="R12" i="58"/>
  <c r="R12" i="57"/>
  <c r="R12" i="56"/>
  <c r="R12" i="55"/>
  <c r="R12" i="54"/>
  <c r="R12" i="52"/>
  <c r="R12" i="49"/>
  <c r="R12" i="45"/>
  <c r="R12" i="53"/>
  <c r="R12" i="51"/>
  <c r="R12" i="50"/>
  <c r="R12" i="46"/>
  <c r="R12" i="48"/>
  <c r="R12" i="47"/>
  <c r="R12" i="43"/>
  <c r="R14" i="61"/>
  <c r="R14" i="59"/>
  <c r="R14" i="60"/>
  <c r="R14" i="58"/>
  <c r="R14" i="57"/>
  <c r="R14" i="56"/>
  <c r="R14" i="55"/>
  <c r="R14" i="54"/>
  <c r="R14" i="52"/>
  <c r="R14" i="49"/>
  <c r="R14" i="45"/>
  <c r="R14" i="53"/>
  <c r="R14" i="51"/>
  <c r="R14" i="50"/>
  <c r="R14" i="46"/>
  <c r="R14" i="48"/>
  <c r="R14" i="47"/>
  <c r="R14" i="43"/>
  <c r="R15" i="61"/>
  <c r="R15" i="60"/>
  <c r="R15" i="59"/>
  <c r="R15" i="56"/>
  <c r="R15" i="58"/>
  <c r="R15" i="57"/>
  <c r="R15" i="55"/>
  <c r="R15" i="54"/>
  <c r="R15" i="52"/>
  <c r="R15" i="49"/>
  <c r="R15" i="45"/>
  <c r="R15" i="53"/>
  <c r="R15" i="51"/>
  <c r="R15" i="50"/>
  <c r="R15" i="46"/>
  <c r="R15" i="48"/>
  <c r="R15" i="47"/>
  <c r="R15" i="43"/>
  <c r="Q19" i="60"/>
  <c r="Q19" i="61"/>
  <c r="Q19" i="59"/>
  <c r="Q19" i="58"/>
  <c r="Q19" i="57"/>
  <c r="Q19" i="56"/>
  <c r="S19" s="1"/>
  <c r="Q19" i="55"/>
  <c r="Q19" i="54"/>
  <c r="Q19" i="48"/>
  <c r="Q19" i="52"/>
  <c r="Q19" i="49"/>
  <c r="Q19" i="53"/>
  <c r="Q19" i="47"/>
  <c r="Q19" i="51"/>
  <c r="Q19" i="50"/>
  <c r="Q19" i="46"/>
  <c r="Q19" i="45"/>
  <c r="S19" s="1"/>
  <c r="Q19" i="43"/>
  <c r="R20" i="61"/>
  <c r="R20" i="60"/>
  <c r="R20" i="59"/>
  <c r="R20" i="58"/>
  <c r="R20" i="57"/>
  <c r="R20" i="56"/>
  <c r="R20" i="55"/>
  <c r="R20" i="54"/>
  <c r="R20" i="52"/>
  <c r="R20" i="49"/>
  <c r="R20" i="45"/>
  <c r="R20" i="53"/>
  <c r="R20" i="51"/>
  <c r="R20" i="50"/>
  <c r="R20" i="46"/>
  <c r="R20" i="48"/>
  <c r="R20" i="47"/>
  <c r="R20" i="43"/>
  <c r="Q21" i="60"/>
  <c r="S21" s="1"/>
  <c r="Q21" i="61"/>
  <c r="Q21" i="58"/>
  <c r="Q21" i="59"/>
  <c r="S21" s="1"/>
  <c r="Q21" i="57"/>
  <c r="Q21" i="56"/>
  <c r="Q21" i="55"/>
  <c r="Q21" i="54"/>
  <c r="Q21" i="48"/>
  <c r="Q21" i="52"/>
  <c r="Q21" i="49"/>
  <c r="Q21" i="53"/>
  <c r="Q21" i="47"/>
  <c r="Q21" i="51"/>
  <c r="Q21" i="50"/>
  <c r="Q21" i="46"/>
  <c r="Q21" i="45"/>
  <c r="S21" s="1"/>
  <c r="Q21" i="43"/>
  <c r="Q25" i="60"/>
  <c r="S25" s="1"/>
  <c r="Q25" i="61"/>
  <c r="Q25" i="58"/>
  <c r="Q25" i="59"/>
  <c r="S25" s="1"/>
  <c r="Q25" i="57"/>
  <c r="Q25" i="56"/>
  <c r="Q25" i="55"/>
  <c r="Q25" i="54"/>
  <c r="Q25" i="48"/>
  <c r="Q25" i="52"/>
  <c r="Q25" i="49"/>
  <c r="Q25" i="53"/>
  <c r="Q25" i="47"/>
  <c r="Q25" i="51"/>
  <c r="Q25" i="50"/>
  <c r="Q25" i="46"/>
  <c r="Q25" i="45"/>
  <c r="S25" s="1"/>
  <c r="Q25" i="43"/>
  <c r="R26" i="61"/>
  <c r="R26" i="59"/>
  <c r="R26" i="58"/>
  <c r="R26" i="57"/>
  <c r="R26" i="56"/>
  <c r="R26" i="60"/>
  <c r="R26" i="55"/>
  <c r="R26" i="54"/>
  <c r="R26" i="52"/>
  <c r="R26" i="49"/>
  <c r="R26" i="45"/>
  <c r="R26" i="53"/>
  <c r="R26" i="51"/>
  <c r="R26" i="50"/>
  <c r="R26" i="46"/>
  <c r="R26" i="48"/>
  <c r="R26" i="47"/>
  <c r="R26" i="43"/>
  <c r="R28" i="61"/>
  <c r="R28" i="60"/>
  <c r="R28" i="59"/>
  <c r="R28" i="58"/>
  <c r="R28" i="57"/>
  <c r="R28" i="56"/>
  <c r="R28" i="55"/>
  <c r="R28" i="54"/>
  <c r="R28" i="52"/>
  <c r="R28" i="49"/>
  <c r="R28" i="45"/>
  <c r="R28" i="53"/>
  <c r="R28" i="51"/>
  <c r="R28" i="50"/>
  <c r="R28" i="46"/>
  <c r="R28" i="48"/>
  <c r="R28" i="47"/>
  <c r="R28" i="43"/>
  <c r="R30" i="61"/>
  <c r="R30" i="59"/>
  <c r="R30" i="60"/>
  <c r="R30" i="58"/>
  <c r="R30" i="57"/>
  <c r="R30" i="56"/>
  <c r="R30" i="55"/>
  <c r="R30" i="54"/>
  <c r="R30" i="52"/>
  <c r="R30" i="49"/>
  <c r="R30" i="45"/>
  <c r="R30" i="53"/>
  <c r="R30" i="51"/>
  <c r="R30" i="50"/>
  <c r="R30" i="46"/>
  <c r="R30" i="48"/>
  <c r="R30" i="47"/>
  <c r="R30" i="43"/>
  <c r="Q32" i="60"/>
  <c r="Q32" i="61"/>
  <c r="Q32" i="58"/>
  <c r="Q32" i="57"/>
  <c r="Q32" i="59"/>
  <c r="S32" s="1"/>
  <c r="Q32" i="56"/>
  <c r="Q32" i="55"/>
  <c r="Q32" i="54"/>
  <c r="Q32" i="48"/>
  <c r="Q32" i="52"/>
  <c r="Q32" i="49"/>
  <c r="Q32" i="53"/>
  <c r="Q32" i="47"/>
  <c r="Q32" i="51"/>
  <c r="Q32" i="50"/>
  <c r="Q32" i="46"/>
  <c r="Q32" i="45"/>
  <c r="S32" s="1"/>
  <c r="Q32" i="43"/>
  <c r="R34" i="61"/>
  <c r="R34" i="59"/>
  <c r="R34" i="60"/>
  <c r="R34" i="58"/>
  <c r="R34" i="57"/>
  <c r="R34" i="56"/>
  <c r="R34" i="55"/>
  <c r="R34" i="54"/>
  <c r="R34" i="52"/>
  <c r="R34" i="49"/>
  <c r="R34" i="45"/>
  <c r="R34" i="53"/>
  <c r="R34" i="51"/>
  <c r="R34" i="50"/>
  <c r="R34" i="46"/>
  <c r="R34" i="48"/>
  <c r="R34" i="47"/>
  <c r="R34" i="43"/>
  <c r="R36" i="61"/>
  <c r="R36" i="60"/>
  <c r="R36" i="59"/>
  <c r="R36" i="58"/>
  <c r="R36" i="57"/>
  <c r="R36" i="56"/>
  <c r="R36" i="55"/>
  <c r="R36" i="54"/>
  <c r="R36" i="52"/>
  <c r="R36" i="49"/>
  <c r="R36" i="45"/>
  <c r="R36" i="53"/>
  <c r="R36" i="51"/>
  <c r="R36" i="50"/>
  <c r="R36" i="46"/>
  <c r="R36" i="48"/>
  <c r="R36" i="47"/>
  <c r="R36" i="43"/>
  <c r="R38" i="61"/>
  <c r="R38" i="59"/>
  <c r="R38" i="60"/>
  <c r="R38" i="58"/>
  <c r="R38" i="57"/>
  <c r="R38" i="56"/>
  <c r="R38" i="55"/>
  <c r="R38" i="54"/>
  <c r="R38" i="52"/>
  <c r="R38" i="49"/>
  <c r="R38" i="45"/>
  <c r="R38" i="53"/>
  <c r="R38" i="51"/>
  <c r="R38" i="50"/>
  <c r="R38" i="46"/>
  <c r="R38" i="48"/>
  <c r="R38" i="47"/>
  <c r="R38" i="43"/>
  <c r="Q39" i="60"/>
  <c r="Q39" i="59"/>
  <c r="Q39" i="58"/>
  <c r="S39" s="1"/>
  <c r="Q39" i="61"/>
  <c r="Q39" i="57"/>
  <c r="Q39" i="56"/>
  <c r="S39" s="1"/>
  <c r="Q39" i="55"/>
  <c r="Q39" i="54"/>
  <c r="Q39" i="48"/>
  <c r="Q39" i="52"/>
  <c r="Q39" i="49"/>
  <c r="Q39" i="53"/>
  <c r="Q39" i="47"/>
  <c r="Q39" i="51"/>
  <c r="Q39" i="50"/>
  <c r="Q39" i="46"/>
  <c r="Q39" i="45"/>
  <c r="S39" s="1"/>
  <c r="Q39" i="43"/>
  <c r="Q43" i="60"/>
  <c r="Q43" i="61"/>
  <c r="Q43" i="59"/>
  <c r="Q43" i="58"/>
  <c r="Q43" i="56"/>
  <c r="Q43" i="57"/>
  <c r="Q43" i="55"/>
  <c r="Q43" i="54"/>
  <c r="Q43" i="48"/>
  <c r="Q43" i="52"/>
  <c r="Q43" i="49"/>
  <c r="Q43" i="53"/>
  <c r="Q43" i="47"/>
  <c r="Q43" i="51"/>
  <c r="Q43" i="50"/>
  <c r="Q43" i="46"/>
  <c r="Q43" i="45"/>
  <c r="S43" s="1"/>
  <c r="Q43" i="43"/>
  <c r="R44" i="61"/>
  <c r="R44" i="60"/>
  <c r="R44" i="59"/>
  <c r="R44" i="58"/>
  <c r="R44" i="57"/>
  <c r="R44" i="56"/>
  <c r="R44" i="55"/>
  <c r="R44" i="54"/>
  <c r="R44" i="52"/>
  <c r="R44" i="49"/>
  <c r="R44" i="45"/>
  <c r="R44" i="53"/>
  <c r="R44" i="51"/>
  <c r="R44" i="50"/>
  <c r="R44" i="46"/>
  <c r="R44" i="48"/>
  <c r="R44" i="47"/>
  <c r="R44" i="43"/>
  <c r="R46" i="61"/>
  <c r="R46" i="59"/>
  <c r="R46" i="60"/>
  <c r="R46" i="58"/>
  <c r="R46" i="57"/>
  <c r="R46" i="56"/>
  <c r="R46" i="55"/>
  <c r="R46" i="54"/>
  <c r="R46" i="52"/>
  <c r="R46" i="49"/>
  <c r="R46" i="45"/>
  <c r="R46" i="53"/>
  <c r="R46" i="47"/>
  <c r="R46" i="51"/>
  <c r="R46" i="50"/>
  <c r="R46" i="46"/>
  <c r="R46" i="48"/>
  <c r="R46" i="43"/>
  <c r="R48" i="61"/>
  <c r="R48" i="60"/>
  <c r="R48" i="59"/>
  <c r="R48" i="58"/>
  <c r="R48" i="57"/>
  <c r="R48" i="56"/>
  <c r="R48" i="55"/>
  <c r="R48" i="54"/>
  <c r="R48" i="52"/>
  <c r="R48" i="49"/>
  <c r="R48" i="45"/>
  <c r="R48" i="53"/>
  <c r="R48" i="47"/>
  <c r="R48" i="51"/>
  <c r="R48" i="50"/>
  <c r="R48" i="46"/>
  <c r="R48" i="48"/>
  <c r="R48" i="43"/>
  <c r="R50" i="61"/>
  <c r="R50" i="59"/>
  <c r="R50" i="60"/>
  <c r="R50" i="58"/>
  <c r="R50" i="57"/>
  <c r="R50" i="56"/>
  <c r="R50" i="55"/>
  <c r="R50" i="54"/>
  <c r="R50" i="52"/>
  <c r="R50" i="49"/>
  <c r="R50" i="45"/>
  <c r="R50" i="53"/>
  <c r="R50" i="47"/>
  <c r="R50" i="51"/>
  <c r="R50" i="50"/>
  <c r="R50" i="46"/>
  <c r="R50" i="48"/>
  <c r="R50" i="43"/>
  <c r="R52" i="61"/>
  <c r="R52" i="60"/>
  <c r="R52" i="59"/>
  <c r="R52" i="58"/>
  <c r="R52" i="57"/>
  <c r="R52" i="56"/>
  <c r="R52" i="55"/>
  <c r="R52" i="54"/>
  <c r="R52" i="52"/>
  <c r="R52" i="49"/>
  <c r="R52" i="45"/>
  <c r="R52" i="53"/>
  <c r="R52" i="47"/>
  <c r="R52" i="51"/>
  <c r="R52" i="50"/>
  <c r="R52" i="46"/>
  <c r="R52" i="48"/>
  <c r="R52" i="43"/>
  <c r="AE20" i="7"/>
  <c r="AE6"/>
  <c r="AE16"/>
  <c r="AE12"/>
  <c r="AE8"/>
  <c r="AE17"/>
  <c r="AE9"/>
  <c r="AE19"/>
  <c r="AE5"/>
  <c r="AE18"/>
  <c r="AE15"/>
  <c r="AE7"/>
  <c r="AE14"/>
  <c r="AE21"/>
  <c r="AE13"/>
  <c r="S22" i="59" l="1"/>
  <c r="S39"/>
  <c r="S19" i="58"/>
  <c r="U19" s="1"/>
  <c r="S42"/>
  <c r="V42" s="1"/>
  <c r="S40" i="53"/>
  <c r="S40" i="54"/>
  <c r="S40" i="48"/>
  <c r="U40" s="1"/>
  <c r="S40" i="58"/>
  <c r="T40" s="1"/>
  <c r="S43" i="54"/>
  <c r="W43" s="1"/>
  <c r="S32" i="43"/>
  <c r="S32" i="56"/>
  <c r="V32" s="1"/>
  <c r="S21" i="53"/>
  <c r="S21" i="54"/>
  <c r="S29" i="43"/>
  <c r="S49"/>
  <c r="U49" s="1"/>
  <c r="S49" i="51"/>
  <c r="W49" s="1"/>
  <c r="S45" i="53"/>
  <c r="U45" s="1"/>
  <c r="S45" i="54"/>
  <c r="U45" s="1"/>
  <c r="S41" i="43"/>
  <c r="V41" s="1"/>
  <c r="S41" i="56"/>
  <c r="V41" s="1"/>
  <c r="S17" i="51"/>
  <c r="S17" i="52"/>
  <c r="S17" i="56"/>
  <c r="T17" s="1"/>
  <c r="S17" i="61"/>
  <c r="S43" i="53"/>
  <c r="V43" s="1"/>
  <c r="S43" i="58"/>
  <c r="W43" s="1"/>
  <c r="S39" i="43"/>
  <c r="T39" s="1"/>
  <c r="S39" i="57"/>
  <c r="W39" s="1"/>
  <c r="S39" i="60"/>
  <c r="U39" s="1"/>
  <c r="S32"/>
  <c r="S49" i="59"/>
  <c r="V49" s="1"/>
  <c r="S45" i="58"/>
  <c r="U45" s="1"/>
  <c r="S43" i="48"/>
  <c r="V43" s="1"/>
  <c r="S39" i="50"/>
  <c r="T39" s="1"/>
  <c r="S39" i="49"/>
  <c r="W39" s="1"/>
  <c r="S32" i="50"/>
  <c r="S32" i="49"/>
  <c r="S25" i="50"/>
  <c r="S25" i="49"/>
  <c r="W25" s="1"/>
  <c r="S21" i="48"/>
  <c r="S19"/>
  <c r="S11"/>
  <c r="S49" i="49"/>
  <c r="W49" s="1"/>
  <c r="S45" i="48"/>
  <c r="T45" s="1"/>
  <c r="S41" i="50"/>
  <c r="U41" s="1"/>
  <c r="S41" i="49"/>
  <c r="T41" s="1"/>
  <c r="S35" i="57"/>
  <c r="U35" s="1"/>
  <c r="S35" i="60"/>
  <c r="U35" s="1"/>
  <c r="S35" i="43"/>
  <c r="S42" i="46"/>
  <c r="W42" s="1"/>
  <c r="S40" i="51"/>
  <c r="U40" s="1"/>
  <c r="S40" i="52"/>
  <c r="T40" s="1"/>
  <c r="S40" i="61"/>
  <c r="U40" s="1"/>
  <c r="S35" i="46"/>
  <c r="W35" s="1"/>
  <c r="S33" i="51"/>
  <c r="U33" s="1"/>
  <c r="S33" i="52"/>
  <c r="W33" s="1"/>
  <c r="S33" i="61"/>
  <c r="T33" s="1"/>
  <c r="S27" i="46"/>
  <c r="S42" i="55"/>
  <c r="T42" s="1"/>
  <c r="S40" i="47"/>
  <c r="V40" s="1"/>
  <c r="S35" i="55"/>
  <c r="S35" i="59"/>
  <c r="U35" s="1"/>
  <c r="S33" i="47"/>
  <c r="U33" s="1"/>
  <c r="S33" i="57"/>
  <c r="W33" s="1"/>
  <c r="S10"/>
  <c r="S27" i="55"/>
  <c r="S27" i="59"/>
  <c r="W27" s="1"/>
  <c r="S22" i="45"/>
  <c r="T22" s="1"/>
  <c r="S22" i="60"/>
  <c r="S29" i="57"/>
  <c r="S29" i="50"/>
  <c r="T29" s="1"/>
  <c r="S29" i="49"/>
  <c r="V29" s="1"/>
  <c r="S27" i="57"/>
  <c r="V27" s="1"/>
  <c r="S27" i="60"/>
  <c r="U27" s="1"/>
  <c r="S27" i="43"/>
  <c r="T27" s="1"/>
  <c r="S25" i="57"/>
  <c r="V25" s="1"/>
  <c r="S25" i="43"/>
  <c r="T25" s="1"/>
  <c r="S24" i="47"/>
  <c r="S24" i="51"/>
  <c r="T24" s="1"/>
  <c r="S24" i="52"/>
  <c r="V24" s="1"/>
  <c r="S24" i="61"/>
  <c r="S24" i="57"/>
  <c r="S21" i="58"/>
  <c r="W21" s="1"/>
  <c r="S23" i="51"/>
  <c r="U23" s="1"/>
  <c r="S23" i="52"/>
  <c r="S23" i="56"/>
  <c r="S37" i="43"/>
  <c r="W37" s="1"/>
  <c r="S37" i="56"/>
  <c r="V37" s="1"/>
  <c r="S31" i="53"/>
  <c r="S31" i="54"/>
  <c r="V31" s="1"/>
  <c r="S19" i="53"/>
  <c r="U19" s="1"/>
  <c r="S19" i="54"/>
  <c r="W19" s="1"/>
  <c r="S18" i="50"/>
  <c r="U18" s="1"/>
  <c r="S18" i="49"/>
  <c r="W18" s="1"/>
  <c r="S18" i="59"/>
  <c r="U18" s="1"/>
  <c r="S18" i="46"/>
  <c r="T18" s="1"/>
  <c r="S10" i="60"/>
  <c r="S43" i="56"/>
  <c r="U43" s="1"/>
  <c r="S43" i="60"/>
  <c r="U43" s="1"/>
  <c r="S32" i="58"/>
  <c r="W32" s="1"/>
  <c r="S25"/>
  <c r="U25" s="1"/>
  <c r="S21" i="57"/>
  <c r="S19"/>
  <c r="U19" s="1"/>
  <c r="S19" i="60"/>
  <c r="W19" s="1"/>
  <c r="S42" i="57"/>
  <c r="V42" s="1"/>
  <c r="S40" i="60"/>
  <c r="U40" s="1"/>
  <c r="S24"/>
  <c r="W24" s="1"/>
  <c r="S49" i="58"/>
  <c r="T49" s="1"/>
  <c r="S45" i="59"/>
  <c r="T45" s="1"/>
  <c r="S41" i="58"/>
  <c r="T41" s="1"/>
  <c r="S13" i="50"/>
  <c r="U13" s="1"/>
  <c r="S13" i="49"/>
  <c r="V13" s="1"/>
  <c r="S13" i="59"/>
  <c r="S10" i="50"/>
  <c r="S10" i="49"/>
  <c r="V10" s="1"/>
  <c r="S15" i="51"/>
  <c r="U15" s="1"/>
  <c r="S15" i="52"/>
  <c r="V15" s="1"/>
  <c r="S15" i="56"/>
  <c r="S13" i="43"/>
  <c r="V13" s="1"/>
  <c r="S43" i="51"/>
  <c r="W43" s="1"/>
  <c r="S43" i="52"/>
  <c r="V43" s="1"/>
  <c r="S43" i="57"/>
  <c r="U43" s="1"/>
  <c r="S43" i="61"/>
  <c r="V43" s="1"/>
  <c r="S39" i="46"/>
  <c r="U39" s="1"/>
  <c r="S32"/>
  <c r="W32" s="1"/>
  <c r="S43" i="47"/>
  <c r="W43" s="1"/>
  <c r="S39" i="55"/>
  <c r="V39" s="1"/>
  <c r="S32"/>
  <c r="U32" s="1"/>
  <c r="S25"/>
  <c r="T25" s="1"/>
  <c r="S21" i="47"/>
  <c r="S19"/>
  <c r="V19" s="1"/>
  <c r="S11"/>
  <c r="V11" s="1"/>
  <c r="S11" i="61"/>
  <c r="S52" i="46"/>
  <c r="T52" s="1"/>
  <c r="S52" i="53"/>
  <c r="W52" s="1"/>
  <c r="S52" i="54"/>
  <c r="V52" s="1"/>
  <c r="S50" i="43"/>
  <c r="S50" i="51"/>
  <c r="S50" i="59"/>
  <c r="W50" s="1"/>
  <c r="S48" i="46"/>
  <c r="T48" s="1"/>
  <c r="S48" i="53"/>
  <c r="U48" s="1"/>
  <c r="S48" i="54"/>
  <c r="W48" s="1"/>
  <c r="S46" i="43"/>
  <c r="T46" s="1"/>
  <c r="S46" i="51"/>
  <c r="W46" s="1"/>
  <c r="S44" i="53"/>
  <c r="V44" s="1"/>
  <c r="S44" i="54"/>
  <c r="U44" s="1"/>
  <c r="S38" i="43"/>
  <c r="S38" i="56"/>
  <c r="S36" i="53"/>
  <c r="S36" i="54"/>
  <c r="S36" i="57"/>
  <c r="T36" s="1"/>
  <c r="S34" i="43"/>
  <c r="U34" s="1"/>
  <c r="S34" i="56"/>
  <c r="T34" s="1"/>
  <c r="S30" i="43"/>
  <c r="T30" s="1"/>
  <c r="S30" i="56"/>
  <c r="W30" s="1"/>
  <c r="S28" i="53"/>
  <c r="U28" s="1"/>
  <c r="S28" i="54"/>
  <c r="S28" i="57"/>
  <c r="T28" s="1"/>
  <c r="S26" i="43"/>
  <c r="T26" s="1"/>
  <c r="S26" i="58"/>
  <c r="U26" s="1"/>
  <c r="S20" i="53"/>
  <c r="V20" s="1"/>
  <c r="S20" i="54"/>
  <c r="W20" s="1"/>
  <c r="S20" i="57"/>
  <c r="U20" s="1"/>
  <c r="S14" i="43"/>
  <c r="U14" s="1"/>
  <c r="S14" i="56"/>
  <c r="S12" i="53"/>
  <c r="S12" i="54"/>
  <c r="W12" s="1"/>
  <c r="S31" i="61"/>
  <c r="U31" s="1"/>
  <c r="S51" i="46"/>
  <c r="V51" s="1"/>
  <c r="S51" i="53"/>
  <c r="V51" s="1"/>
  <c r="S51" i="54"/>
  <c r="V51" s="1"/>
  <c r="S51" i="58"/>
  <c r="T51" s="1"/>
  <c r="S47" i="43"/>
  <c r="T47" s="1"/>
  <c r="S47" i="51"/>
  <c r="W47" s="1"/>
  <c r="S47" i="59"/>
  <c r="T47" s="1"/>
  <c r="S25" i="46"/>
  <c r="V25" s="1"/>
  <c r="S21" i="51"/>
  <c r="T21" s="1"/>
  <c r="S21" i="52"/>
  <c r="S21" i="56"/>
  <c r="T21" s="1"/>
  <c r="S21" i="61"/>
  <c r="U21" s="1"/>
  <c r="S19" i="51"/>
  <c r="U19" s="1"/>
  <c r="S19" i="52"/>
  <c r="S19" i="61"/>
  <c r="T19" s="1"/>
  <c r="S11" i="51"/>
  <c r="T11" s="1"/>
  <c r="S11" i="52"/>
  <c r="S29" i="46"/>
  <c r="S45" i="51"/>
  <c r="W45" s="1"/>
  <c r="S45" i="52"/>
  <c r="V45" s="1"/>
  <c r="S45" i="57"/>
  <c r="V45" s="1"/>
  <c r="S45" i="61"/>
  <c r="V45" s="1"/>
  <c r="S41" i="46"/>
  <c r="U41" s="1"/>
  <c r="S29" i="55"/>
  <c r="V29" s="1"/>
  <c r="S29" i="58"/>
  <c r="U29" s="1"/>
  <c r="S18" i="45"/>
  <c r="W18" s="1"/>
  <c r="S18" i="48"/>
  <c r="V18" s="1"/>
  <c r="S18" i="60"/>
  <c r="U18" s="1"/>
  <c r="S15" i="50"/>
  <c r="W15" s="1"/>
  <c r="S15" i="49"/>
  <c r="S15" i="58"/>
  <c r="W15" s="1"/>
  <c r="S49" i="50"/>
  <c r="W49" s="1"/>
  <c r="S49" i="55"/>
  <c r="W49" s="1"/>
  <c r="S45" i="47"/>
  <c r="W45" s="1"/>
  <c r="S41" i="55"/>
  <c r="V41" s="1"/>
  <c r="S23" i="50"/>
  <c r="T23" s="1"/>
  <c r="S23" i="49"/>
  <c r="S23" i="58"/>
  <c r="S13" i="55"/>
  <c r="W13" s="1"/>
  <c r="S52" i="47"/>
  <c r="T52" s="1"/>
  <c r="S52" i="48"/>
  <c r="U52" s="1"/>
  <c r="S52" i="57"/>
  <c r="S52" i="60"/>
  <c r="T52" s="1"/>
  <c r="S50" i="50"/>
  <c r="U50" s="1"/>
  <c r="S50" i="49"/>
  <c r="S50" i="55"/>
  <c r="U50" s="1"/>
  <c r="S50" i="56"/>
  <c r="V50" s="1"/>
  <c r="S48" i="47"/>
  <c r="T48" s="1"/>
  <c r="S48" i="48"/>
  <c r="V48" s="1"/>
  <c r="S48" i="57"/>
  <c r="U48" s="1"/>
  <c r="S48" i="60"/>
  <c r="U48" s="1"/>
  <c r="S46" i="50"/>
  <c r="V46" s="1"/>
  <c r="S46" i="49"/>
  <c r="W46" s="1"/>
  <c r="S46" i="55"/>
  <c r="U46" s="1"/>
  <c r="S46" i="56"/>
  <c r="U46" s="1"/>
  <c r="S44" i="47"/>
  <c r="T44" s="1"/>
  <c r="S44" i="48"/>
  <c r="W44" s="1"/>
  <c r="S44" i="57"/>
  <c r="T44" s="1"/>
  <c r="S44" i="60"/>
  <c r="U44" s="1"/>
  <c r="S38" i="50"/>
  <c r="S38" i="49"/>
  <c r="S38" i="55"/>
  <c r="S36" i="47"/>
  <c r="T36" s="1"/>
  <c r="S36" i="48"/>
  <c r="T36" s="1"/>
  <c r="S36" i="60"/>
  <c r="S34" i="50"/>
  <c r="V34" s="1"/>
  <c r="S34" i="49"/>
  <c r="U34" s="1"/>
  <c r="S34" i="55"/>
  <c r="V34" s="1"/>
  <c r="S30" i="50"/>
  <c r="S30" i="49"/>
  <c r="V30" s="1"/>
  <c r="S30" i="55"/>
  <c r="T30" s="1"/>
  <c r="S28" i="47"/>
  <c r="T28" s="1"/>
  <c r="S28" i="48"/>
  <c r="S28" i="60"/>
  <c r="T28" s="1"/>
  <c r="S26" i="50"/>
  <c r="W26" s="1"/>
  <c r="S26" i="49"/>
  <c r="T26" s="1"/>
  <c r="S26" i="55"/>
  <c r="W26" s="1"/>
  <c r="S26" i="57"/>
  <c r="W26" s="1"/>
  <c r="S20" i="47"/>
  <c r="U20" s="1"/>
  <c r="S20" i="48"/>
  <c r="W20" s="1"/>
  <c r="S20" i="60"/>
  <c r="U20" s="1"/>
  <c r="S14" i="50"/>
  <c r="S14" i="49"/>
  <c r="U14" s="1"/>
  <c r="S14" i="55"/>
  <c r="W14" s="1"/>
  <c r="S12" i="47"/>
  <c r="U12" s="1"/>
  <c r="S12" i="48"/>
  <c r="S12" i="59"/>
  <c r="U12" s="1"/>
  <c r="S12" i="61"/>
  <c r="U12" s="1"/>
  <c r="S37" i="50"/>
  <c r="T37" s="1"/>
  <c r="S37" i="49"/>
  <c r="S37" i="55"/>
  <c r="W37" s="1"/>
  <c r="S37" i="58"/>
  <c r="V37" s="1"/>
  <c r="S31" i="47"/>
  <c r="T31" s="1"/>
  <c r="S31" i="48"/>
  <c r="W31" s="1"/>
  <c r="S31" i="57"/>
  <c r="U31" s="1"/>
  <c r="S31" i="60"/>
  <c r="W31" s="1"/>
  <c r="S22" i="48"/>
  <c r="T22" s="1"/>
  <c r="S51" i="47"/>
  <c r="V51" s="1"/>
  <c r="S51" i="48"/>
  <c r="W51" s="1"/>
  <c r="S51" i="56"/>
  <c r="W51" s="1"/>
  <c r="S51" i="60"/>
  <c r="S47" i="50"/>
  <c r="V47" s="1"/>
  <c r="S47" i="49"/>
  <c r="U47" s="1"/>
  <c r="S47" i="55"/>
  <c r="U47" s="1"/>
  <c r="S47" i="58"/>
  <c r="W47" s="1"/>
  <c r="S17" i="50"/>
  <c r="W17" s="1"/>
  <c r="S17" i="49"/>
  <c r="T17" s="1"/>
  <c r="S17" i="58"/>
  <c r="U17" s="1"/>
  <c r="S11" i="53"/>
  <c r="V11" s="1"/>
  <c r="S11" i="54"/>
  <c r="U11" s="1"/>
  <c r="S10" i="46"/>
  <c r="V10" s="1"/>
  <c r="S10" i="61"/>
  <c r="W10" s="1"/>
  <c r="S10" i="45"/>
  <c r="W10" s="1"/>
  <c r="S10" i="59"/>
  <c r="S10" i="51"/>
  <c r="W10" s="1"/>
  <c r="S10" i="52"/>
  <c r="V10" s="1"/>
  <c r="V17" i="61"/>
  <c r="U17"/>
  <c r="W17"/>
  <c r="T17"/>
  <c r="S16" i="46"/>
  <c r="S16" i="53"/>
  <c r="S16" i="54"/>
  <c r="S16" i="57"/>
  <c r="S9" i="46"/>
  <c r="S9" i="53"/>
  <c r="S9" i="54"/>
  <c r="S9" i="57"/>
  <c r="W43" i="45"/>
  <c r="T43"/>
  <c r="U43"/>
  <c r="V43"/>
  <c r="W43" i="48"/>
  <c r="V39" i="50"/>
  <c r="T32" i="49"/>
  <c r="V32"/>
  <c r="W32"/>
  <c r="U32"/>
  <c r="V25"/>
  <c r="W25" i="58"/>
  <c r="W21" i="45"/>
  <c r="V21"/>
  <c r="T21"/>
  <c r="U21"/>
  <c r="T21" i="48"/>
  <c r="W21"/>
  <c r="U21"/>
  <c r="V21"/>
  <c r="W21" i="60"/>
  <c r="T21"/>
  <c r="V21"/>
  <c r="U21"/>
  <c r="V19" i="48"/>
  <c r="W19"/>
  <c r="T19"/>
  <c r="U19"/>
  <c r="W11" i="47"/>
  <c r="T11" i="61"/>
  <c r="W11"/>
  <c r="U11"/>
  <c r="V11"/>
  <c r="V42" i="50"/>
  <c r="U42"/>
  <c r="W42"/>
  <c r="T42"/>
  <c r="V40" i="45"/>
  <c r="W40"/>
  <c r="T40"/>
  <c r="U40"/>
  <c r="W40" i="59"/>
  <c r="U40"/>
  <c r="V40"/>
  <c r="T40"/>
  <c r="T35" i="50"/>
  <c r="V35"/>
  <c r="W35"/>
  <c r="U35"/>
  <c r="T35" i="55"/>
  <c r="U35"/>
  <c r="W35"/>
  <c r="V35"/>
  <c r="U33" i="45"/>
  <c r="V33"/>
  <c r="W33"/>
  <c r="T33"/>
  <c r="V33" i="48"/>
  <c r="W33"/>
  <c r="T33"/>
  <c r="U33"/>
  <c r="V33" i="60"/>
  <c r="W33"/>
  <c r="T33"/>
  <c r="U33"/>
  <c r="W29" i="49"/>
  <c r="T29" i="58"/>
  <c r="V29"/>
  <c r="V24" i="47"/>
  <c r="T24"/>
  <c r="U24"/>
  <c r="W24"/>
  <c r="T24" i="59"/>
  <c r="V24"/>
  <c r="W24"/>
  <c r="U24"/>
  <c r="V18" i="45"/>
  <c r="W18" i="60"/>
  <c r="T15" i="49"/>
  <c r="W15"/>
  <c r="U15"/>
  <c r="V15"/>
  <c r="S15" i="55"/>
  <c r="U45" i="45"/>
  <c r="V45"/>
  <c r="W45"/>
  <c r="T45"/>
  <c r="W45" i="60"/>
  <c r="T45"/>
  <c r="U45"/>
  <c r="V45"/>
  <c r="U41" i="58"/>
  <c r="W23" i="49"/>
  <c r="T23"/>
  <c r="V23"/>
  <c r="U23"/>
  <c r="S23" i="55"/>
  <c r="T13" i="59"/>
  <c r="U13"/>
  <c r="V13"/>
  <c r="W13"/>
  <c r="V52" i="57"/>
  <c r="W52"/>
  <c r="T52"/>
  <c r="U52"/>
  <c r="V50" i="55"/>
  <c r="W50"/>
  <c r="T50"/>
  <c r="T48" i="57"/>
  <c r="W46" i="55"/>
  <c r="T46"/>
  <c r="S44" i="45"/>
  <c r="U44" i="57"/>
  <c r="W44"/>
  <c r="W38" i="55"/>
  <c r="S36" i="45"/>
  <c r="S36" i="59"/>
  <c r="S34" i="57"/>
  <c r="W30" i="49"/>
  <c r="S30" i="57"/>
  <c r="W28" i="60"/>
  <c r="S20" i="45"/>
  <c r="S20" i="59"/>
  <c r="V14" i="50"/>
  <c r="T14"/>
  <c r="U14"/>
  <c r="W14"/>
  <c r="T10"/>
  <c r="W10"/>
  <c r="U10"/>
  <c r="V10"/>
  <c r="T10" i="57"/>
  <c r="V10"/>
  <c r="W10"/>
  <c r="U10"/>
  <c r="T27" i="50"/>
  <c r="U27"/>
  <c r="W27"/>
  <c r="V27"/>
  <c r="T27" i="55"/>
  <c r="U27"/>
  <c r="V27"/>
  <c r="W27"/>
  <c r="W22" i="48"/>
  <c r="W22" i="61"/>
  <c r="U22"/>
  <c r="T22"/>
  <c r="V22"/>
  <c r="S51" i="45"/>
  <c r="U17" i="50"/>
  <c r="V17"/>
  <c r="S17" i="55"/>
  <c r="W43" i="53"/>
  <c r="U43" i="58"/>
  <c r="S39" i="51"/>
  <c r="V39" i="59"/>
  <c r="W39"/>
  <c r="T39"/>
  <c r="U39"/>
  <c r="S32" i="51"/>
  <c r="S32" i="52"/>
  <c r="S32" i="61"/>
  <c r="W25" i="43"/>
  <c r="S25" i="52"/>
  <c r="S25" i="61"/>
  <c r="S21" i="46"/>
  <c r="U21" i="54"/>
  <c r="V21"/>
  <c r="W21"/>
  <c r="T21"/>
  <c r="T19" i="58"/>
  <c r="V11" i="54"/>
  <c r="S42" i="51"/>
  <c r="U42" i="58"/>
  <c r="W42"/>
  <c r="U40" i="53"/>
  <c r="T40"/>
  <c r="W40"/>
  <c r="V40"/>
  <c r="T35" i="43"/>
  <c r="U35"/>
  <c r="V35"/>
  <c r="W35"/>
  <c r="S35" i="51"/>
  <c r="S35" i="52"/>
  <c r="S33" i="46"/>
  <c r="W33" i="54"/>
  <c r="T33"/>
  <c r="U33"/>
  <c r="V33"/>
  <c r="W29" i="43"/>
  <c r="V29"/>
  <c r="T29"/>
  <c r="U29"/>
  <c r="S29" i="52"/>
  <c r="S29" i="61"/>
  <c r="S24" i="46"/>
  <c r="V24" i="54"/>
  <c r="W24"/>
  <c r="T24"/>
  <c r="U24"/>
  <c r="T18"/>
  <c r="U18"/>
  <c r="V18"/>
  <c r="W18"/>
  <c r="S15" i="43"/>
  <c r="U15" i="52"/>
  <c r="S15" i="59"/>
  <c r="S49" i="52"/>
  <c r="S49" i="61"/>
  <c r="U45" i="56"/>
  <c r="V45"/>
  <c r="W45"/>
  <c r="T45"/>
  <c r="S41" i="51"/>
  <c r="S23" i="43"/>
  <c r="W23" i="56"/>
  <c r="U23"/>
  <c r="T23"/>
  <c r="V23"/>
  <c r="S13" i="52"/>
  <c r="V52" i="46"/>
  <c r="V50" i="43"/>
  <c r="W50"/>
  <c r="U50"/>
  <c r="T50"/>
  <c r="S50" i="58"/>
  <c r="S48" i="56"/>
  <c r="S46" i="61"/>
  <c r="T44" i="53"/>
  <c r="S44" i="56"/>
  <c r="S38" i="51"/>
  <c r="S38" i="52"/>
  <c r="S38" i="58"/>
  <c r="T36" i="54"/>
  <c r="U36"/>
  <c r="V36"/>
  <c r="W36"/>
  <c r="S34" i="51"/>
  <c r="S34" i="52"/>
  <c r="S34" i="58"/>
  <c r="S30" i="52"/>
  <c r="W28" i="57"/>
  <c r="S26" i="51"/>
  <c r="S26" i="52"/>
  <c r="S26" i="56"/>
  <c r="S20" i="46"/>
  <c r="V14" i="56"/>
  <c r="W14"/>
  <c r="U14"/>
  <c r="T14"/>
  <c r="S12" i="46"/>
  <c r="S12" i="60"/>
  <c r="U10" i="58"/>
  <c r="T10"/>
  <c r="V10"/>
  <c r="W10"/>
  <c r="S31" i="46"/>
  <c r="V27" i="56"/>
  <c r="T27"/>
  <c r="U27"/>
  <c r="W27"/>
  <c r="W22" i="46"/>
  <c r="T22"/>
  <c r="V22"/>
  <c r="U22"/>
  <c r="T22" i="54"/>
  <c r="U22"/>
  <c r="V22"/>
  <c r="W22"/>
  <c r="T51" i="53"/>
  <c r="U47" i="51"/>
  <c r="V47"/>
  <c r="S43" i="50"/>
  <c r="S43" i="49"/>
  <c r="S43" i="55"/>
  <c r="S43" i="59"/>
  <c r="V39" i="45"/>
  <c r="W39"/>
  <c r="T39"/>
  <c r="U39"/>
  <c r="S39" i="47"/>
  <c r="S39" i="48"/>
  <c r="T39" i="60"/>
  <c r="V32" i="45"/>
  <c r="W32"/>
  <c r="T32"/>
  <c r="U32"/>
  <c r="S32" i="47"/>
  <c r="S32" i="48"/>
  <c r="W32" i="59"/>
  <c r="U32"/>
  <c r="V32"/>
  <c r="T32"/>
  <c r="W32" i="60"/>
  <c r="T32"/>
  <c r="U32"/>
  <c r="V32"/>
  <c r="W25" i="45"/>
  <c r="T25"/>
  <c r="U25"/>
  <c r="V25"/>
  <c r="S25" i="47"/>
  <c r="S25" i="48"/>
  <c r="U25" i="57"/>
  <c r="W25" i="60"/>
  <c r="T25"/>
  <c r="V25"/>
  <c r="U25"/>
  <c r="S21" i="50"/>
  <c r="S21" i="49"/>
  <c r="S21" i="55"/>
  <c r="S19" i="50"/>
  <c r="S19" i="49"/>
  <c r="S19" i="55"/>
  <c r="S19" i="59"/>
  <c r="S11" i="50"/>
  <c r="S11" i="49"/>
  <c r="S11" i="55"/>
  <c r="T11" i="58"/>
  <c r="U11"/>
  <c r="W11"/>
  <c r="V11"/>
  <c r="T42" i="45"/>
  <c r="U42"/>
  <c r="V42"/>
  <c r="W42"/>
  <c r="S42" i="47"/>
  <c r="S42" i="48"/>
  <c r="V42" i="59"/>
  <c r="U42"/>
  <c r="W42"/>
  <c r="T42"/>
  <c r="T42" i="60"/>
  <c r="U42"/>
  <c r="W42"/>
  <c r="V42"/>
  <c r="S40" i="50"/>
  <c r="S40" i="49"/>
  <c r="S40" i="55"/>
  <c r="W40" i="58"/>
  <c r="W35" i="45"/>
  <c r="T35"/>
  <c r="U35"/>
  <c r="V35"/>
  <c r="S35" i="47"/>
  <c r="S35" i="48"/>
  <c r="V35" i="60"/>
  <c r="W35"/>
  <c r="S33" i="50"/>
  <c r="S33" i="49"/>
  <c r="S33" i="55"/>
  <c r="T33" i="58"/>
  <c r="W33"/>
  <c r="U33"/>
  <c r="V33"/>
  <c r="V29" i="45"/>
  <c r="W29"/>
  <c r="T29"/>
  <c r="U29"/>
  <c r="S29" i="47"/>
  <c r="S29" i="48"/>
  <c r="W29" i="57"/>
  <c r="T29"/>
  <c r="U29"/>
  <c r="V29"/>
  <c r="W29" i="60"/>
  <c r="T29"/>
  <c r="V29"/>
  <c r="U29"/>
  <c r="S24" i="50"/>
  <c r="S24" i="49"/>
  <c r="S24" i="55"/>
  <c r="U24" i="58"/>
  <c r="V24"/>
  <c r="W24"/>
  <c r="T24"/>
  <c r="V18" i="50"/>
  <c r="T18" i="49"/>
  <c r="U18"/>
  <c r="W18" i="55"/>
  <c r="U18"/>
  <c r="T18"/>
  <c r="V18"/>
  <c r="S18" i="57"/>
  <c r="S15" i="45"/>
  <c r="S15" i="47"/>
  <c r="S15" i="48"/>
  <c r="S15" i="57"/>
  <c r="S15" i="60"/>
  <c r="U49" i="45"/>
  <c r="V49"/>
  <c r="W49"/>
  <c r="T49"/>
  <c r="S49" i="47"/>
  <c r="S49" i="48"/>
  <c r="W49" i="60"/>
  <c r="T49"/>
  <c r="U49"/>
  <c r="V49"/>
  <c r="S45" i="50"/>
  <c r="S45" i="49"/>
  <c r="S45" i="55"/>
  <c r="T45" i="58"/>
  <c r="U41" i="45"/>
  <c r="V41"/>
  <c r="W41"/>
  <c r="T41"/>
  <c r="S41" i="47"/>
  <c r="S41" i="48"/>
  <c r="S41" i="57"/>
  <c r="V41" i="60"/>
  <c r="W41"/>
  <c r="T41"/>
  <c r="U41"/>
  <c r="S23" i="45"/>
  <c r="S23" i="47"/>
  <c r="S23" i="48"/>
  <c r="S23" i="57"/>
  <c r="S23" i="60"/>
  <c r="S13" i="45"/>
  <c r="S13" i="47"/>
  <c r="S13" i="48"/>
  <c r="S13" i="60"/>
  <c r="S13" i="61"/>
  <c r="S52" i="50"/>
  <c r="S52" i="49"/>
  <c r="S52" i="55"/>
  <c r="S52" i="58"/>
  <c r="S50" i="45"/>
  <c r="S50" i="47"/>
  <c r="S50" i="48"/>
  <c r="S50" i="61"/>
  <c r="S50" i="60"/>
  <c r="S48" i="50"/>
  <c r="S48" i="49"/>
  <c r="S48" i="55"/>
  <c r="S48" i="58"/>
  <c r="S46" i="45"/>
  <c r="S46" i="47"/>
  <c r="S46" i="48"/>
  <c r="S46" i="59"/>
  <c r="S46" i="60"/>
  <c r="S44" i="50"/>
  <c r="S44" i="49"/>
  <c r="S44" i="55"/>
  <c r="S44" i="58"/>
  <c r="S38" i="45"/>
  <c r="S38" i="47"/>
  <c r="S38" i="48"/>
  <c r="S38" i="61"/>
  <c r="S38" i="60"/>
  <c r="S36" i="50"/>
  <c r="S36" i="49"/>
  <c r="S36" i="55"/>
  <c r="S36" i="58"/>
  <c r="S34" i="45"/>
  <c r="S34" i="47"/>
  <c r="S34" i="48"/>
  <c r="S34" i="59"/>
  <c r="S34" i="60"/>
  <c r="S30" i="45"/>
  <c r="S30" i="47"/>
  <c r="S30" i="48"/>
  <c r="S30" i="61"/>
  <c r="S30" i="60"/>
  <c r="S28" i="50"/>
  <c r="S28" i="49"/>
  <c r="S28" i="55"/>
  <c r="S28" i="58"/>
  <c r="S26" i="45"/>
  <c r="S26" i="47"/>
  <c r="S26" i="48"/>
  <c r="S26" i="59"/>
  <c r="S26" i="60"/>
  <c r="S20" i="50"/>
  <c r="S20" i="49"/>
  <c r="S20" i="55"/>
  <c r="S20" i="58"/>
  <c r="S14" i="45"/>
  <c r="S14" i="47"/>
  <c r="S14" i="48"/>
  <c r="S14" i="61"/>
  <c r="S14" i="60"/>
  <c r="S12" i="50"/>
  <c r="S12" i="49"/>
  <c r="S12" i="55"/>
  <c r="S12" i="57"/>
  <c r="T10" i="45"/>
  <c r="V10"/>
  <c r="V10" i="47"/>
  <c r="W10"/>
  <c r="T10"/>
  <c r="U10"/>
  <c r="V10" i="48"/>
  <c r="W10"/>
  <c r="T10"/>
  <c r="U10"/>
  <c r="V10" i="60"/>
  <c r="W10"/>
  <c r="U10"/>
  <c r="T10"/>
  <c r="T10" i="59"/>
  <c r="V10"/>
  <c r="U10"/>
  <c r="W10"/>
  <c r="S37" i="45"/>
  <c r="S37" i="47"/>
  <c r="S37" i="48"/>
  <c r="S37" i="57"/>
  <c r="S37" i="60"/>
  <c r="S31" i="50"/>
  <c r="S31" i="49"/>
  <c r="S31" i="55"/>
  <c r="S31" i="58"/>
  <c r="U27" i="45"/>
  <c r="V27"/>
  <c r="W27"/>
  <c r="T27"/>
  <c r="S27" i="47"/>
  <c r="S27" i="48"/>
  <c r="V27" i="60"/>
  <c r="T27"/>
  <c r="T22" i="50"/>
  <c r="U22"/>
  <c r="V22"/>
  <c r="W22"/>
  <c r="V22" i="49"/>
  <c r="W22"/>
  <c r="U22"/>
  <c r="T22"/>
  <c r="W22" i="55"/>
  <c r="T22"/>
  <c r="V22"/>
  <c r="U22"/>
  <c r="S22" i="57"/>
  <c r="S51" i="50"/>
  <c r="S51" i="49"/>
  <c r="S51" i="55"/>
  <c r="S51" i="59"/>
  <c r="S47" i="45"/>
  <c r="S47" i="47"/>
  <c r="S47" i="48"/>
  <c r="S47" i="61"/>
  <c r="S47" i="60"/>
  <c r="S17" i="45"/>
  <c r="S17" i="47"/>
  <c r="S17" i="48"/>
  <c r="S17" i="57"/>
  <c r="S17" i="60"/>
  <c r="S16" i="50"/>
  <c r="S16" i="49"/>
  <c r="S16" i="55"/>
  <c r="S16" i="58"/>
  <c r="S9" i="50"/>
  <c r="S9" i="49"/>
  <c r="S9" i="55"/>
  <c r="S9" i="58"/>
  <c r="T43" i="56"/>
  <c r="W43"/>
  <c r="V39" i="58"/>
  <c r="W39"/>
  <c r="T39"/>
  <c r="U39"/>
  <c r="T32" i="50"/>
  <c r="U32"/>
  <c r="W32"/>
  <c r="V32"/>
  <c r="W25"/>
  <c r="V25"/>
  <c r="T25"/>
  <c r="U25"/>
  <c r="V25" i="55"/>
  <c r="V21" i="47"/>
  <c r="W21"/>
  <c r="U21"/>
  <c r="T21"/>
  <c r="V21" i="57"/>
  <c r="U21"/>
  <c r="T21"/>
  <c r="W21"/>
  <c r="W19" i="45"/>
  <c r="T19"/>
  <c r="U19"/>
  <c r="V19"/>
  <c r="T19" i="60"/>
  <c r="W11" i="45"/>
  <c r="T11"/>
  <c r="U11"/>
  <c r="V11"/>
  <c r="T11" i="48"/>
  <c r="U11"/>
  <c r="W11"/>
  <c r="V11"/>
  <c r="W11" i="60"/>
  <c r="T11"/>
  <c r="V11"/>
  <c r="U11"/>
  <c r="T42" i="49"/>
  <c r="V42"/>
  <c r="W42"/>
  <c r="U42"/>
  <c r="U42" i="57"/>
  <c r="V40" i="60"/>
  <c r="V35" i="49"/>
  <c r="T35"/>
  <c r="U35"/>
  <c r="W35"/>
  <c r="V35" i="59"/>
  <c r="U33" i="57"/>
  <c r="T24" i="45"/>
  <c r="W24"/>
  <c r="U24"/>
  <c r="V24"/>
  <c r="U24" i="48"/>
  <c r="V24"/>
  <c r="W24"/>
  <c r="T24"/>
  <c r="T18" i="47"/>
  <c r="U18"/>
  <c r="V18"/>
  <c r="W18"/>
  <c r="V45"/>
  <c r="W41" i="50"/>
  <c r="V23" i="58"/>
  <c r="U23"/>
  <c r="W23"/>
  <c r="T23"/>
  <c r="S52" i="45"/>
  <c r="U50" i="49"/>
  <c r="V50"/>
  <c r="W50"/>
  <c r="T50"/>
  <c r="S48" i="45"/>
  <c r="U38" i="49"/>
  <c r="S38" i="57"/>
  <c r="W36" i="60"/>
  <c r="T36"/>
  <c r="U36"/>
  <c r="V36"/>
  <c r="W30" i="50"/>
  <c r="T30"/>
  <c r="U30"/>
  <c r="V30"/>
  <c r="S28" i="45"/>
  <c r="U28" i="48"/>
  <c r="V28"/>
  <c r="W28"/>
  <c r="T28"/>
  <c r="S28" i="59"/>
  <c r="T26" i="55"/>
  <c r="V26"/>
  <c r="W20" i="60"/>
  <c r="S14" i="57"/>
  <c r="S12" i="45"/>
  <c r="V12" i="48"/>
  <c r="W12"/>
  <c r="T12"/>
  <c r="U12"/>
  <c r="W10" i="55"/>
  <c r="V10"/>
  <c r="U10"/>
  <c r="T10"/>
  <c r="V37" i="49"/>
  <c r="T37"/>
  <c r="U37"/>
  <c r="W37"/>
  <c r="T37" i="58"/>
  <c r="S31" i="45"/>
  <c r="T27" i="49"/>
  <c r="U27"/>
  <c r="V27"/>
  <c r="W27"/>
  <c r="U22" i="45"/>
  <c r="U22" i="47"/>
  <c r="V22"/>
  <c r="W22"/>
  <c r="T22"/>
  <c r="V22" i="60"/>
  <c r="W22"/>
  <c r="U22"/>
  <c r="T22"/>
  <c r="U51"/>
  <c r="T51"/>
  <c r="V51"/>
  <c r="W51"/>
  <c r="S43" i="46"/>
  <c r="V43" i="54"/>
  <c r="S39" i="52"/>
  <c r="W39" i="56"/>
  <c r="T39"/>
  <c r="U39"/>
  <c r="V39"/>
  <c r="T32" i="43"/>
  <c r="V32"/>
  <c r="U32"/>
  <c r="W32"/>
  <c r="S25" i="51"/>
  <c r="S25" i="56"/>
  <c r="T21" i="53"/>
  <c r="V21"/>
  <c r="W21"/>
  <c r="U21"/>
  <c r="V21" i="59"/>
  <c r="U21"/>
  <c r="W21"/>
  <c r="T21"/>
  <c r="S19" i="46"/>
  <c r="S11"/>
  <c r="W11" i="57"/>
  <c r="T11"/>
  <c r="U11"/>
  <c r="V11"/>
  <c r="T42" i="43"/>
  <c r="U42"/>
  <c r="V42"/>
  <c r="W42"/>
  <c r="S42" i="52"/>
  <c r="S42" i="56"/>
  <c r="S40" i="46"/>
  <c r="T40" i="54"/>
  <c r="U40"/>
  <c r="V40"/>
  <c r="W40"/>
  <c r="W40" i="57"/>
  <c r="U40"/>
  <c r="V40"/>
  <c r="T40"/>
  <c r="U35" i="56"/>
  <c r="W35"/>
  <c r="T35"/>
  <c r="V35"/>
  <c r="S35" i="61"/>
  <c r="V33" i="53"/>
  <c r="T33"/>
  <c r="U33"/>
  <c r="W33"/>
  <c r="U33" i="59"/>
  <c r="T33"/>
  <c r="V33"/>
  <c r="W33"/>
  <c r="S29" i="51"/>
  <c r="S29" i="56"/>
  <c r="W24" i="53"/>
  <c r="V24"/>
  <c r="U24"/>
  <c r="T24"/>
  <c r="W24" i="57"/>
  <c r="V24"/>
  <c r="U24"/>
  <c r="T24"/>
  <c r="U18" i="53"/>
  <c r="V18"/>
  <c r="W18"/>
  <c r="T18"/>
  <c r="S18" i="61"/>
  <c r="V15" i="51"/>
  <c r="W15" i="56"/>
  <c r="U15"/>
  <c r="V15"/>
  <c r="T15"/>
  <c r="S49" i="57"/>
  <c r="S45" i="46"/>
  <c r="W45" i="54"/>
  <c r="S41" i="52"/>
  <c r="S41" i="61"/>
  <c r="U23" i="52"/>
  <c r="V23"/>
  <c r="W23"/>
  <c r="T23"/>
  <c r="S23" i="59"/>
  <c r="S13" i="51"/>
  <c r="S13" i="56"/>
  <c r="S13" i="58"/>
  <c r="S52" i="56"/>
  <c r="W50" i="51"/>
  <c r="T50"/>
  <c r="V50"/>
  <c r="U50"/>
  <c r="S50" i="52"/>
  <c r="T48" i="54"/>
  <c r="U48"/>
  <c r="S46" i="52"/>
  <c r="S46" i="58"/>
  <c r="S44" i="46"/>
  <c r="T44" i="54"/>
  <c r="W44"/>
  <c r="S36" i="46"/>
  <c r="V36" i="53"/>
  <c r="W36"/>
  <c r="U36"/>
  <c r="T36"/>
  <c r="T34" i="43"/>
  <c r="S30" i="51"/>
  <c r="S30" i="58"/>
  <c r="S28" i="46"/>
  <c r="V28" i="54"/>
  <c r="W28"/>
  <c r="T28"/>
  <c r="U28"/>
  <c r="S14" i="51"/>
  <c r="S14" i="52"/>
  <c r="S14" i="58"/>
  <c r="U12" i="53"/>
  <c r="T12"/>
  <c r="V12"/>
  <c r="W12"/>
  <c r="T10" i="43"/>
  <c r="U10"/>
  <c r="V10"/>
  <c r="W10"/>
  <c r="T10" i="56"/>
  <c r="W10"/>
  <c r="V10"/>
  <c r="U10"/>
  <c r="S37" i="51"/>
  <c r="S37" i="52"/>
  <c r="S37" i="61"/>
  <c r="V31" i="53"/>
  <c r="T31"/>
  <c r="U31"/>
  <c r="W31"/>
  <c r="V31" i="61"/>
  <c r="S27" i="51"/>
  <c r="S27" i="52"/>
  <c r="S27" i="61"/>
  <c r="T22" i="53"/>
  <c r="U22"/>
  <c r="V22"/>
  <c r="W22"/>
  <c r="U22" i="59"/>
  <c r="V22"/>
  <c r="W22"/>
  <c r="T22"/>
  <c r="U51" i="46"/>
  <c r="T51"/>
  <c r="V47" i="43"/>
  <c r="S47" i="52"/>
  <c r="S47" i="57"/>
  <c r="S17" i="43"/>
  <c r="T17" i="51"/>
  <c r="W17"/>
  <c r="U17"/>
  <c r="V17"/>
  <c r="T17" i="52"/>
  <c r="V17"/>
  <c r="U17"/>
  <c r="W17"/>
  <c r="S43" i="43"/>
  <c r="W43" i="52"/>
  <c r="S39" i="53"/>
  <c r="S39" i="54"/>
  <c r="S39" i="61"/>
  <c r="U32" i="46"/>
  <c r="S32" i="53"/>
  <c r="S32" i="54"/>
  <c r="S32" i="57"/>
  <c r="S25" i="53"/>
  <c r="S25" i="54"/>
  <c r="V25" i="59"/>
  <c r="U25"/>
  <c r="W25"/>
  <c r="T25"/>
  <c r="S21" i="43"/>
  <c r="U21" i="51"/>
  <c r="W21"/>
  <c r="V21" i="52"/>
  <c r="T21"/>
  <c r="U21"/>
  <c r="W21"/>
  <c r="T21" i="61"/>
  <c r="S19" i="43"/>
  <c r="V19" i="51"/>
  <c r="W19" i="52"/>
  <c r="T19"/>
  <c r="U19"/>
  <c r="V19"/>
  <c r="T19" i="56"/>
  <c r="U19"/>
  <c r="W19"/>
  <c r="V19"/>
  <c r="S11" i="43"/>
  <c r="U11" i="51"/>
  <c r="W11" i="52"/>
  <c r="T11"/>
  <c r="U11"/>
  <c r="V11"/>
  <c r="T11" i="56"/>
  <c r="U11"/>
  <c r="V11"/>
  <c r="W11"/>
  <c r="S11" i="59"/>
  <c r="S42" i="53"/>
  <c r="S42" i="54"/>
  <c r="S42" i="61"/>
  <c r="S40" i="43"/>
  <c r="S40" i="56"/>
  <c r="W40" i="61"/>
  <c r="V40"/>
  <c r="U35" i="46"/>
  <c r="S35" i="53"/>
  <c r="S35" i="54"/>
  <c r="S35" i="58"/>
  <c r="S33" i="43"/>
  <c r="T33" i="52"/>
  <c r="S33" i="56"/>
  <c r="V33" i="61"/>
  <c r="U33"/>
  <c r="T29" i="46"/>
  <c r="U29"/>
  <c r="V29"/>
  <c r="W29"/>
  <c r="S29" i="53"/>
  <c r="S29" i="54"/>
  <c r="T29" i="59"/>
  <c r="U29"/>
  <c r="V29"/>
  <c r="W29"/>
  <c r="S24" i="43"/>
  <c r="U24" i="52"/>
  <c r="S24" i="56"/>
  <c r="U24" i="61"/>
  <c r="W24"/>
  <c r="V24"/>
  <c r="T24"/>
  <c r="V18" i="43"/>
  <c r="U18"/>
  <c r="W18"/>
  <c r="T18"/>
  <c r="S18" i="51"/>
  <c r="S18" i="52"/>
  <c r="W18" i="56"/>
  <c r="U18"/>
  <c r="V18"/>
  <c r="T18"/>
  <c r="S18" i="58"/>
  <c r="S15" i="46"/>
  <c r="S15" i="53"/>
  <c r="S15" i="54"/>
  <c r="S15" i="61"/>
  <c r="S49" i="46"/>
  <c r="S49" i="53"/>
  <c r="S49" i="54"/>
  <c r="U49" i="56"/>
  <c r="V49"/>
  <c r="W49"/>
  <c r="T49"/>
  <c r="S45" i="43"/>
  <c r="T45" i="57"/>
  <c r="U45"/>
  <c r="W45" i="61"/>
  <c r="U45"/>
  <c r="S41" i="53"/>
  <c r="S41" i="54"/>
  <c r="W41" i="59"/>
  <c r="U41"/>
  <c r="V41"/>
  <c r="T41"/>
  <c r="S23" i="46"/>
  <c r="S23" i="53"/>
  <c r="S23" i="54"/>
  <c r="S23" i="61"/>
  <c r="S13" i="46"/>
  <c r="S13" i="53"/>
  <c r="S13" i="54"/>
  <c r="S13" i="57"/>
  <c r="S52" i="43"/>
  <c r="S52" i="51"/>
  <c r="S52" i="52"/>
  <c r="S52" i="59"/>
  <c r="S52" i="61"/>
  <c r="S50" i="46"/>
  <c r="S50" i="53"/>
  <c r="S50" i="54"/>
  <c r="S50" i="57"/>
  <c r="S48" i="43"/>
  <c r="S48" i="51"/>
  <c r="S48" i="52"/>
  <c r="S48" i="59"/>
  <c r="S48" i="61"/>
  <c r="S46" i="46"/>
  <c r="S46" i="53"/>
  <c r="S46" i="54"/>
  <c r="S46" i="57"/>
  <c r="S44" i="43"/>
  <c r="S44" i="51"/>
  <c r="S44" i="52"/>
  <c r="S44" i="59"/>
  <c r="S44" i="61"/>
  <c r="S38" i="46"/>
  <c r="S38" i="53"/>
  <c r="S38" i="54"/>
  <c r="S38" i="59"/>
  <c r="S36" i="43"/>
  <c r="S36" i="51"/>
  <c r="S36" i="52"/>
  <c r="S36" i="56"/>
  <c r="S36" i="61"/>
  <c r="S34" i="46"/>
  <c r="S34" i="53"/>
  <c r="S34" i="54"/>
  <c r="S34" i="61"/>
  <c r="S30" i="46"/>
  <c r="S30" i="53"/>
  <c r="S30" i="54"/>
  <c r="S30" i="59"/>
  <c r="S28" i="43"/>
  <c r="S28" i="51"/>
  <c r="S28" i="52"/>
  <c r="S28" i="56"/>
  <c r="S28" i="61"/>
  <c r="S26" i="46"/>
  <c r="S26" i="53"/>
  <c r="S26" i="54"/>
  <c r="S26" i="61"/>
  <c r="S20" i="43"/>
  <c r="S20" i="51"/>
  <c r="S20" i="52"/>
  <c r="S20" i="56"/>
  <c r="S20" i="61"/>
  <c r="S14" i="46"/>
  <c r="S14" i="53"/>
  <c r="S14" i="54"/>
  <c r="S14" i="59"/>
  <c r="S12" i="43"/>
  <c r="S12" i="51"/>
  <c r="S12" i="52"/>
  <c r="S12" i="56"/>
  <c r="S12" i="58"/>
  <c r="U10" i="53"/>
  <c r="W10"/>
  <c r="T10"/>
  <c r="V10"/>
  <c r="T10" i="54"/>
  <c r="U10"/>
  <c r="V10"/>
  <c r="W10"/>
  <c r="V10" i="61"/>
  <c r="S37" i="46"/>
  <c r="S37" i="53"/>
  <c r="S37" i="54"/>
  <c r="S37" i="59"/>
  <c r="S31" i="43"/>
  <c r="S31" i="51"/>
  <c r="S31" i="52"/>
  <c r="S31" i="56"/>
  <c r="S31" i="59"/>
  <c r="V27" i="46"/>
  <c r="W27"/>
  <c r="U27"/>
  <c r="T27"/>
  <c r="S27" i="53"/>
  <c r="S27" i="54"/>
  <c r="S27" i="58"/>
  <c r="T22" i="43"/>
  <c r="V22"/>
  <c r="U22"/>
  <c r="W22"/>
  <c r="S22" i="51"/>
  <c r="S22" i="52"/>
  <c r="V22" i="56"/>
  <c r="W22"/>
  <c r="T22"/>
  <c r="U22"/>
  <c r="S22" i="58"/>
  <c r="S51" i="43"/>
  <c r="S51" i="51"/>
  <c r="S51" i="52"/>
  <c r="S51" i="57"/>
  <c r="S51" i="61"/>
  <c r="S47" i="46"/>
  <c r="S47" i="53"/>
  <c r="S47" i="54"/>
  <c r="S47" i="56"/>
  <c r="S17" i="46"/>
  <c r="S17" i="53"/>
  <c r="S17" i="54"/>
  <c r="S17" i="59"/>
  <c r="S16" i="43"/>
  <c r="S16" i="51"/>
  <c r="S16" i="52"/>
  <c r="S16" i="56"/>
  <c r="S16" i="61"/>
  <c r="S9" i="43"/>
  <c r="S9" i="51"/>
  <c r="S9" i="52"/>
  <c r="S9" i="56"/>
  <c r="S9" i="59"/>
  <c r="S16" i="45"/>
  <c r="S16" i="47"/>
  <c r="S16" i="48"/>
  <c r="S16" i="59"/>
  <c r="S16" i="60"/>
  <c r="S9" i="45"/>
  <c r="S9" i="47"/>
  <c r="S9" i="48"/>
  <c r="S9" i="60"/>
  <c r="S9" i="61"/>
  <c r="E17" i="27"/>
  <c r="C17"/>
  <c r="V52" i="48" l="1"/>
  <c r="W52"/>
  <c r="T52"/>
  <c r="U52" i="46"/>
  <c r="W52"/>
  <c r="T51" i="47"/>
  <c r="U51"/>
  <c r="W51"/>
  <c r="W51" i="53"/>
  <c r="U51"/>
  <c r="W51" i="46"/>
  <c r="U51" i="58"/>
  <c r="T49" i="51"/>
  <c r="V48" i="54"/>
  <c r="V48" i="57"/>
  <c r="W48"/>
  <c r="T48" i="53"/>
  <c r="U48" i="48"/>
  <c r="W48" i="53"/>
  <c r="T47" i="51"/>
  <c r="V19" i="58"/>
  <c r="W19"/>
  <c r="T40" i="48"/>
  <c r="W49" i="43"/>
  <c r="U49" i="55"/>
  <c r="W31" i="47"/>
  <c r="V22" i="48"/>
  <c r="U31" i="47"/>
  <c r="W11" i="53"/>
  <c r="U22" i="48"/>
  <c r="V37" i="50"/>
  <c r="U47" i="58"/>
  <c r="T47"/>
  <c r="U46" i="49"/>
  <c r="T48" i="48"/>
  <c r="W48"/>
  <c r="V47" i="58"/>
  <c r="W49"/>
  <c r="V49" i="55"/>
  <c r="V46"/>
  <c r="T49"/>
  <c r="V48" i="53"/>
  <c r="V49" i="51"/>
  <c r="U49"/>
  <c r="U47" i="50"/>
  <c r="T47"/>
  <c r="W47"/>
  <c r="T46" i="49"/>
  <c r="V46"/>
  <c r="U47" i="43"/>
  <c r="W47"/>
  <c r="W45" i="57"/>
  <c r="W45" i="59"/>
  <c r="W45" i="53"/>
  <c r="U45" i="47"/>
  <c r="T45"/>
  <c r="T32" i="56"/>
  <c r="T47" i="49"/>
  <c r="W10"/>
  <c r="V49"/>
  <c r="U39"/>
  <c r="W27" i="43"/>
  <c r="V40" i="48"/>
  <c r="W24" i="51"/>
  <c r="V18" i="59"/>
  <c r="T49"/>
  <c r="U52" i="53"/>
  <c r="W48" i="60"/>
  <c r="V21" i="58"/>
  <c r="W17" i="56"/>
  <c r="T27" i="59"/>
  <c r="U44" i="53"/>
  <c r="T44" i="48"/>
  <c r="W44" i="53"/>
  <c r="U43" i="47"/>
  <c r="T43"/>
  <c r="V43"/>
  <c r="T43" i="52"/>
  <c r="U43" i="54"/>
  <c r="U43" i="52"/>
  <c r="T43" i="54"/>
  <c r="T43" i="48"/>
  <c r="T42" i="58"/>
  <c r="U41" i="49"/>
  <c r="W41" i="58"/>
  <c r="V40"/>
  <c r="W40" i="48"/>
  <c r="U40" i="58"/>
  <c r="F59" i="3"/>
  <c r="E59"/>
  <c r="D59"/>
  <c r="C59"/>
  <c r="F61"/>
  <c r="E61"/>
  <c r="D61"/>
  <c r="C61"/>
  <c r="U38" i="50"/>
  <c r="F51" i="3"/>
  <c r="E51"/>
  <c r="D51"/>
  <c r="C51"/>
  <c r="W38" i="56"/>
  <c r="F60" i="3"/>
  <c r="E60"/>
  <c r="D60"/>
  <c r="C60"/>
  <c r="F50"/>
  <c r="E50"/>
  <c r="D50"/>
  <c r="C50"/>
  <c r="F67"/>
  <c r="E67"/>
  <c r="D67"/>
  <c r="C67"/>
  <c r="F68"/>
  <c r="E68"/>
  <c r="D68"/>
  <c r="C68"/>
  <c r="F56"/>
  <c r="E56"/>
  <c r="D56"/>
  <c r="C56"/>
  <c r="W38" i="43"/>
  <c r="F54" i="3"/>
  <c r="E54"/>
  <c r="D54"/>
  <c r="C54"/>
  <c r="F62"/>
  <c r="E62"/>
  <c r="D62"/>
  <c r="C62"/>
  <c r="F64"/>
  <c r="E64"/>
  <c r="D64"/>
  <c r="C64"/>
  <c r="F65"/>
  <c r="E65"/>
  <c r="D65"/>
  <c r="C65"/>
  <c r="F58"/>
  <c r="E58"/>
  <c r="D58"/>
  <c r="C58"/>
  <c r="T38" i="55"/>
  <c r="F52" i="3"/>
  <c r="E52"/>
  <c r="D52"/>
  <c r="C52"/>
  <c r="F55"/>
  <c r="E55"/>
  <c r="D55"/>
  <c r="C55"/>
  <c r="F63"/>
  <c r="E63"/>
  <c r="D63"/>
  <c r="C63"/>
  <c r="F57"/>
  <c r="E57"/>
  <c r="D57"/>
  <c r="C57"/>
  <c r="T38" i="49"/>
  <c r="F66" i="3"/>
  <c r="E66"/>
  <c r="D66"/>
  <c r="C66"/>
  <c r="T40" i="61"/>
  <c r="W43" i="57"/>
  <c r="T43"/>
  <c r="T42"/>
  <c r="W42"/>
  <c r="U39"/>
  <c r="T39"/>
  <c r="V39"/>
  <c r="V45" i="59"/>
  <c r="U45"/>
  <c r="W45" i="58"/>
  <c r="V45"/>
  <c r="T43"/>
  <c r="W42" i="55"/>
  <c r="U38"/>
  <c r="V38"/>
  <c r="V45" i="54"/>
  <c r="T45"/>
  <c r="V44"/>
  <c r="V41" i="50"/>
  <c r="T41"/>
  <c r="W39"/>
  <c r="U39"/>
  <c r="V41" i="49"/>
  <c r="W38"/>
  <c r="V38"/>
  <c r="T42" i="46"/>
  <c r="U42"/>
  <c r="T41" i="43"/>
  <c r="V45" i="53"/>
  <c r="T45"/>
  <c r="T43"/>
  <c r="U43"/>
  <c r="W40" i="60"/>
  <c r="W39"/>
  <c r="V39"/>
  <c r="V43" i="56"/>
  <c r="W41"/>
  <c r="W45" i="48"/>
  <c r="V44"/>
  <c r="U44"/>
  <c r="U43"/>
  <c r="T45" i="61"/>
  <c r="T40" i="60"/>
  <c r="V43" i="58"/>
  <c r="V41"/>
  <c r="V43" i="57"/>
  <c r="V44"/>
  <c r="U41" i="56"/>
  <c r="T41"/>
  <c r="W40" i="52"/>
  <c r="V40" i="51"/>
  <c r="W41" i="49"/>
  <c r="V45" i="48"/>
  <c r="U45"/>
  <c r="U40" i="47"/>
  <c r="V42" i="46"/>
  <c r="W41"/>
  <c r="W39" i="43"/>
  <c r="W10" i="46"/>
  <c r="V24" i="51"/>
  <c r="V33"/>
  <c r="T40"/>
  <c r="W43" i="61"/>
  <c r="U24" i="51"/>
  <c r="W33"/>
  <c r="W40"/>
  <c r="T51" i="54"/>
  <c r="T37" i="43"/>
  <c r="U26"/>
  <c r="U41"/>
  <c r="U32" i="56"/>
  <c r="V39" i="43"/>
  <c r="U17" i="49"/>
  <c r="W46" i="56"/>
  <c r="V52" i="60"/>
  <c r="W41" i="55"/>
  <c r="T49" i="49"/>
  <c r="W18" i="59"/>
  <c r="V29" i="50"/>
  <c r="V39" i="49"/>
  <c r="U49" i="59"/>
  <c r="T21" i="58"/>
  <c r="V17" i="56"/>
  <c r="U27" i="43"/>
  <c r="T50" i="59"/>
  <c r="T49" i="43"/>
  <c r="W11" i="54"/>
  <c r="W19" i="53"/>
  <c r="U27" i="59"/>
  <c r="V31" i="47"/>
  <c r="V42" i="55"/>
  <c r="U25" i="49"/>
  <c r="T45" i="51"/>
  <c r="W21" i="56"/>
  <c r="V38" i="43"/>
  <c r="W46"/>
  <c r="W41"/>
  <c r="W32" i="56"/>
  <c r="U39" i="43"/>
  <c r="U13" i="55"/>
  <c r="U49" i="49"/>
  <c r="T15" i="58"/>
  <c r="T18" i="59"/>
  <c r="V33" i="47"/>
  <c r="T39" i="49"/>
  <c r="W49" i="59"/>
  <c r="V35" i="57"/>
  <c r="U21" i="58"/>
  <c r="U17" i="56"/>
  <c r="V27" i="43"/>
  <c r="V49"/>
  <c r="V27" i="59"/>
  <c r="U42" i="55"/>
  <c r="T25" i="49"/>
  <c r="U26" i="50"/>
  <c r="W44" i="60"/>
  <c r="T50" i="56"/>
  <c r="T13" i="50"/>
  <c r="W29"/>
  <c r="W33" i="47"/>
  <c r="U47" i="59"/>
  <c r="V19" i="53"/>
  <c r="V43" i="60"/>
  <c r="U37" i="43"/>
  <c r="U37" i="50"/>
  <c r="V37" i="43"/>
  <c r="W37" i="50"/>
  <c r="W36" i="47"/>
  <c r="W36" i="57"/>
  <c r="W35"/>
  <c r="T35" i="60"/>
  <c r="T35" i="57"/>
  <c r="T35" i="59"/>
  <c r="T35" i="46"/>
  <c r="W35" i="59"/>
  <c r="V35" i="46"/>
  <c r="U34" i="56"/>
  <c r="U34" i="50"/>
  <c r="W34" i="56"/>
  <c r="W34" i="50"/>
  <c r="V34" i="56"/>
  <c r="T34" i="50"/>
  <c r="T33" i="51"/>
  <c r="T33" i="47"/>
  <c r="W33" i="61"/>
  <c r="T32" i="46"/>
  <c r="V32"/>
  <c r="V33" i="52"/>
  <c r="V40"/>
  <c r="W11" i="51"/>
  <c r="T25" i="46"/>
  <c r="T39"/>
  <c r="W31" i="61"/>
  <c r="V34" i="43"/>
  <c r="V38" i="56"/>
  <c r="T15" i="51"/>
  <c r="W22" i="45"/>
  <c r="V33" i="57"/>
  <c r="T40" i="47"/>
  <c r="T29" i="49"/>
  <c r="V17" i="58"/>
  <c r="U10" i="61"/>
  <c r="U45" i="52"/>
  <c r="U33"/>
  <c r="U40"/>
  <c r="T43" i="51"/>
  <c r="W48" i="46"/>
  <c r="V19" i="54"/>
  <c r="V22" i="45"/>
  <c r="V44" i="47"/>
  <c r="T33" i="57"/>
  <c r="W40" i="47"/>
  <c r="V46" i="51"/>
  <c r="T52" i="54"/>
  <c r="T13" i="49"/>
  <c r="U29"/>
  <c r="W45" i="52"/>
  <c r="V39" i="46"/>
  <c r="V43" i="51"/>
  <c r="T38" i="56"/>
  <c r="U48" i="46"/>
  <c r="W23" i="51"/>
  <c r="T19" i="54"/>
  <c r="U31" i="60"/>
  <c r="V23" i="50"/>
  <c r="V32" i="55"/>
  <c r="T37" i="56"/>
  <c r="T28" i="53"/>
  <c r="W18" i="46"/>
  <c r="V47" i="55"/>
  <c r="T20" i="48"/>
  <c r="V38" i="50"/>
  <c r="V32" i="58"/>
  <c r="W31" i="54"/>
  <c r="T31" i="48"/>
  <c r="V31"/>
  <c r="U31" i="54"/>
  <c r="U31" i="48"/>
  <c r="T31" i="54"/>
  <c r="W30" i="55"/>
  <c r="T30" i="56"/>
  <c r="V30" i="43"/>
  <c r="U30"/>
  <c r="U30" i="49"/>
  <c r="W30" i="43"/>
  <c r="T30" i="49"/>
  <c r="U29" i="50"/>
  <c r="W29" i="58"/>
  <c r="W29" i="55"/>
  <c r="U28" i="57"/>
  <c r="U28" i="60"/>
  <c r="V28" i="57"/>
  <c r="V28" i="60"/>
  <c r="W17" i="58"/>
  <c r="T10" i="61"/>
  <c r="T45" i="52"/>
  <c r="V11" i="51"/>
  <c r="U25" i="46"/>
  <c r="W39"/>
  <c r="U43" i="51"/>
  <c r="T31" i="61"/>
  <c r="W34" i="43"/>
  <c r="U38" i="56"/>
  <c r="V48" i="46"/>
  <c r="W15" i="51"/>
  <c r="U19" i="54"/>
  <c r="T31" i="60"/>
  <c r="W37" i="58"/>
  <c r="W34" i="55"/>
  <c r="W44" i="47"/>
  <c r="V49" i="58"/>
  <c r="U29" i="55"/>
  <c r="V19" i="60"/>
  <c r="W32" i="55"/>
  <c r="T25" i="57"/>
  <c r="W51" i="58"/>
  <c r="U37" i="56"/>
  <c r="W10" i="52"/>
  <c r="W28" i="53"/>
  <c r="U46" i="51"/>
  <c r="U52" i="54"/>
  <c r="U18" i="46"/>
  <c r="V50" i="50"/>
  <c r="U13" i="49"/>
  <c r="T49" i="50"/>
  <c r="V18" i="60"/>
  <c r="U11" i="47"/>
  <c r="T32" i="58"/>
  <c r="U49"/>
  <c r="T29" i="55"/>
  <c r="U19" i="60"/>
  <c r="T32" i="55"/>
  <c r="W25" i="57"/>
  <c r="V51" i="58"/>
  <c r="W37" i="56"/>
  <c r="V28" i="53"/>
  <c r="T46" i="51"/>
  <c r="W52" i="54"/>
  <c r="V18" i="46"/>
  <c r="W28" i="47"/>
  <c r="U36" i="48"/>
  <c r="W46" i="50"/>
  <c r="U52" i="47"/>
  <c r="W13" i="49"/>
  <c r="U49" i="50"/>
  <c r="U32" i="58"/>
  <c r="T34" i="55"/>
  <c r="V23" i="51"/>
  <c r="V31" i="60"/>
  <c r="U37" i="58"/>
  <c r="W12" i="61"/>
  <c r="U34" i="55"/>
  <c r="U44" i="47"/>
  <c r="U23" i="50"/>
  <c r="W50"/>
  <c r="W52" i="47"/>
  <c r="T11"/>
  <c r="W27" i="60"/>
  <c r="U27" i="57"/>
  <c r="W27"/>
  <c r="T27"/>
  <c r="U26" i="55"/>
  <c r="V26" i="57"/>
  <c r="V26" i="58"/>
  <c r="U26" i="57"/>
  <c r="W26" i="58"/>
  <c r="T26" i="57"/>
  <c r="T26" i="58"/>
  <c r="W25" i="55"/>
  <c r="U25" i="43"/>
  <c r="V25" i="58"/>
  <c r="U25" i="55"/>
  <c r="V25" i="43"/>
  <c r="T25" i="58"/>
  <c r="W25" i="46"/>
  <c r="W24" i="52"/>
  <c r="T24"/>
  <c r="T24" i="60"/>
  <c r="T23" i="51"/>
  <c r="W23" i="50"/>
  <c r="V21" i="61"/>
  <c r="W21"/>
  <c r="V21" i="51"/>
  <c r="T20" i="60"/>
  <c r="W20" i="53"/>
  <c r="V20" i="57"/>
  <c r="U20" i="53"/>
  <c r="T20"/>
  <c r="V20" i="60"/>
  <c r="V20" i="47"/>
  <c r="V20" i="54"/>
  <c r="U20"/>
  <c r="T20"/>
  <c r="T10" i="52"/>
  <c r="T51" i="56"/>
  <c r="U14" i="55"/>
  <c r="U28" i="47"/>
  <c r="U48"/>
  <c r="U10" i="52"/>
  <c r="V51" i="56"/>
  <c r="V26" i="49"/>
  <c r="V28" i="47"/>
  <c r="W36" i="48"/>
  <c r="W38" i="50"/>
  <c r="T46"/>
  <c r="W48" i="47"/>
  <c r="V20" i="48"/>
  <c r="U26" i="49"/>
  <c r="V36" i="48"/>
  <c r="T38" i="50"/>
  <c r="U46"/>
  <c r="V48" i="47"/>
  <c r="U19" i="61"/>
  <c r="W19" i="47"/>
  <c r="T19" i="53"/>
  <c r="T19" i="57"/>
  <c r="W19" i="51"/>
  <c r="T19"/>
  <c r="V18" i="49"/>
  <c r="T18" i="50"/>
  <c r="T18" i="45"/>
  <c r="W18" i="50"/>
  <c r="U18" i="45"/>
  <c r="T17" i="58"/>
  <c r="T17" i="50"/>
  <c r="T41" i="46"/>
  <c r="U45" i="51"/>
  <c r="W19" i="61"/>
  <c r="V21" i="56"/>
  <c r="T43" i="61"/>
  <c r="U51" i="54"/>
  <c r="V10" i="51"/>
  <c r="W20" i="57"/>
  <c r="W26" i="43"/>
  <c r="V30" i="56"/>
  <c r="T38" i="43"/>
  <c r="U46"/>
  <c r="V52" i="53"/>
  <c r="W17" i="49"/>
  <c r="V47"/>
  <c r="U10"/>
  <c r="T20" i="47"/>
  <c r="V26" i="50"/>
  <c r="U30" i="55"/>
  <c r="U36" i="47"/>
  <c r="T44" i="60"/>
  <c r="T46" i="56"/>
  <c r="T48" i="60"/>
  <c r="U50" i="56"/>
  <c r="W52" i="60"/>
  <c r="W13" i="50"/>
  <c r="U41" i="55"/>
  <c r="U15" i="58"/>
  <c r="U24" i="60"/>
  <c r="U19" i="47"/>
  <c r="V47" i="59"/>
  <c r="U36" i="57"/>
  <c r="V50" i="59"/>
  <c r="T31" i="57"/>
  <c r="V37" i="55"/>
  <c r="W19" i="57"/>
  <c r="W43" i="60"/>
  <c r="V41" i="46"/>
  <c r="V45" i="51"/>
  <c r="V19" i="61"/>
  <c r="U21" i="56"/>
  <c r="U43" i="61"/>
  <c r="W51" i="54"/>
  <c r="T20" i="57"/>
  <c r="V26" i="43"/>
  <c r="U30" i="56"/>
  <c r="U38" i="43"/>
  <c r="V46"/>
  <c r="T52" i="53"/>
  <c r="V17" i="49"/>
  <c r="W47"/>
  <c r="T10"/>
  <c r="W20" i="47"/>
  <c r="T26" i="50"/>
  <c r="V30" i="55"/>
  <c r="V36" i="47"/>
  <c r="V44" i="60"/>
  <c r="V46" i="56"/>
  <c r="V48" i="60"/>
  <c r="W50" i="56"/>
  <c r="U52" i="60"/>
  <c r="V13" i="50"/>
  <c r="T41" i="55"/>
  <c r="V15" i="58"/>
  <c r="V24" i="60"/>
  <c r="T19" i="47"/>
  <c r="W47" i="59"/>
  <c r="V36" i="57"/>
  <c r="U50" i="59"/>
  <c r="T47" i="55"/>
  <c r="U51" i="56"/>
  <c r="U20" i="48"/>
  <c r="W26" i="49"/>
  <c r="T50" i="50"/>
  <c r="V52" i="47"/>
  <c r="V49" i="50"/>
  <c r="T18" i="60"/>
  <c r="T18" i="48"/>
  <c r="V19" i="57"/>
  <c r="T43" i="60"/>
  <c r="U10" i="46"/>
  <c r="T10" i="51"/>
  <c r="W13" i="43"/>
  <c r="W47" i="55"/>
  <c r="T51" i="48"/>
  <c r="T34" i="49"/>
  <c r="U39" i="55"/>
  <c r="W15" i="52"/>
  <c r="V15" i="50"/>
  <c r="T15" i="52"/>
  <c r="U15" i="50"/>
  <c r="T15"/>
  <c r="V14" i="43"/>
  <c r="V14" i="49"/>
  <c r="W14" i="43"/>
  <c r="T14" i="49"/>
  <c r="T14" i="43"/>
  <c r="T14" i="55"/>
  <c r="W14" i="49"/>
  <c r="V14" i="55"/>
  <c r="T13"/>
  <c r="V13"/>
  <c r="U13" i="43"/>
  <c r="T13"/>
  <c r="V12" i="61"/>
  <c r="T12"/>
  <c r="T12" i="54"/>
  <c r="T12" i="47"/>
  <c r="U12" i="54"/>
  <c r="W12" i="47"/>
  <c r="V12" i="54"/>
  <c r="V12" i="47"/>
  <c r="V12" i="59"/>
  <c r="V51" i="48"/>
  <c r="W31" i="57"/>
  <c r="T37" i="55"/>
  <c r="T12" i="59"/>
  <c r="W34" i="49"/>
  <c r="U18" i="48"/>
  <c r="T39" i="55"/>
  <c r="U51" i="48"/>
  <c r="V31" i="57"/>
  <c r="U37" i="55"/>
  <c r="W12" i="59"/>
  <c r="V34" i="49"/>
  <c r="W18" i="48"/>
  <c r="W39" i="55"/>
  <c r="T11" i="54"/>
  <c r="T11" i="53"/>
  <c r="U11"/>
  <c r="T10" i="46"/>
  <c r="U10" i="51"/>
  <c r="U10" i="45"/>
  <c r="U36"/>
  <c r="V36"/>
  <c r="W36"/>
  <c r="T36"/>
  <c r="U9" i="57"/>
  <c r="V9"/>
  <c r="W9"/>
  <c r="T9"/>
  <c r="V16"/>
  <c r="T16"/>
  <c r="W16"/>
  <c r="U16"/>
  <c r="T16" i="54"/>
  <c r="U16"/>
  <c r="V16"/>
  <c r="W16"/>
  <c r="W9" i="47"/>
  <c r="T9"/>
  <c r="U9"/>
  <c r="V9"/>
  <c r="T9" i="56"/>
  <c r="W9"/>
  <c r="V9"/>
  <c r="U9"/>
  <c r="W17" i="46"/>
  <c r="T17"/>
  <c r="U17"/>
  <c r="V17"/>
  <c r="U51" i="51"/>
  <c r="V51"/>
  <c r="W51"/>
  <c r="T51"/>
  <c r="T31" i="59"/>
  <c r="V31"/>
  <c r="W31"/>
  <c r="U31"/>
  <c r="V37" i="46"/>
  <c r="W37"/>
  <c r="T37"/>
  <c r="U37"/>
  <c r="V14" i="53"/>
  <c r="T14"/>
  <c r="U14"/>
  <c r="W14"/>
  <c r="T26" i="54"/>
  <c r="U26"/>
  <c r="V26"/>
  <c r="W26"/>
  <c r="W30" i="59"/>
  <c r="T30"/>
  <c r="U30"/>
  <c r="V30"/>
  <c r="W36" i="61"/>
  <c r="U36"/>
  <c r="T36"/>
  <c r="V36"/>
  <c r="W38" i="46"/>
  <c r="U38"/>
  <c r="V38"/>
  <c r="T38"/>
  <c r="W46" i="53"/>
  <c r="V46"/>
  <c r="U46"/>
  <c r="T46"/>
  <c r="V50" i="54"/>
  <c r="T50"/>
  <c r="U50"/>
  <c r="W50"/>
  <c r="U13" i="57"/>
  <c r="T13"/>
  <c r="V13"/>
  <c r="W13"/>
  <c r="W41" i="54"/>
  <c r="T41"/>
  <c r="U41"/>
  <c r="V41"/>
  <c r="W49" i="53"/>
  <c r="U49"/>
  <c r="V49"/>
  <c r="T49"/>
  <c r="W18" i="51"/>
  <c r="T18"/>
  <c r="U18"/>
  <c r="V18"/>
  <c r="U35" i="54"/>
  <c r="V35"/>
  <c r="W35"/>
  <c r="T35"/>
  <c r="U11" i="43"/>
  <c r="W11"/>
  <c r="V11"/>
  <c r="T11"/>
  <c r="W25" i="53"/>
  <c r="T25"/>
  <c r="V25"/>
  <c r="U25"/>
  <c r="W37" i="51"/>
  <c r="V37"/>
  <c r="T37"/>
  <c r="U37"/>
  <c r="W28" i="46"/>
  <c r="T28"/>
  <c r="U28"/>
  <c r="V28"/>
  <c r="T52" i="56"/>
  <c r="V52"/>
  <c r="W52"/>
  <c r="U52"/>
  <c r="V11" i="46"/>
  <c r="T11"/>
  <c r="U11"/>
  <c r="W11"/>
  <c r="W39" i="52"/>
  <c r="T39"/>
  <c r="U39"/>
  <c r="V39"/>
  <c r="V14" i="57"/>
  <c r="T14"/>
  <c r="W14"/>
  <c r="U14"/>
  <c r="V48" i="45"/>
  <c r="W48"/>
  <c r="T48"/>
  <c r="U48"/>
  <c r="V16" i="49"/>
  <c r="U16"/>
  <c r="W16"/>
  <c r="T16"/>
  <c r="T47" i="61"/>
  <c r="V47"/>
  <c r="U47"/>
  <c r="W47"/>
  <c r="W51" i="59"/>
  <c r="U51"/>
  <c r="V51"/>
  <c r="T51"/>
  <c r="U37" i="57"/>
  <c r="T37"/>
  <c r="V37"/>
  <c r="W37"/>
  <c r="V12"/>
  <c r="T12"/>
  <c r="W12"/>
  <c r="U12"/>
  <c r="V20" i="50"/>
  <c r="W20"/>
  <c r="T20"/>
  <c r="U20"/>
  <c r="T28" i="49"/>
  <c r="V28"/>
  <c r="W28"/>
  <c r="U28"/>
  <c r="T34" i="59"/>
  <c r="U34"/>
  <c r="V34"/>
  <c r="W34"/>
  <c r="U38" i="60"/>
  <c r="V38"/>
  <c r="W38"/>
  <c r="T38"/>
  <c r="W44" i="50"/>
  <c r="U44"/>
  <c r="V44"/>
  <c r="T44"/>
  <c r="T50" i="48"/>
  <c r="W50"/>
  <c r="V50"/>
  <c r="U50"/>
  <c r="U13" i="60"/>
  <c r="V13"/>
  <c r="T13"/>
  <c r="W13"/>
  <c r="U23" i="45"/>
  <c r="T23"/>
  <c r="V23"/>
  <c r="W23"/>
  <c r="U45" i="55"/>
  <c r="V45"/>
  <c r="W45"/>
  <c r="T45"/>
  <c r="T24" i="49"/>
  <c r="V24"/>
  <c r="U24"/>
  <c r="W24"/>
  <c r="U35" i="47"/>
  <c r="W35"/>
  <c r="T35"/>
  <c r="V35"/>
  <c r="W19" i="50"/>
  <c r="T19"/>
  <c r="U19"/>
  <c r="V19"/>
  <c r="U43" i="49"/>
  <c r="W43"/>
  <c r="T43"/>
  <c r="V43"/>
  <c r="U44" i="56"/>
  <c r="W44"/>
  <c r="V44"/>
  <c r="T44"/>
  <c r="T13" i="52"/>
  <c r="V13"/>
  <c r="W13"/>
  <c r="U13"/>
  <c r="T49"/>
  <c r="W49"/>
  <c r="V49"/>
  <c r="U49"/>
  <c r="V35" i="51"/>
  <c r="W35"/>
  <c r="T35"/>
  <c r="U35"/>
  <c r="W25" i="52"/>
  <c r="U25"/>
  <c r="T25"/>
  <c r="V25"/>
  <c r="T20" i="45"/>
  <c r="V20"/>
  <c r="U20"/>
  <c r="W20"/>
  <c r="T9" i="61"/>
  <c r="W9"/>
  <c r="U9"/>
  <c r="V9"/>
  <c r="T16" i="47"/>
  <c r="V16"/>
  <c r="W16"/>
  <c r="U16"/>
  <c r="V16" i="56"/>
  <c r="W16"/>
  <c r="U16"/>
  <c r="T16"/>
  <c r="T47"/>
  <c r="U47"/>
  <c r="V47"/>
  <c r="W47"/>
  <c r="U51" i="43"/>
  <c r="V51"/>
  <c r="W51"/>
  <c r="T51"/>
  <c r="U31" i="56"/>
  <c r="T31"/>
  <c r="W31"/>
  <c r="V31"/>
  <c r="T12" i="43"/>
  <c r="U12"/>
  <c r="W12"/>
  <c r="V12"/>
  <c r="V20" i="51"/>
  <c r="W20"/>
  <c r="T20"/>
  <c r="U20"/>
  <c r="T28" i="52"/>
  <c r="W28"/>
  <c r="U28"/>
  <c r="V28"/>
  <c r="V34" i="54"/>
  <c r="W34"/>
  <c r="T34"/>
  <c r="U34"/>
  <c r="W38" i="59"/>
  <c r="V38"/>
  <c r="T38"/>
  <c r="U38"/>
  <c r="T44" i="43"/>
  <c r="U44"/>
  <c r="V44"/>
  <c r="W44"/>
  <c r="T48" i="51"/>
  <c r="U48"/>
  <c r="V48"/>
  <c r="W48"/>
  <c r="W13" i="54"/>
  <c r="T13"/>
  <c r="U13"/>
  <c r="V13"/>
  <c r="T41" i="53"/>
  <c r="V41"/>
  <c r="U41"/>
  <c r="W41"/>
  <c r="V15" i="46"/>
  <c r="W15"/>
  <c r="T15"/>
  <c r="U15"/>
  <c r="V33" i="56"/>
  <c r="T33"/>
  <c r="U33"/>
  <c r="W33"/>
  <c r="V19" i="43"/>
  <c r="U19"/>
  <c r="W19"/>
  <c r="T19"/>
  <c r="U39" i="54"/>
  <c r="V39"/>
  <c r="W39"/>
  <c r="T39"/>
  <c r="T27" i="51"/>
  <c r="U27"/>
  <c r="W27"/>
  <c r="V27"/>
  <c r="W30" i="58"/>
  <c r="V30"/>
  <c r="T30"/>
  <c r="U30"/>
  <c r="W46"/>
  <c r="V46"/>
  <c r="T46"/>
  <c r="U46"/>
  <c r="V41" i="61"/>
  <c r="T41"/>
  <c r="W41"/>
  <c r="U41"/>
  <c r="T40" i="46"/>
  <c r="U40"/>
  <c r="W40"/>
  <c r="V40"/>
  <c r="T16" i="50"/>
  <c r="V16"/>
  <c r="U16"/>
  <c r="W16"/>
  <c r="W51" i="55"/>
  <c r="T51"/>
  <c r="U51"/>
  <c r="V51"/>
  <c r="V31" i="49"/>
  <c r="T31"/>
  <c r="U31"/>
  <c r="W31"/>
  <c r="W12" i="55"/>
  <c r="V12"/>
  <c r="U12"/>
  <c r="T12"/>
  <c r="U20" i="58"/>
  <c r="T20"/>
  <c r="W20"/>
  <c r="V20"/>
  <c r="V28" i="50"/>
  <c r="W28"/>
  <c r="T28"/>
  <c r="U28"/>
  <c r="U34" i="48"/>
  <c r="W34"/>
  <c r="V34"/>
  <c r="T34"/>
  <c r="U38" i="61"/>
  <c r="W38"/>
  <c r="V38"/>
  <c r="T38"/>
  <c r="V46" i="60"/>
  <c r="T46"/>
  <c r="U46"/>
  <c r="W46"/>
  <c r="T48" i="50"/>
  <c r="V48"/>
  <c r="W48"/>
  <c r="U48"/>
  <c r="V13" i="48"/>
  <c r="T13"/>
  <c r="W13"/>
  <c r="U13"/>
  <c r="U41" i="57"/>
  <c r="V41"/>
  <c r="W41"/>
  <c r="T41"/>
  <c r="V15" i="45"/>
  <c r="W15"/>
  <c r="T15"/>
  <c r="U15"/>
  <c r="V33" i="49"/>
  <c r="W33"/>
  <c r="T33"/>
  <c r="U33"/>
  <c r="T42" i="47"/>
  <c r="U42"/>
  <c r="V42"/>
  <c r="W42"/>
  <c r="T21" i="55"/>
  <c r="V21"/>
  <c r="W21"/>
  <c r="U21"/>
  <c r="U39" i="47"/>
  <c r="W39"/>
  <c r="V39"/>
  <c r="T39"/>
  <c r="T30" i="52"/>
  <c r="V30"/>
  <c r="W30"/>
  <c r="U30"/>
  <c r="U46" i="61"/>
  <c r="W46"/>
  <c r="V46"/>
  <c r="T46"/>
  <c r="W15" i="59"/>
  <c r="T15"/>
  <c r="U15"/>
  <c r="V15"/>
  <c r="W32" i="61"/>
  <c r="U32"/>
  <c r="T32"/>
  <c r="V32"/>
  <c r="U9" i="54"/>
  <c r="V9"/>
  <c r="W9"/>
  <c r="T9"/>
  <c r="W9" i="60"/>
  <c r="T9"/>
  <c r="V9"/>
  <c r="U9"/>
  <c r="V16"/>
  <c r="W16"/>
  <c r="U16"/>
  <c r="T16"/>
  <c r="U16" i="45"/>
  <c r="V16"/>
  <c r="W16"/>
  <c r="T16"/>
  <c r="V9" i="51"/>
  <c r="U9"/>
  <c r="W9"/>
  <c r="T9"/>
  <c r="V16" i="52"/>
  <c r="W16"/>
  <c r="T16"/>
  <c r="U16"/>
  <c r="W17" i="54"/>
  <c r="T17"/>
  <c r="U17"/>
  <c r="V17"/>
  <c r="U47"/>
  <c r="V47"/>
  <c r="W47"/>
  <c r="T47"/>
  <c r="V51" i="57"/>
  <c r="U51"/>
  <c r="W51"/>
  <c r="T51"/>
  <c r="W22" i="58"/>
  <c r="T22"/>
  <c r="U22"/>
  <c r="V22"/>
  <c r="W27" i="54"/>
  <c r="T27"/>
  <c r="U27"/>
  <c r="V27"/>
  <c r="U31" i="52"/>
  <c r="V31"/>
  <c r="W31"/>
  <c r="T31"/>
  <c r="W37" i="54"/>
  <c r="T37"/>
  <c r="U37"/>
  <c r="V37"/>
  <c r="T12" i="56"/>
  <c r="W12"/>
  <c r="U12"/>
  <c r="V12"/>
  <c r="V14" i="59"/>
  <c r="T14"/>
  <c r="U14"/>
  <c r="W14"/>
  <c r="U20" i="61"/>
  <c r="T20"/>
  <c r="V20"/>
  <c r="W20"/>
  <c r="V20" i="43"/>
  <c r="W20"/>
  <c r="T20"/>
  <c r="U20"/>
  <c r="U26" i="46"/>
  <c r="V26"/>
  <c r="W26"/>
  <c r="T26"/>
  <c r="V28" i="51"/>
  <c r="W28"/>
  <c r="T28"/>
  <c r="U28"/>
  <c r="V30" i="53"/>
  <c r="W30"/>
  <c r="T30"/>
  <c r="U30"/>
  <c r="W34"/>
  <c r="V34"/>
  <c r="T34"/>
  <c r="U34"/>
  <c r="V36" i="52"/>
  <c r="W36"/>
  <c r="T36"/>
  <c r="U36"/>
  <c r="V38" i="54"/>
  <c r="W38"/>
  <c r="T38"/>
  <c r="U38"/>
  <c r="W44" i="59"/>
  <c r="U44"/>
  <c r="T44"/>
  <c r="V44"/>
  <c r="U46" i="57"/>
  <c r="W46"/>
  <c r="V46"/>
  <c r="T46"/>
  <c r="W48" i="61"/>
  <c r="U48"/>
  <c r="T48"/>
  <c r="V48"/>
  <c r="T48" i="43"/>
  <c r="U48"/>
  <c r="W48"/>
  <c r="V48"/>
  <c r="V50" i="46"/>
  <c r="W50"/>
  <c r="T50"/>
  <c r="U50"/>
  <c r="T52" i="51"/>
  <c r="U52"/>
  <c r="V52"/>
  <c r="W52"/>
  <c r="V13" i="53"/>
  <c r="W13"/>
  <c r="T13"/>
  <c r="U13"/>
  <c r="W23"/>
  <c r="T23"/>
  <c r="U23"/>
  <c r="V23"/>
  <c r="W45" i="43"/>
  <c r="U45"/>
  <c r="T45"/>
  <c r="V45"/>
  <c r="T15" i="61"/>
  <c r="W15"/>
  <c r="U15"/>
  <c r="V15"/>
  <c r="W18" i="58"/>
  <c r="U18"/>
  <c r="V18"/>
  <c r="T18"/>
  <c r="U24" i="43"/>
  <c r="V24"/>
  <c r="T24"/>
  <c r="W24"/>
  <c r="V33"/>
  <c r="U33"/>
  <c r="W33"/>
  <c r="T33"/>
  <c r="V40" i="56"/>
  <c r="W40"/>
  <c r="U40"/>
  <c r="T40"/>
  <c r="T42" i="53"/>
  <c r="W42"/>
  <c r="U42"/>
  <c r="V42"/>
  <c r="T21" i="43"/>
  <c r="U21"/>
  <c r="V21"/>
  <c r="W21"/>
  <c r="T32" i="54"/>
  <c r="U32"/>
  <c r="V32"/>
  <c r="W32"/>
  <c r="U39" i="53"/>
  <c r="W39"/>
  <c r="T39"/>
  <c r="V39"/>
  <c r="U47" i="52"/>
  <c r="V47"/>
  <c r="W47"/>
  <c r="T47"/>
  <c r="V37" i="61"/>
  <c r="T37"/>
  <c r="W37"/>
  <c r="U37"/>
  <c r="T14" i="52"/>
  <c r="V14"/>
  <c r="W14"/>
  <c r="U14"/>
  <c r="V30" i="51"/>
  <c r="W30"/>
  <c r="T30"/>
  <c r="U30"/>
  <c r="V46" i="52"/>
  <c r="W46"/>
  <c r="T46"/>
  <c r="U46"/>
  <c r="T13" i="56"/>
  <c r="W13"/>
  <c r="V13"/>
  <c r="U13"/>
  <c r="T41" i="52"/>
  <c r="V41"/>
  <c r="W41"/>
  <c r="U41"/>
  <c r="V29" i="56"/>
  <c r="W29"/>
  <c r="U29"/>
  <c r="T29"/>
  <c r="U42"/>
  <c r="V42"/>
  <c r="W42"/>
  <c r="T42"/>
  <c r="V25"/>
  <c r="U25"/>
  <c r="W25"/>
  <c r="T25"/>
  <c r="W31" i="45"/>
  <c r="V31"/>
  <c r="T31"/>
  <c r="U31"/>
  <c r="T28"/>
  <c r="U28"/>
  <c r="V28"/>
  <c r="W28"/>
  <c r="T9" i="58"/>
  <c r="V9"/>
  <c r="W9"/>
  <c r="U9"/>
  <c r="U16"/>
  <c r="V16"/>
  <c r="W16"/>
  <c r="T16"/>
  <c r="U17" i="60"/>
  <c r="V17"/>
  <c r="T17"/>
  <c r="W17"/>
  <c r="T17" i="45"/>
  <c r="U17"/>
  <c r="V17"/>
  <c r="W17"/>
  <c r="U47" i="47"/>
  <c r="W47"/>
  <c r="V47"/>
  <c r="T47"/>
  <c r="W51" i="49"/>
  <c r="T51"/>
  <c r="U51"/>
  <c r="V51"/>
  <c r="W27" i="47"/>
  <c r="U27"/>
  <c r="V27"/>
  <c r="T27"/>
  <c r="U31" i="50"/>
  <c r="V31"/>
  <c r="W31"/>
  <c r="T31"/>
  <c r="T37" i="47"/>
  <c r="U37"/>
  <c r="V37"/>
  <c r="W37"/>
  <c r="V12" i="49"/>
  <c r="T12"/>
  <c r="U12"/>
  <c r="W12"/>
  <c r="U14" i="48"/>
  <c r="T14"/>
  <c r="V14"/>
  <c r="W14"/>
  <c r="W20" i="55"/>
  <c r="U20"/>
  <c r="T20"/>
  <c r="V20"/>
  <c r="T26" i="59"/>
  <c r="V26"/>
  <c r="W26"/>
  <c r="U26"/>
  <c r="U28" i="58"/>
  <c r="W28"/>
  <c r="T28"/>
  <c r="V28"/>
  <c r="W30" i="60"/>
  <c r="T30"/>
  <c r="U30"/>
  <c r="V30"/>
  <c r="U30" i="45"/>
  <c r="V30"/>
  <c r="W30"/>
  <c r="T30"/>
  <c r="V34" i="47"/>
  <c r="W34"/>
  <c r="T34"/>
  <c r="U34"/>
  <c r="T36" i="49"/>
  <c r="W36"/>
  <c r="V36"/>
  <c r="U36"/>
  <c r="W38" i="48"/>
  <c r="T38"/>
  <c r="V38"/>
  <c r="U38"/>
  <c r="U44" i="55"/>
  <c r="V44"/>
  <c r="W44"/>
  <c r="T44"/>
  <c r="U46" i="59"/>
  <c r="W46"/>
  <c r="T46"/>
  <c r="V46"/>
  <c r="W48" i="58"/>
  <c r="V48"/>
  <c r="T48"/>
  <c r="U48"/>
  <c r="V50" i="60"/>
  <c r="T50"/>
  <c r="U50"/>
  <c r="W50"/>
  <c r="T50" i="45"/>
  <c r="U50"/>
  <c r="V50"/>
  <c r="W50"/>
  <c r="W52" i="50"/>
  <c r="T52"/>
  <c r="V52"/>
  <c r="U52"/>
  <c r="V13" i="47"/>
  <c r="W13"/>
  <c r="T13"/>
  <c r="U13"/>
  <c r="T23" i="48"/>
  <c r="U23"/>
  <c r="W23"/>
  <c r="V23"/>
  <c r="U41"/>
  <c r="W41"/>
  <c r="V41"/>
  <c r="T41"/>
  <c r="U45" i="50"/>
  <c r="W45"/>
  <c r="V45"/>
  <c r="T45"/>
  <c r="T15" i="57"/>
  <c r="U15"/>
  <c r="V15"/>
  <c r="W15"/>
  <c r="W18"/>
  <c r="T18"/>
  <c r="V18"/>
  <c r="U18"/>
  <c r="W29" i="48"/>
  <c r="U29"/>
  <c r="V29"/>
  <c r="T29"/>
  <c r="W33" i="50"/>
  <c r="V33"/>
  <c r="T33"/>
  <c r="U33"/>
  <c r="T40" i="49"/>
  <c r="U40"/>
  <c r="V40"/>
  <c r="W40"/>
  <c r="T11" i="55"/>
  <c r="W11"/>
  <c r="U11"/>
  <c r="V11"/>
  <c r="T19"/>
  <c r="W19"/>
  <c r="V19"/>
  <c r="U19"/>
  <c r="U21" i="49"/>
  <c r="W21"/>
  <c r="V21"/>
  <c r="T21"/>
  <c r="W32" i="48"/>
  <c r="T32"/>
  <c r="V32"/>
  <c r="U32"/>
  <c r="U43" i="59"/>
  <c r="V43"/>
  <c r="W43"/>
  <c r="T43"/>
  <c r="W31" i="46"/>
  <c r="V31"/>
  <c r="T31"/>
  <c r="U31"/>
  <c r="T26" i="56"/>
  <c r="V26"/>
  <c r="U26"/>
  <c r="W26"/>
  <c r="W34" i="58"/>
  <c r="T34"/>
  <c r="U34"/>
  <c r="V34"/>
  <c r="T38" i="52"/>
  <c r="U38"/>
  <c r="V38"/>
  <c r="W38"/>
  <c r="W48" i="56"/>
  <c r="T48"/>
  <c r="U48"/>
  <c r="V48"/>
  <c r="W41" i="51"/>
  <c r="T41"/>
  <c r="U41"/>
  <c r="V41"/>
  <c r="T15" i="43"/>
  <c r="U15"/>
  <c r="V15"/>
  <c r="W15"/>
  <c r="V33" i="46"/>
  <c r="W33"/>
  <c r="T33"/>
  <c r="U33"/>
  <c r="V21"/>
  <c r="W21"/>
  <c r="T21"/>
  <c r="U21"/>
  <c r="U32" i="52"/>
  <c r="W32"/>
  <c r="V32"/>
  <c r="T32"/>
  <c r="V51" i="45"/>
  <c r="W51"/>
  <c r="T51"/>
  <c r="U51"/>
  <c r="U34" i="57"/>
  <c r="W34"/>
  <c r="V34"/>
  <c r="T34"/>
  <c r="T23" i="55"/>
  <c r="W23"/>
  <c r="U23"/>
  <c r="V23"/>
  <c r="U9" i="53"/>
  <c r="W9"/>
  <c r="V9"/>
  <c r="T9"/>
  <c r="T16"/>
  <c r="V16"/>
  <c r="W16"/>
  <c r="U16"/>
  <c r="W16" i="48"/>
  <c r="V16"/>
  <c r="T16"/>
  <c r="U16"/>
  <c r="W16" i="61"/>
  <c r="V16"/>
  <c r="T16"/>
  <c r="U16"/>
  <c r="U16" i="43"/>
  <c r="V16"/>
  <c r="W16"/>
  <c r="T16"/>
  <c r="U47" i="46"/>
  <c r="W47"/>
  <c r="T47"/>
  <c r="V47"/>
  <c r="U22" i="51"/>
  <c r="V22"/>
  <c r="T22"/>
  <c r="W22"/>
  <c r="U31" i="43"/>
  <c r="V31"/>
  <c r="T31"/>
  <c r="W31"/>
  <c r="U12" i="51"/>
  <c r="W12"/>
  <c r="V12"/>
  <c r="T12"/>
  <c r="T20" i="52"/>
  <c r="W20"/>
  <c r="U20"/>
  <c r="V20"/>
  <c r="U28" i="56"/>
  <c r="W28"/>
  <c r="V28"/>
  <c r="T28"/>
  <c r="U34" i="61"/>
  <c r="W34"/>
  <c r="V34"/>
  <c r="T34"/>
  <c r="W36" i="43"/>
  <c r="T36"/>
  <c r="U36"/>
  <c r="V36"/>
  <c r="T44" i="51"/>
  <c r="U44"/>
  <c r="V44"/>
  <c r="W44"/>
  <c r="U48" i="52"/>
  <c r="W48"/>
  <c r="V48"/>
  <c r="T48"/>
  <c r="W52" i="59"/>
  <c r="U52"/>
  <c r="V52"/>
  <c r="T52"/>
  <c r="V23" i="61"/>
  <c r="T23"/>
  <c r="W23"/>
  <c r="U23"/>
  <c r="U15" i="53"/>
  <c r="W15"/>
  <c r="T15"/>
  <c r="V15"/>
  <c r="W29"/>
  <c r="U29"/>
  <c r="T29"/>
  <c r="V29"/>
  <c r="U42" i="61"/>
  <c r="W42"/>
  <c r="V42"/>
  <c r="T42"/>
  <c r="T39"/>
  <c r="V39"/>
  <c r="U39"/>
  <c r="W39"/>
  <c r="W17" i="43"/>
  <c r="T17"/>
  <c r="U17"/>
  <c r="V17"/>
  <c r="T27" i="52"/>
  <c r="U27"/>
  <c r="V27"/>
  <c r="W27"/>
  <c r="T44" i="46"/>
  <c r="U44"/>
  <c r="W44"/>
  <c r="V44"/>
  <c r="V23" i="59"/>
  <c r="T23"/>
  <c r="U23"/>
  <c r="W23"/>
  <c r="U49" i="57"/>
  <c r="W49"/>
  <c r="V49"/>
  <c r="T49"/>
  <c r="T35" i="61"/>
  <c r="V35"/>
  <c r="U35"/>
  <c r="W35"/>
  <c r="V9" i="49"/>
  <c r="W9"/>
  <c r="T9"/>
  <c r="U9"/>
  <c r="U17" i="48"/>
  <c r="W17"/>
  <c r="T17"/>
  <c r="V17"/>
  <c r="W22" i="57"/>
  <c r="U22"/>
  <c r="T22"/>
  <c r="V22"/>
  <c r="U31" i="55"/>
  <c r="V31"/>
  <c r="T31"/>
  <c r="W31"/>
  <c r="T14" i="60"/>
  <c r="U14"/>
  <c r="W14"/>
  <c r="V14"/>
  <c r="T14" i="45"/>
  <c r="U14"/>
  <c r="V14"/>
  <c r="W14"/>
  <c r="V26" i="47"/>
  <c r="W26"/>
  <c r="T26"/>
  <c r="U26"/>
  <c r="V30" i="48"/>
  <c r="T30"/>
  <c r="U30"/>
  <c r="W30"/>
  <c r="U36" i="58"/>
  <c r="W36"/>
  <c r="T36"/>
  <c r="V36"/>
  <c r="T38" i="45"/>
  <c r="U38"/>
  <c r="V38"/>
  <c r="W38"/>
  <c r="U46" i="47"/>
  <c r="V46"/>
  <c r="W46"/>
  <c r="T46"/>
  <c r="T48" i="49"/>
  <c r="U48"/>
  <c r="V48"/>
  <c r="W48"/>
  <c r="V52" i="55"/>
  <c r="U52"/>
  <c r="W52"/>
  <c r="T52"/>
  <c r="U23" i="60"/>
  <c r="V23"/>
  <c r="T23"/>
  <c r="W23"/>
  <c r="W49" i="47"/>
  <c r="T49"/>
  <c r="U49"/>
  <c r="V49"/>
  <c r="U15"/>
  <c r="W15"/>
  <c r="V15"/>
  <c r="T15"/>
  <c r="T33" i="55"/>
  <c r="U33"/>
  <c r="V33"/>
  <c r="W33"/>
  <c r="U42" i="48"/>
  <c r="V42"/>
  <c r="W42"/>
  <c r="T42"/>
  <c r="W11" i="50"/>
  <c r="U11"/>
  <c r="T11"/>
  <c r="V11"/>
  <c r="W25" i="48"/>
  <c r="U25"/>
  <c r="V25"/>
  <c r="T25"/>
  <c r="V39"/>
  <c r="T39"/>
  <c r="W39"/>
  <c r="U39"/>
  <c r="V12" i="46"/>
  <c r="U12"/>
  <c r="W12"/>
  <c r="T12"/>
  <c r="W26" i="51"/>
  <c r="T26"/>
  <c r="U26"/>
  <c r="V26"/>
  <c r="V34"/>
  <c r="W34"/>
  <c r="T34"/>
  <c r="U34"/>
  <c r="T29" i="61"/>
  <c r="V29"/>
  <c r="U29"/>
  <c r="W29"/>
  <c r="U39" i="51"/>
  <c r="V39"/>
  <c r="T39"/>
  <c r="W39"/>
  <c r="V9" i="45"/>
  <c r="W9"/>
  <c r="U9"/>
  <c r="T9"/>
  <c r="W9" i="52"/>
  <c r="U9"/>
  <c r="V9"/>
  <c r="T9"/>
  <c r="U17" i="59"/>
  <c r="V17"/>
  <c r="W17"/>
  <c r="T17"/>
  <c r="T51" i="61"/>
  <c r="V51"/>
  <c r="U51"/>
  <c r="W51"/>
  <c r="V27" i="58"/>
  <c r="W27"/>
  <c r="T27"/>
  <c r="U27"/>
  <c r="T37" i="59"/>
  <c r="W37"/>
  <c r="U37"/>
  <c r="V37"/>
  <c r="W12" i="58"/>
  <c r="U12"/>
  <c r="T12"/>
  <c r="V12"/>
  <c r="T14" i="46"/>
  <c r="U14"/>
  <c r="W14"/>
  <c r="V14"/>
  <c r="V26" i="53"/>
  <c r="U26"/>
  <c r="T26"/>
  <c r="W26"/>
  <c r="T30" i="54"/>
  <c r="U30"/>
  <c r="V30"/>
  <c r="W30"/>
  <c r="T36" i="56"/>
  <c r="V36"/>
  <c r="W36"/>
  <c r="U36"/>
  <c r="W44" i="61"/>
  <c r="U44"/>
  <c r="T44"/>
  <c r="V44"/>
  <c r="U46" i="46"/>
  <c r="V46"/>
  <c r="W46"/>
  <c r="T46"/>
  <c r="U50" i="53"/>
  <c r="W50"/>
  <c r="V50"/>
  <c r="T50"/>
  <c r="T52" i="52"/>
  <c r="U52"/>
  <c r="V52"/>
  <c r="W52"/>
  <c r="W23" i="54"/>
  <c r="T23"/>
  <c r="U23"/>
  <c r="V23"/>
  <c r="U49" i="46"/>
  <c r="V49"/>
  <c r="T49"/>
  <c r="W49"/>
  <c r="W24" i="56"/>
  <c r="T24"/>
  <c r="V24"/>
  <c r="U24"/>
  <c r="T35" i="53"/>
  <c r="U35"/>
  <c r="V35"/>
  <c r="W35"/>
  <c r="V42" i="54"/>
  <c r="W42"/>
  <c r="T42"/>
  <c r="U42"/>
  <c r="W32" i="57"/>
  <c r="U32"/>
  <c r="T32"/>
  <c r="V32"/>
  <c r="W47"/>
  <c r="T47"/>
  <c r="U47"/>
  <c r="V47"/>
  <c r="U14" i="58"/>
  <c r="V14"/>
  <c r="T14"/>
  <c r="W14"/>
  <c r="V13"/>
  <c r="W13"/>
  <c r="U13"/>
  <c r="T13"/>
  <c r="W18" i="61"/>
  <c r="U18"/>
  <c r="T18"/>
  <c r="V18"/>
  <c r="T19" i="46"/>
  <c r="U19"/>
  <c r="V19"/>
  <c r="W19"/>
  <c r="T43"/>
  <c r="U43"/>
  <c r="V43"/>
  <c r="W43"/>
  <c r="U28" i="59"/>
  <c r="W28"/>
  <c r="V28"/>
  <c r="T28"/>
  <c r="U52" i="45"/>
  <c r="V52"/>
  <c r="W52"/>
  <c r="T52"/>
  <c r="U9" i="50"/>
  <c r="W9"/>
  <c r="V9"/>
  <c r="T9"/>
  <c r="W17" i="47"/>
  <c r="T17"/>
  <c r="U17"/>
  <c r="V17"/>
  <c r="W47" i="48"/>
  <c r="U47"/>
  <c r="V47"/>
  <c r="T47"/>
  <c r="U27"/>
  <c r="T27"/>
  <c r="W27"/>
  <c r="V27"/>
  <c r="T37"/>
  <c r="U37"/>
  <c r="V37"/>
  <c r="W37"/>
  <c r="U14" i="61"/>
  <c r="T14"/>
  <c r="V14"/>
  <c r="W14"/>
  <c r="V26" i="60"/>
  <c r="W26"/>
  <c r="U26"/>
  <c r="T26"/>
  <c r="V26" i="45"/>
  <c r="W26"/>
  <c r="T26"/>
  <c r="U26"/>
  <c r="W30" i="47"/>
  <c r="T30"/>
  <c r="U30"/>
  <c r="V30"/>
  <c r="U36" i="55"/>
  <c r="W36"/>
  <c r="T36"/>
  <c r="V36"/>
  <c r="W44" i="58"/>
  <c r="V44"/>
  <c r="T44"/>
  <c r="U44"/>
  <c r="T46" i="45"/>
  <c r="U46"/>
  <c r="V46"/>
  <c r="W46"/>
  <c r="V50" i="47"/>
  <c r="W50"/>
  <c r="T50"/>
  <c r="U50"/>
  <c r="W52" i="49"/>
  <c r="T52"/>
  <c r="U52"/>
  <c r="V52"/>
  <c r="U23" i="57"/>
  <c r="W23"/>
  <c r="V23"/>
  <c r="T23"/>
  <c r="U45" i="49"/>
  <c r="V45"/>
  <c r="W45"/>
  <c r="T45"/>
  <c r="W15" i="60"/>
  <c r="T15"/>
  <c r="V15"/>
  <c r="U15"/>
  <c r="W24" i="50"/>
  <c r="T24"/>
  <c r="V24"/>
  <c r="U24"/>
  <c r="W40" i="55"/>
  <c r="T40"/>
  <c r="V40"/>
  <c r="U40"/>
  <c r="T19" i="59"/>
  <c r="W19"/>
  <c r="U19"/>
  <c r="V19"/>
  <c r="W25" i="47"/>
  <c r="T25"/>
  <c r="U25"/>
  <c r="V25"/>
  <c r="U43" i="50"/>
  <c r="T43"/>
  <c r="V43"/>
  <c r="W43"/>
  <c r="V20" i="46"/>
  <c r="W20"/>
  <c r="T20"/>
  <c r="U20"/>
  <c r="W38" i="58"/>
  <c r="V38"/>
  <c r="T38"/>
  <c r="U38"/>
  <c r="V23" i="43"/>
  <c r="W23"/>
  <c r="T23"/>
  <c r="U23"/>
  <c r="V29" i="52"/>
  <c r="T29"/>
  <c r="U29"/>
  <c r="W29"/>
  <c r="W42" i="51"/>
  <c r="T42"/>
  <c r="U42"/>
  <c r="V42"/>
  <c r="V17" i="55"/>
  <c r="U17"/>
  <c r="T17"/>
  <c r="W17"/>
  <c r="V30" i="57"/>
  <c r="W30"/>
  <c r="U30"/>
  <c r="T30"/>
  <c r="V44" i="45"/>
  <c r="W44"/>
  <c r="T44"/>
  <c r="U44"/>
  <c r="W9" i="48"/>
  <c r="T9"/>
  <c r="U9"/>
  <c r="V9"/>
  <c r="U16" i="59"/>
  <c r="W16"/>
  <c r="T16"/>
  <c r="V16"/>
  <c r="W9"/>
  <c r="U9"/>
  <c r="V9"/>
  <c r="T9"/>
  <c r="U9" i="43"/>
  <c r="V9"/>
  <c r="T9"/>
  <c r="W9"/>
  <c r="T16" i="51"/>
  <c r="V16"/>
  <c r="U16"/>
  <c r="W16"/>
  <c r="W17" i="53"/>
  <c r="U17"/>
  <c r="V17"/>
  <c r="T17"/>
  <c r="U47"/>
  <c r="W47"/>
  <c r="V47"/>
  <c r="T47"/>
  <c r="V51" i="52"/>
  <c r="T51"/>
  <c r="U51"/>
  <c r="W51"/>
  <c r="U22"/>
  <c r="T22"/>
  <c r="W22"/>
  <c r="V22"/>
  <c r="T27" i="53"/>
  <c r="V27"/>
  <c r="W27"/>
  <c r="U27"/>
  <c r="U31" i="51"/>
  <c r="V31"/>
  <c r="T31"/>
  <c r="W31"/>
  <c r="U37" i="53"/>
  <c r="V37"/>
  <c r="W37"/>
  <c r="T37"/>
  <c r="T12" i="52"/>
  <c r="U12"/>
  <c r="V12"/>
  <c r="W12"/>
  <c r="V14" i="54"/>
  <c r="W14"/>
  <c r="T14"/>
  <c r="U14"/>
  <c r="W20" i="56"/>
  <c r="T20"/>
  <c r="U20"/>
  <c r="V20"/>
  <c r="W26" i="61"/>
  <c r="U26"/>
  <c r="T26"/>
  <c r="V26"/>
  <c r="U28"/>
  <c r="W28"/>
  <c r="V28"/>
  <c r="T28"/>
  <c r="V28" i="43"/>
  <c r="T28"/>
  <c r="W28"/>
  <c r="U28"/>
  <c r="U30" i="46"/>
  <c r="V30"/>
  <c r="W30"/>
  <c r="T30"/>
  <c r="T34"/>
  <c r="U34"/>
  <c r="V34"/>
  <c r="W34"/>
  <c r="T36" i="51"/>
  <c r="U36"/>
  <c r="V36"/>
  <c r="W36"/>
  <c r="W38" i="53"/>
  <c r="T38"/>
  <c r="U38"/>
  <c r="V38"/>
  <c r="T44" i="52"/>
  <c r="U44"/>
  <c r="V44"/>
  <c r="W44"/>
  <c r="V46" i="54"/>
  <c r="W46"/>
  <c r="T46"/>
  <c r="U46"/>
  <c r="W48" i="59"/>
  <c r="U48"/>
  <c r="V48"/>
  <c r="T48"/>
  <c r="U50" i="57"/>
  <c r="W50"/>
  <c r="T50"/>
  <c r="V50"/>
  <c r="T52" i="61"/>
  <c r="V52"/>
  <c r="W52"/>
  <c r="U52"/>
  <c r="T52" i="43"/>
  <c r="V52"/>
  <c r="U52"/>
  <c r="W52"/>
  <c r="T13" i="46"/>
  <c r="U13"/>
  <c r="V13"/>
  <c r="W13"/>
  <c r="W23"/>
  <c r="T23"/>
  <c r="U23"/>
  <c r="V23"/>
  <c r="W49" i="54"/>
  <c r="T49"/>
  <c r="U49"/>
  <c r="V49"/>
  <c r="U15"/>
  <c r="V15"/>
  <c r="W15"/>
  <c r="T15"/>
  <c r="V18" i="52"/>
  <c r="T18"/>
  <c r="U18"/>
  <c r="W18"/>
  <c r="U29" i="54"/>
  <c r="V29"/>
  <c r="W29"/>
  <c r="T29"/>
  <c r="V35" i="58"/>
  <c r="T35"/>
  <c r="U35"/>
  <c r="W35"/>
  <c r="W40" i="43"/>
  <c r="T40"/>
  <c r="V40"/>
  <c r="U40"/>
  <c r="V11" i="59"/>
  <c r="U11"/>
  <c r="W11"/>
  <c r="T11"/>
  <c r="U25" i="54"/>
  <c r="V25"/>
  <c r="W25"/>
  <c r="T25"/>
  <c r="W32" i="53"/>
  <c r="T32"/>
  <c r="U32"/>
  <c r="V32"/>
  <c r="U43" i="43"/>
  <c r="V43"/>
  <c r="W43"/>
  <c r="T43"/>
  <c r="V27" i="61"/>
  <c r="U27"/>
  <c r="W27"/>
  <c r="T27"/>
  <c r="U37" i="52"/>
  <c r="V37"/>
  <c r="W37"/>
  <c r="T37"/>
  <c r="U14" i="51"/>
  <c r="V14"/>
  <c r="W14"/>
  <c r="T14"/>
  <c r="T36" i="46"/>
  <c r="U36"/>
  <c r="W36"/>
  <c r="V36"/>
  <c r="W50" i="52"/>
  <c r="T50"/>
  <c r="V50"/>
  <c r="U50"/>
  <c r="W13" i="51"/>
  <c r="U13"/>
  <c r="V13"/>
  <c r="T13"/>
  <c r="W45" i="46"/>
  <c r="T45"/>
  <c r="U45"/>
  <c r="V45"/>
  <c r="U29" i="51"/>
  <c r="W29"/>
  <c r="T29"/>
  <c r="V29"/>
  <c r="W42" i="52"/>
  <c r="V42"/>
  <c r="U42"/>
  <c r="T42"/>
  <c r="V25" i="51"/>
  <c r="U25"/>
  <c r="W25"/>
  <c r="T25"/>
  <c r="V12" i="45"/>
  <c r="W12"/>
  <c r="T12"/>
  <c r="U12"/>
  <c r="W38" i="57"/>
  <c r="T38"/>
  <c r="U38"/>
  <c r="V38"/>
  <c r="W9" i="55"/>
  <c r="T9"/>
  <c r="U9"/>
  <c r="V9"/>
  <c r="V16"/>
  <c r="U16"/>
  <c r="W16"/>
  <c r="T16"/>
  <c r="T17" i="57"/>
  <c r="V17"/>
  <c r="W17"/>
  <c r="U17"/>
  <c r="U47" i="60"/>
  <c r="T47"/>
  <c r="V47"/>
  <c r="W47"/>
  <c r="W47" i="45"/>
  <c r="T47"/>
  <c r="U47"/>
  <c r="V47"/>
  <c r="W51" i="50"/>
  <c r="U51"/>
  <c r="T51"/>
  <c r="V51"/>
  <c r="V31" i="58"/>
  <c r="W31"/>
  <c r="T31"/>
  <c r="U31"/>
  <c r="V37" i="60"/>
  <c r="W37"/>
  <c r="T37"/>
  <c r="U37"/>
  <c r="T37" i="45"/>
  <c r="U37"/>
  <c r="V37"/>
  <c r="W37"/>
  <c r="T12" i="50"/>
  <c r="U12"/>
  <c r="V12"/>
  <c r="W12"/>
  <c r="U14" i="47"/>
  <c r="V14"/>
  <c r="W14"/>
  <c r="T14"/>
  <c r="T20" i="49"/>
  <c r="U20"/>
  <c r="W20"/>
  <c r="V20"/>
  <c r="V26" i="48"/>
  <c r="T26"/>
  <c r="U26"/>
  <c r="W26"/>
  <c r="W28" i="55"/>
  <c r="V28"/>
  <c r="U28"/>
  <c r="T28"/>
  <c r="W30" i="61"/>
  <c r="U30"/>
  <c r="T30"/>
  <c r="V30"/>
  <c r="U34" i="60"/>
  <c r="V34"/>
  <c r="W34"/>
  <c r="T34"/>
  <c r="W34" i="45"/>
  <c r="T34"/>
  <c r="U34"/>
  <c r="V34"/>
  <c r="W36" i="50"/>
  <c r="U36"/>
  <c r="T36"/>
  <c r="V36"/>
  <c r="W38" i="47"/>
  <c r="T38"/>
  <c r="V38"/>
  <c r="U38"/>
  <c r="U44" i="49"/>
  <c r="V44"/>
  <c r="T44"/>
  <c r="W44"/>
  <c r="U46" i="48"/>
  <c r="V46"/>
  <c r="W46"/>
  <c r="T46"/>
  <c r="U48" i="55"/>
  <c r="V48"/>
  <c r="W48"/>
  <c r="T48"/>
  <c r="U50" i="61"/>
  <c r="W50"/>
  <c r="V50"/>
  <c r="T50"/>
  <c r="U52" i="58"/>
  <c r="W52"/>
  <c r="T52"/>
  <c r="V52"/>
  <c r="V13" i="61"/>
  <c r="U13"/>
  <c r="W13"/>
  <c r="T13"/>
  <c r="T13" i="45"/>
  <c r="U13"/>
  <c r="V13"/>
  <c r="W13"/>
  <c r="W23" i="47"/>
  <c r="U23"/>
  <c r="T23"/>
  <c r="V23"/>
  <c r="U41"/>
  <c r="V41"/>
  <c r="W41"/>
  <c r="T41"/>
  <c r="U49" i="48"/>
  <c r="W49"/>
  <c r="V49"/>
  <c r="T49"/>
  <c r="W15"/>
  <c r="U15"/>
  <c r="V15"/>
  <c r="T15"/>
  <c r="U24" i="55"/>
  <c r="T24"/>
  <c r="V24"/>
  <c r="W24"/>
  <c r="T29" i="47"/>
  <c r="U29"/>
  <c r="V29"/>
  <c r="W29"/>
  <c r="T35" i="48"/>
  <c r="U35"/>
  <c r="V35"/>
  <c r="W35"/>
  <c r="V40" i="50"/>
  <c r="T40"/>
  <c r="W40"/>
  <c r="U40"/>
  <c r="T11" i="49"/>
  <c r="W11"/>
  <c r="V11"/>
  <c r="U11"/>
  <c r="W19"/>
  <c r="U19"/>
  <c r="V19"/>
  <c r="T19"/>
  <c r="T21" i="50"/>
  <c r="U21"/>
  <c r="V21"/>
  <c r="W21"/>
  <c r="T32" i="47"/>
  <c r="V32"/>
  <c r="W32"/>
  <c r="U32"/>
  <c r="U43" i="55"/>
  <c r="W43"/>
  <c r="T43"/>
  <c r="V43"/>
  <c r="V12" i="60"/>
  <c r="W12"/>
  <c r="U12"/>
  <c r="T12"/>
  <c r="U26" i="52"/>
  <c r="T26"/>
  <c r="W26"/>
  <c r="V26"/>
  <c r="W34"/>
  <c r="V34"/>
  <c r="U34"/>
  <c r="T34"/>
  <c r="U38" i="51"/>
  <c r="V38"/>
  <c r="W38"/>
  <c r="T38"/>
  <c r="U50" i="58"/>
  <c r="V50"/>
  <c r="W50"/>
  <c r="T50"/>
  <c r="V49" i="61"/>
  <c r="T49"/>
  <c r="W49"/>
  <c r="U49"/>
  <c r="W24" i="46"/>
  <c r="T24"/>
  <c r="U24"/>
  <c r="V24"/>
  <c r="V35" i="52"/>
  <c r="U35"/>
  <c r="T35"/>
  <c r="W35"/>
  <c r="T25" i="61"/>
  <c r="W25"/>
  <c r="U25"/>
  <c r="V25"/>
  <c r="T32" i="51"/>
  <c r="V32"/>
  <c r="U32"/>
  <c r="W32"/>
  <c r="W20" i="59"/>
  <c r="U20"/>
  <c r="V20"/>
  <c r="T20"/>
  <c r="W36"/>
  <c r="U36"/>
  <c r="V36"/>
  <c r="T36"/>
  <c r="U15" i="55"/>
  <c r="V15"/>
  <c r="T15"/>
  <c r="W15"/>
  <c r="V9" i="46"/>
  <c r="W9"/>
  <c r="T9"/>
  <c r="U9"/>
  <c r="V16"/>
  <c r="W16"/>
  <c r="U16"/>
  <c r="T16"/>
  <c r="E8" i="27"/>
  <c r="C8"/>
  <c r="L59" i="3" l="1"/>
  <c r="L67"/>
  <c r="L64"/>
  <c r="L56"/>
  <c r="P19" i="7"/>
  <c r="P12"/>
  <c r="P23"/>
  <c r="P11"/>
  <c r="P22"/>
  <c r="P15"/>
  <c r="P8"/>
  <c r="P10"/>
  <c r="P14"/>
  <c r="P29"/>
  <c r="P25"/>
  <c r="P26"/>
  <c r="P18"/>
  <c r="P28"/>
  <c r="P13"/>
  <c r="P24"/>
  <c r="P21"/>
  <c r="P9"/>
  <c r="P27"/>
  <c r="P6"/>
  <c r="P17"/>
  <c r="P16"/>
  <c r="P20"/>
  <c r="P7"/>
  <c r="O19"/>
  <c r="O12"/>
  <c r="O23"/>
  <c r="O11"/>
  <c r="O22"/>
  <c r="O15"/>
  <c r="O8"/>
  <c r="O10"/>
  <c r="O14"/>
  <c r="O29"/>
  <c r="O25"/>
  <c r="O26"/>
  <c r="O18"/>
  <c r="O28"/>
  <c r="O13"/>
  <c r="O24"/>
  <c r="O21"/>
  <c r="O9"/>
  <c r="O27"/>
  <c r="O6"/>
  <c r="O17"/>
  <c r="O16"/>
  <c r="O20"/>
  <c r="O7"/>
  <c r="Q19" l="1"/>
  <c r="Q12"/>
  <c r="Q23"/>
  <c r="Q11"/>
  <c r="Q22"/>
  <c r="Q15"/>
  <c r="Q8"/>
  <c r="Q10"/>
  <c r="Q14"/>
  <c r="Q29"/>
  <c r="Q13"/>
  <c r="Q24"/>
  <c r="Q25"/>
  <c r="Q26"/>
  <c r="Q28"/>
  <c r="Q18"/>
  <c r="Q9"/>
  <c r="Q21"/>
  <c r="Q27"/>
  <c r="Q17"/>
  <c r="Q6"/>
  <c r="Q7"/>
  <c r="Q16"/>
  <c r="Q20"/>
  <c r="Q8" i="24"/>
  <c r="Q7"/>
  <c r="Q6"/>
  <c r="Q5"/>
  <c r="Q4"/>
  <c r="Q3"/>
  <c r="Q2"/>
  <c r="R52" i="25"/>
  <c r="Q52"/>
  <c r="R51"/>
  <c r="Q51"/>
  <c r="R50"/>
  <c r="Q50"/>
  <c r="R49"/>
  <c r="Q49"/>
  <c r="R48"/>
  <c r="Q48"/>
  <c r="R47"/>
  <c r="Q47"/>
  <c r="R46"/>
  <c r="Q46"/>
  <c r="R45"/>
  <c r="Q45"/>
  <c r="R44"/>
  <c r="Q44"/>
  <c r="R43"/>
  <c r="Q43"/>
  <c r="R42"/>
  <c r="Q42"/>
  <c r="R41"/>
  <c r="Q41"/>
  <c r="R40"/>
  <c r="Q40"/>
  <c r="R39"/>
  <c r="Q39"/>
  <c r="R38"/>
  <c r="Q38"/>
  <c r="R37"/>
  <c r="Q37"/>
  <c r="R36"/>
  <c r="Q36"/>
  <c r="R35"/>
  <c r="Q35"/>
  <c r="Q34"/>
  <c r="R33"/>
  <c r="Q33"/>
  <c r="R32"/>
  <c r="Q32"/>
  <c r="R31"/>
  <c r="Q31"/>
  <c r="R30"/>
  <c r="Q30"/>
  <c r="R29"/>
  <c r="Q29"/>
  <c r="R28"/>
  <c r="Q28"/>
  <c r="R27"/>
  <c r="Q27"/>
  <c r="Q26"/>
  <c r="R25"/>
  <c r="Q25"/>
  <c r="R24"/>
  <c r="Q24"/>
  <c r="R23"/>
  <c r="Q23"/>
  <c r="R22"/>
  <c r="Q22"/>
  <c r="R21"/>
  <c r="Q21"/>
  <c r="R20"/>
  <c r="Q20"/>
  <c r="R19"/>
  <c r="Q19"/>
  <c r="R18"/>
  <c r="Q18"/>
  <c r="R17"/>
  <c r="Q17"/>
  <c r="R16"/>
  <c r="R15"/>
  <c r="R14"/>
  <c r="Q14"/>
  <c r="R13"/>
  <c r="Q12"/>
  <c r="Q10"/>
  <c r="R9"/>
  <c r="Q9"/>
  <c r="P8" i="24"/>
  <c r="O8"/>
  <c r="P7"/>
  <c r="O7"/>
  <c r="P6"/>
  <c r="O6"/>
  <c r="P5"/>
  <c r="O5"/>
  <c r="P4"/>
  <c r="O4"/>
  <c r="P3"/>
  <c r="O3"/>
  <c r="P2"/>
  <c r="O2"/>
  <c r="R34" i="25"/>
  <c r="R26"/>
  <c r="C430" i="27"/>
  <c r="C429"/>
  <c r="C421"/>
  <c r="C420"/>
  <c r="C412"/>
  <c r="C411"/>
  <c r="C403"/>
  <c r="C402"/>
  <c r="C394"/>
  <c r="C393"/>
  <c r="C385"/>
  <c r="C384"/>
  <c r="C376"/>
  <c r="C375"/>
  <c r="C367"/>
  <c r="C366"/>
  <c r="C358"/>
  <c r="C357"/>
  <c r="C349"/>
  <c r="C348"/>
  <c r="C340"/>
  <c r="C339"/>
  <c r="C331"/>
  <c r="C330"/>
  <c r="C322"/>
  <c r="C321"/>
  <c r="C313"/>
  <c r="C312"/>
  <c r="C304"/>
  <c r="C303"/>
  <c r="C295"/>
  <c r="C294"/>
  <c r="C286"/>
  <c r="C285"/>
  <c r="C277"/>
  <c r="C276"/>
  <c r="C268"/>
  <c r="C267"/>
  <c r="C259"/>
  <c r="C258"/>
  <c r="C250"/>
  <c r="C249"/>
  <c r="C241"/>
  <c r="C240"/>
  <c r="C232"/>
  <c r="C231"/>
  <c r="C223"/>
  <c r="C222"/>
  <c r="C214"/>
  <c r="C213"/>
  <c r="C205"/>
  <c r="C204"/>
  <c r="C196"/>
  <c r="C195"/>
  <c r="C187"/>
  <c r="C186"/>
  <c r="C178"/>
  <c r="C177"/>
  <c r="C169"/>
  <c r="C168"/>
  <c r="C160"/>
  <c r="C159"/>
  <c r="C151"/>
  <c r="C150"/>
  <c r="C142"/>
  <c r="C141"/>
  <c r="C133"/>
  <c r="C132"/>
  <c r="C124"/>
  <c r="C123"/>
  <c r="C106"/>
  <c r="C105"/>
  <c r="C97"/>
  <c r="C96"/>
  <c r="C88"/>
  <c r="C87"/>
  <c r="C79"/>
  <c r="C78"/>
  <c r="C70"/>
  <c r="C69"/>
  <c r="C61"/>
  <c r="C60"/>
  <c r="C52"/>
  <c r="C51"/>
  <c r="C43"/>
  <c r="C42"/>
  <c r="C34"/>
  <c r="C33"/>
  <c r="C25"/>
  <c r="C24"/>
  <c r="C16"/>
  <c r="C15"/>
  <c r="C7"/>
  <c r="C6"/>
  <c r="R8" i="58" l="1"/>
  <c r="R8" i="57"/>
  <c r="R8" i="61"/>
  <c r="R8" i="60"/>
  <c r="R8" i="59"/>
  <c r="R8" i="56"/>
  <c r="R8" i="55"/>
  <c r="R8" i="54"/>
  <c r="R8" i="47"/>
  <c r="R8" i="49"/>
  <c r="R8" i="48"/>
  <c r="R8" i="53"/>
  <c r="R8" i="52"/>
  <c r="R8" i="50"/>
  <c r="R8" i="46"/>
  <c r="R8" i="51"/>
  <c r="R8" i="45"/>
  <c r="R8" i="43"/>
  <c r="Q8" i="61"/>
  <c r="Q8" i="58"/>
  <c r="Q8" i="57"/>
  <c r="Q8" i="56"/>
  <c r="S8" s="1"/>
  <c r="Q8" i="59"/>
  <c r="Q8" i="60"/>
  <c r="Q8" i="55"/>
  <c r="Q8" i="54"/>
  <c r="Q8" i="52"/>
  <c r="Q8" i="51"/>
  <c r="Q8" i="53"/>
  <c r="Q8" i="48"/>
  <c r="Q8" i="47"/>
  <c r="Q8" i="50"/>
  <c r="S8" s="1"/>
  <c r="Q8" i="49"/>
  <c r="Q8" i="46"/>
  <c r="Q8" i="45"/>
  <c r="Q8" i="43"/>
  <c r="R7" i="56"/>
  <c r="R7" i="61"/>
  <c r="R7" i="59"/>
  <c r="R7" i="57"/>
  <c r="R7" i="58"/>
  <c r="R7" i="60"/>
  <c r="R7" i="55"/>
  <c r="R7" i="54"/>
  <c r="R7" i="52"/>
  <c r="R7" i="50"/>
  <c r="R7" i="47"/>
  <c r="R7" i="46"/>
  <c r="R7" i="48"/>
  <c r="R7" i="53"/>
  <c r="R7" i="51"/>
  <c r="R7" i="49"/>
  <c r="R7" i="45"/>
  <c r="R7" i="43"/>
  <c r="Q7" i="61"/>
  <c r="Q7" i="57"/>
  <c r="S7" s="1"/>
  <c r="Q7" i="60"/>
  <c r="Q7" i="59"/>
  <c r="Q7" i="58"/>
  <c r="Q7" i="56"/>
  <c r="Q7" i="55"/>
  <c r="Q7" i="54"/>
  <c r="Q7" i="51"/>
  <c r="S7" s="1"/>
  <c r="Q7" i="50"/>
  <c r="Q7" i="46"/>
  <c r="Q7" i="52"/>
  <c r="Q7" i="45"/>
  <c r="Q7" i="53"/>
  <c r="Q7" i="47"/>
  <c r="Q7" i="49"/>
  <c r="Q7" i="48"/>
  <c r="Q7" i="43"/>
  <c r="R6" i="58"/>
  <c r="R6" i="61"/>
  <c r="R6" i="60"/>
  <c r="R6" i="59"/>
  <c r="R6" i="57"/>
  <c r="R6" i="56"/>
  <c r="R6" i="55"/>
  <c r="R6" i="54"/>
  <c r="R6" i="47"/>
  <c r="R6" i="53"/>
  <c r="R6" i="52"/>
  <c r="R6" i="46"/>
  <c r="R6" i="49"/>
  <c r="R6" i="50"/>
  <c r="R6" i="51"/>
  <c r="R6" i="48"/>
  <c r="R6" i="45"/>
  <c r="R6" i="43"/>
  <c r="Q6" i="61"/>
  <c r="Q6" i="58"/>
  <c r="Q6" i="57"/>
  <c r="Q6" i="56"/>
  <c r="Q6" i="59"/>
  <c r="Q6" i="60"/>
  <c r="Q6" i="55"/>
  <c r="Q6" i="54"/>
  <c r="Q6" i="52"/>
  <c r="Q6" i="51"/>
  <c r="Q6" i="53"/>
  <c r="Q6" i="48"/>
  <c r="Q6" i="47"/>
  <c r="Q6" i="50"/>
  <c r="Q6" i="49"/>
  <c r="Q6" i="46"/>
  <c r="Q6" i="45"/>
  <c r="Q6" i="43"/>
  <c r="R5" i="56"/>
  <c r="R5" i="61"/>
  <c r="R5" i="59"/>
  <c r="R5" i="57"/>
  <c r="R5" i="58"/>
  <c r="R5" i="60"/>
  <c r="R5" i="55"/>
  <c r="R5" i="54"/>
  <c r="R5" i="52"/>
  <c r="R5" i="50"/>
  <c r="R5" i="47"/>
  <c r="R5" i="46"/>
  <c r="R5" i="48"/>
  <c r="R5" i="53"/>
  <c r="R5" i="51"/>
  <c r="R5" i="49"/>
  <c r="R5" i="45"/>
  <c r="R5" i="43"/>
  <c r="Q5" i="61"/>
  <c r="Q5" i="60"/>
  <c r="Q5" i="59"/>
  <c r="Q5" i="58"/>
  <c r="Q5" i="57"/>
  <c r="Q5" i="56"/>
  <c r="Q5" i="55"/>
  <c r="Q5" i="54"/>
  <c r="Q5" i="53"/>
  <c r="Q5" i="47"/>
  <c r="Q5" i="52"/>
  <c r="Q5" i="49"/>
  <c r="Q5" i="45"/>
  <c r="Q5" i="48"/>
  <c r="Q5" i="51"/>
  <c r="Q5" i="50"/>
  <c r="Q5" i="46"/>
  <c r="Q5" i="43"/>
  <c r="R4" i="58"/>
  <c r="R4" i="56"/>
  <c r="R4" i="61"/>
  <c r="R4" i="60"/>
  <c r="R4" i="59"/>
  <c r="R4" i="57"/>
  <c r="R4" i="55"/>
  <c r="R4" i="54"/>
  <c r="R4" i="47"/>
  <c r="R4" i="53"/>
  <c r="R4" i="52"/>
  <c r="R4" i="50"/>
  <c r="R4" i="46"/>
  <c r="R4" i="51"/>
  <c r="R4" i="49"/>
  <c r="R4" i="48"/>
  <c r="R4" i="45"/>
  <c r="R4" i="43"/>
  <c r="Q4" i="61"/>
  <c r="S4" s="1"/>
  <c r="Q4" i="58"/>
  <c r="Q4" i="57"/>
  <c r="Q4" i="56"/>
  <c r="Q4" i="60"/>
  <c r="Q4" i="59"/>
  <c r="Q4" i="55"/>
  <c r="Q4" i="54"/>
  <c r="Q4" i="52"/>
  <c r="S4" s="1"/>
  <c r="Q4" i="51"/>
  <c r="Q4" i="53"/>
  <c r="Q4" i="48"/>
  <c r="Q4" i="47"/>
  <c r="Q4" i="50"/>
  <c r="S4" s="1"/>
  <c r="Q4" i="49"/>
  <c r="Q4" i="46"/>
  <c r="Q4" i="45"/>
  <c r="Q4" i="43"/>
  <c r="R3" i="57"/>
  <c r="R3" i="60"/>
  <c r="R3" i="56"/>
  <c r="R3" i="61"/>
  <c r="R3" i="59"/>
  <c r="R3" i="58"/>
  <c r="R3" i="55"/>
  <c r="R3" i="54"/>
  <c r="R3" i="48"/>
  <c r="R3" i="52"/>
  <c r="R3" i="51"/>
  <c r="R3" i="50"/>
  <c r="R3" i="46"/>
  <c r="R3" i="53"/>
  <c r="R3" i="47"/>
  <c r="R3" i="49"/>
  <c r="Q3" i="61"/>
  <c r="Q3" i="57"/>
  <c r="Q3" i="60"/>
  <c r="Q3" i="59"/>
  <c r="Q3" i="58"/>
  <c r="Q3" i="56"/>
  <c r="Q3" i="55"/>
  <c r="Q3" i="54"/>
  <c r="Q3" i="51"/>
  <c r="Q3" i="50"/>
  <c r="Q3" i="46"/>
  <c r="Q3" i="53"/>
  <c r="Q3" i="47"/>
  <c r="Q3" i="52"/>
  <c r="Q3" i="49"/>
  <c r="Q3" i="48"/>
  <c r="R2" i="58"/>
  <c r="R2" i="60"/>
  <c r="R2" i="61"/>
  <c r="R2" i="59"/>
  <c r="R2" i="56"/>
  <c r="R2" i="57"/>
  <c r="R2" i="55"/>
  <c r="R2" i="54"/>
  <c r="R2" i="50"/>
  <c r="R2" i="51"/>
  <c r="R2" i="53"/>
  <c r="R2" i="49"/>
  <c r="R2" i="52"/>
  <c r="Q2" i="61"/>
  <c r="Q2" i="60"/>
  <c r="Q2" i="57"/>
  <c r="Q2" i="59"/>
  <c r="Q2" i="58"/>
  <c r="Q2" i="56"/>
  <c r="Q2" i="55"/>
  <c r="Q2" i="54"/>
  <c r="Q2" i="51"/>
  <c r="Q2" i="53"/>
  <c r="Q2" i="49"/>
  <c r="S2" s="1"/>
  <c r="Q2" i="52"/>
  <c r="S2" s="1"/>
  <c r="Q2" i="50"/>
  <c r="R2" i="45"/>
  <c r="R2" i="47"/>
  <c r="R2" i="46"/>
  <c r="R2" i="48"/>
  <c r="Q2" i="45"/>
  <c r="Q2" i="48"/>
  <c r="Q2" i="46"/>
  <c r="S2" s="1"/>
  <c r="Q2" i="47"/>
  <c r="R3" i="45"/>
  <c r="R3" i="43"/>
  <c r="Q3" i="45"/>
  <c r="Q3" i="43"/>
  <c r="R2"/>
  <c r="Q2"/>
  <c r="R7" i="25"/>
  <c r="R8"/>
  <c r="Q8"/>
  <c r="B456" i="27"/>
  <c r="B457"/>
  <c r="B447"/>
  <c r="B448"/>
  <c r="B439"/>
  <c r="B438"/>
  <c r="B421"/>
  <c r="B420"/>
  <c r="B430"/>
  <c r="B429"/>
  <c r="B412"/>
  <c r="B411"/>
  <c r="B402"/>
  <c r="B403"/>
  <c r="B385"/>
  <c r="B384"/>
  <c r="B393"/>
  <c r="B394"/>
  <c r="B376"/>
  <c r="B375"/>
  <c r="B366"/>
  <c r="B367"/>
  <c r="B349"/>
  <c r="B348"/>
  <c r="B358"/>
  <c r="B357"/>
  <c r="B339"/>
  <c r="B340"/>
  <c r="B331"/>
  <c r="B330"/>
  <c r="B313"/>
  <c r="B312"/>
  <c r="B322"/>
  <c r="B321"/>
  <c r="B303"/>
  <c r="B304"/>
  <c r="B295"/>
  <c r="B294"/>
  <c r="B277"/>
  <c r="B276"/>
  <c r="B286"/>
  <c r="B285"/>
  <c r="B267"/>
  <c r="B268"/>
  <c r="B258"/>
  <c r="B259"/>
  <c r="B250"/>
  <c r="B249"/>
  <c r="B240"/>
  <c r="B241"/>
  <c r="B232"/>
  <c r="B231"/>
  <c r="B223"/>
  <c r="B222"/>
  <c r="B213"/>
  <c r="B214"/>
  <c r="B195"/>
  <c r="B196"/>
  <c r="B205"/>
  <c r="B204"/>
  <c r="B187"/>
  <c r="B186"/>
  <c r="B169"/>
  <c r="B168"/>
  <c r="B178"/>
  <c r="B177"/>
  <c r="B159"/>
  <c r="B160"/>
  <c r="B151"/>
  <c r="B150"/>
  <c r="B141"/>
  <c r="B142"/>
  <c r="B133"/>
  <c r="B132"/>
  <c r="C114"/>
  <c r="B115"/>
  <c r="B114"/>
  <c r="B123"/>
  <c r="B124"/>
  <c r="C115"/>
  <c r="B106"/>
  <c r="B105"/>
  <c r="B96"/>
  <c r="B97"/>
  <c r="B88"/>
  <c r="B87"/>
  <c r="B78"/>
  <c r="B79"/>
  <c r="B69"/>
  <c r="B70"/>
  <c r="B60"/>
  <c r="B61"/>
  <c r="B51"/>
  <c r="B52"/>
  <c r="B42"/>
  <c r="B43"/>
  <c r="Q11" i="25"/>
  <c r="B24" i="27"/>
  <c r="B25"/>
  <c r="R10" i="25"/>
  <c r="S10" s="1"/>
  <c r="S18"/>
  <c r="W18" s="1"/>
  <c r="S20"/>
  <c r="V20" s="1"/>
  <c r="S22"/>
  <c r="V22" s="1"/>
  <c r="S24"/>
  <c r="T24" s="1"/>
  <c r="S26"/>
  <c r="W26" s="1"/>
  <c r="S28"/>
  <c r="V28" s="1"/>
  <c r="S30"/>
  <c r="U30" s="1"/>
  <c r="S32"/>
  <c r="U32" s="1"/>
  <c r="S34"/>
  <c r="W34" s="1"/>
  <c r="S36"/>
  <c r="V36" s="1"/>
  <c r="S38"/>
  <c r="S40"/>
  <c r="W40" s="1"/>
  <c r="S42"/>
  <c r="W42" s="1"/>
  <c r="S44"/>
  <c r="U44" s="1"/>
  <c r="S46"/>
  <c r="W46" s="1"/>
  <c r="S48"/>
  <c r="V48" s="1"/>
  <c r="S50"/>
  <c r="S52"/>
  <c r="T52" s="1"/>
  <c r="Q16"/>
  <c r="S16" s="1"/>
  <c r="T16" s="1"/>
  <c r="R12"/>
  <c r="S12" s="1"/>
  <c r="T12" s="1"/>
  <c r="Q13"/>
  <c r="S13" s="1"/>
  <c r="T13" s="1"/>
  <c r="Q15"/>
  <c r="S15" s="1"/>
  <c r="R11"/>
  <c r="B34" i="27"/>
  <c r="B33"/>
  <c r="B15"/>
  <c r="B16"/>
  <c r="B7"/>
  <c r="B6"/>
  <c r="Q7" i="25"/>
  <c r="S7" s="1"/>
  <c r="U7" s="1"/>
  <c r="R6"/>
  <c r="S17"/>
  <c r="T17" s="1"/>
  <c r="S21"/>
  <c r="S25"/>
  <c r="S29"/>
  <c r="S33"/>
  <c r="S37"/>
  <c r="S41"/>
  <c r="S43"/>
  <c r="S47"/>
  <c r="S51"/>
  <c r="S9"/>
  <c r="S14"/>
  <c r="S19"/>
  <c r="S23"/>
  <c r="S27"/>
  <c r="T27" s="1"/>
  <c r="S31"/>
  <c r="S35"/>
  <c r="T35" s="1"/>
  <c r="S39"/>
  <c r="T39" s="1"/>
  <c r="S45"/>
  <c r="S49"/>
  <c r="Q5"/>
  <c r="Q6"/>
  <c r="Q4"/>
  <c r="R5"/>
  <c r="R4"/>
  <c r="R3"/>
  <c r="Q3"/>
  <c r="R2"/>
  <c r="Q2"/>
  <c r="S5" i="46" l="1"/>
  <c r="S5" i="49"/>
  <c r="S5" i="54"/>
  <c r="T5" s="1"/>
  <c r="S6" i="46"/>
  <c r="T6" s="1"/>
  <c r="S5" i="57"/>
  <c r="S6" i="48"/>
  <c r="S6" i="54"/>
  <c r="W6" s="1"/>
  <c r="S6" i="59"/>
  <c r="V6" s="1"/>
  <c r="S3" i="48"/>
  <c r="S3" i="59"/>
  <c r="S2" i="56"/>
  <c r="U2" s="1"/>
  <c r="S3" i="46"/>
  <c r="T3" s="1"/>
  <c r="S7" i="61"/>
  <c r="V7" s="1"/>
  <c r="S8" i="47"/>
  <c r="S7" i="52"/>
  <c r="V7" s="1"/>
  <c r="U38" i="25"/>
  <c r="F53" i="3"/>
  <c r="E53"/>
  <c r="D53"/>
  <c r="C53"/>
  <c r="S4" i="43"/>
  <c r="T4" s="1"/>
  <c r="S6" i="51"/>
  <c r="S6" i="60"/>
  <c r="V6" s="1"/>
  <c r="S3" i="56"/>
  <c r="T3" s="1"/>
  <c r="S7" i="59"/>
  <c r="U7" s="1"/>
  <c r="S3" i="58"/>
  <c r="S4" i="49"/>
  <c r="U4" s="1"/>
  <c r="S5" i="51"/>
  <c r="W5" s="1"/>
  <c r="S5" i="55"/>
  <c r="W5" s="1"/>
  <c r="S5" i="59"/>
  <c r="S6" i="55"/>
  <c r="T6" s="1"/>
  <c r="S7" i="46"/>
  <c r="W7" s="1"/>
  <c r="S2" i="54"/>
  <c r="T2" s="1"/>
  <c r="S4" i="58"/>
  <c r="S3" i="49"/>
  <c r="W3" s="1"/>
  <c r="S4" i="60"/>
  <c r="V4" s="1"/>
  <c r="S5" i="61"/>
  <c r="W5" s="1"/>
  <c r="S6" i="53"/>
  <c r="S7" i="47"/>
  <c r="T7" s="1"/>
  <c r="S7" i="55"/>
  <c r="V7" s="1"/>
  <c r="S7" i="43"/>
  <c r="V7" s="1"/>
  <c r="S7" i="53"/>
  <c r="S8" i="46"/>
  <c r="U8" s="1"/>
  <c r="S8" i="48"/>
  <c r="V8" s="1"/>
  <c r="S2" i="61"/>
  <c r="U2" s="1"/>
  <c r="S3" i="50"/>
  <c r="S4" i="48"/>
  <c r="U4" s="1"/>
  <c r="S4" i="54"/>
  <c r="U4" s="1"/>
  <c r="S6" i="43"/>
  <c r="V6" s="1"/>
  <c r="S8" i="55"/>
  <c r="V8" s="1"/>
  <c r="S6" i="45"/>
  <c r="U6" s="1"/>
  <c r="S8" i="51"/>
  <c r="W8" s="1"/>
  <c r="S8" i="60"/>
  <c r="V8" s="1"/>
  <c r="S2" i="55"/>
  <c r="S2" i="57"/>
  <c r="S3" i="47"/>
  <c r="T3" s="1"/>
  <c r="S3" i="51"/>
  <c r="T3" s="1"/>
  <c r="S3" i="61"/>
  <c r="W3" s="1"/>
  <c r="S3" i="60"/>
  <c r="T3" s="1"/>
  <c r="S4" i="56"/>
  <c r="W4" s="1"/>
  <c r="S5" i="47"/>
  <c r="V5" s="1"/>
  <c r="S5" i="43"/>
  <c r="T5" s="1"/>
  <c r="S6" i="56"/>
  <c r="V6" s="1"/>
  <c r="S8" i="52"/>
  <c r="W8" s="1"/>
  <c r="S8" i="61"/>
  <c r="W8" s="1"/>
  <c r="S2" i="53"/>
  <c r="S2" i="60"/>
  <c r="S3" i="54"/>
  <c r="W3" s="1"/>
  <c r="S5" i="45"/>
  <c r="W5" s="1"/>
  <c r="S6" i="49"/>
  <c r="V6" s="1"/>
  <c r="S6" i="57"/>
  <c r="U6" s="1"/>
  <c r="S8" i="54"/>
  <c r="W8" s="1"/>
  <c r="S4" i="51"/>
  <c r="V4" s="1"/>
  <c r="S6" i="50"/>
  <c r="W6" s="1"/>
  <c r="S7" i="49"/>
  <c r="W7" s="1"/>
  <c r="S7" i="54"/>
  <c r="W7" s="1"/>
  <c r="S7" i="45"/>
  <c r="U7" s="1"/>
  <c r="S7" i="58"/>
  <c r="W7" s="1"/>
  <c r="T50" i="25"/>
  <c r="S3" i="53"/>
  <c r="V3" s="1"/>
  <c r="S4" i="46"/>
  <c r="T4" s="1"/>
  <c r="S8" i="53"/>
  <c r="V8" s="1"/>
  <c r="S2" i="50"/>
  <c r="S2" i="51"/>
  <c r="U2" s="1"/>
  <c r="S2" i="58"/>
  <c r="S3" i="55"/>
  <c r="T3" s="1"/>
  <c r="S5" i="60"/>
  <c r="T5" s="1"/>
  <c r="S6" i="52"/>
  <c r="U6" s="1"/>
  <c r="S8" i="43"/>
  <c r="U8" s="1"/>
  <c r="S6" i="58"/>
  <c r="V6" s="1"/>
  <c r="S3" i="45"/>
  <c r="W3" s="1"/>
  <c r="S2" i="59"/>
  <c r="W2" s="1"/>
  <c r="S3" i="52"/>
  <c r="T3" s="1"/>
  <c r="S3" i="57"/>
  <c r="T3" s="1"/>
  <c r="S4" i="55"/>
  <c r="T4" s="1"/>
  <c r="S5" i="53"/>
  <c r="V5" s="1"/>
  <c r="S8" i="45"/>
  <c r="U8" s="1"/>
  <c r="S8" i="59"/>
  <c r="W8" s="1"/>
  <c r="S8" i="58"/>
  <c r="V8" s="1"/>
  <c r="S8" i="49"/>
  <c r="T8" s="1"/>
  <c r="S8" i="57"/>
  <c r="W8" s="1"/>
  <c r="W8" i="53"/>
  <c r="W8" i="55"/>
  <c r="U8"/>
  <c r="T8"/>
  <c r="V8" i="50"/>
  <c r="W8"/>
  <c r="T8"/>
  <c r="U8"/>
  <c r="V8" i="47"/>
  <c r="U8"/>
  <c r="T8"/>
  <c r="W8"/>
  <c r="V8" i="56"/>
  <c r="T8"/>
  <c r="W8"/>
  <c r="U8"/>
  <c r="W8" i="60"/>
  <c r="T8"/>
  <c r="V8" i="43"/>
  <c r="V8" i="61"/>
  <c r="U8"/>
  <c r="S8" i="25"/>
  <c r="T8" s="1"/>
  <c r="S7" i="48"/>
  <c r="U7" s="1"/>
  <c r="S7" i="50"/>
  <c r="U7" s="1"/>
  <c r="S7" i="56"/>
  <c r="V7" s="1"/>
  <c r="S7" i="60"/>
  <c r="T7" s="1"/>
  <c r="W7" i="52"/>
  <c r="W7" i="59"/>
  <c r="V7"/>
  <c r="W7" i="45"/>
  <c r="T7"/>
  <c r="V7" i="58"/>
  <c r="U7" i="43"/>
  <c r="W7"/>
  <c r="U7" i="53"/>
  <c r="T7"/>
  <c r="V7"/>
  <c r="W7"/>
  <c r="T7" i="51"/>
  <c r="U7"/>
  <c r="V7"/>
  <c r="W7"/>
  <c r="U7" i="57"/>
  <c r="V7"/>
  <c r="T7"/>
  <c r="W7"/>
  <c r="W7" i="61"/>
  <c r="T7"/>
  <c r="S6" i="47"/>
  <c r="W6" s="1"/>
  <c r="S6" i="61"/>
  <c r="T6" s="1"/>
  <c r="W6" i="51"/>
  <c r="V6"/>
  <c r="T6"/>
  <c r="U6"/>
  <c r="T6" i="49"/>
  <c r="T6" i="53"/>
  <c r="W6"/>
  <c r="V6"/>
  <c r="U6"/>
  <c r="V6" i="54"/>
  <c r="V6" i="46"/>
  <c r="U6" i="48"/>
  <c r="V6"/>
  <c r="T6"/>
  <c r="W6"/>
  <c r="W6" i="43"/>
  <c r="T6"/>
  <c r="T6" i="50"/>
  <c r="S5" i="48"/>
  <c r="V5" s="1"/>
  <c r="S5" i="56"/>
  <c r="U5" s="1"/>
  <c r="S5" i="52"/>
  <c r="U5" s="1"/>
  <c r="S5" i="50"/>
  <c r="U5" s="1"/>
  <c r="S5" i="58"/>
  <c r="W5" s="1"/>
  <c r="T5" i="49"/>
  <c r="W5"/>
  <c r="U5"/>
  <c r="V5"/>
  <c r="V5" i="54"/>
  <c r="U5"/>
  <c r="T5" i="61"/>
  <c r="V5"/>
  <c r="T5" i="55"/>
  <c r="U5"/>
  <c r="T5" i="47"/>
  <c r="W5"/>
  <c r="W5" i="43"/>
  <c r="U5" i="46"/>
  <c r="T5"/>
  <c r="W5"/>
  <c r="V5"/>
  <c r="U5" i="57"/>
  <c r="W5"/>
  <c r="T5"/>
  <c r="V5"/>
  <c r="V5" i="59"/>
  <c r="U5"/>
  <c r="T5"/>
  <c r="W5"/>
  <c r="T5" i="45"/>
  <c r="U5"/>
  <c r="S4"/>
  <c r="W4" s="1"/>
  <c r="S4" i="47"/>
  <c r="W4" s="1"/>
  <c r="S4" i="59"/>
  <c r="W4" s="1"/>
  <c r="S4" i="53"/>
  <c r="U4" s="1"/>
  <c r="S4" i="57"/>
  <c r="U4" s="1"/>
  <c r="V4" i="52"/>
  <c r="W4"/>
  <c r="U4"/>
  <c r="T4"/>
  <c r="W4" i="61"/>
  <c r="T4"/>
  <c r="V4"/>
  <c r="U4"/>
  <c r="W4" i="46"/>
  <c r="V4"/>
  <c r="T4" i="50"/>
  <c r="V4"/>
  <c r="W4"/>
  <c r="U4"/>
  <c r="W4" i="51"/>
  <c r="T4"/>
  <c r="U4" i="58"/>
  <c r="T4"/>
  <c r="W4"/>
  <c r="V4"/>
  <c r="W4" i="43"/>
  <c r="U4"/>
  <c r="V4"/>
  <c r="W3" i="58"/>
  <c r="T3"/>
  <c r="V3"/>
  <c r="U3"/>
  <c r="W3" i="52"/>
  <c r="V3"/>
  <c r="V3" i="50"/>
  <c r="W3"/>
  <c r="T3"/>
  <c r="U3"/>
  <c r="W3" i="59"/>
  <c r="U3"/>
  <c r="V3"/>
  <c r="T3"/>
  <c r="T3" i="61"/>
  <c r="V3" i="51"/>
  <c r="W3"/>
  <c r="U3"/>
  <c r="W3" i="48"/>
  <c r="T3"/>
  <c r="V3"/>
  <c r="U3"/>
  <c r="S3" i="43"/>
  <c r="T3" s="1"/>
  <c r="U2" i="58"/>
  <c r="V2"/>
  <c r="T2" i="61"/>
  <c r="W2"/>
  <c r="V2"/>
  <c r="T2" i="53"/>
  <c r="T2" i="55"/>
  <c r="U2" i="52"/>
  <c r="T2"/>
  <c r="W2"/>
  <c r="V2"/>
  <c r="W2" i="54"/>
  <c r="V2"/>
  <c r="U2"/>
  <c r="W2" i="49"/>
  <c r="U2"/>
  <c r="V2"/>
  <c r="T2"/>
  <c r="W2" i="56"/>
  <c r="S2" i="47"/>
  <c r="S2" i="45"/>
  <c r="S2" i="48"/>
  <c r="T2" i="46"/>
  <c r="V2"/>
  <c r="W2"/>
  <c r="U2"/>
  <c r="S2" i="43"/>
  <c r="S11" i="25"/>
  <c r="V11" s="1"/>
  <c r="T38"/>
  <c r="U46"/>
  <c r="T40"/>
  <c r="W48"/>
  <c r="U40"/>
  <c r="T46"/>
  <c r="V42"/>
  <c r="T42"/>
  <c r="U42"/>
  <c r="T44"/>
  <c r="T36"/>
  <c r="V44"/>
  <c r="W36"/>
  <c r="V38"/>
  <c r="T34"/>
  <c r="U34"/>
  <c r="V34"/>
  <c r="W44"/>
  <c r="U36"/>
  <c r="T20"/>
  <c r="V30"/>
  <c r="T30"/>
  <c r="W30"/>
  <c r="U28"/>
  <c r="W28"/>
  <c r="T28"/>
  <c r="U26"/>
  <c r="V26"/>
  <c r="T26"/>
  <c r="V24"/>
  <c r="W22"/>
  <c r="U22"/>
  <c r="W20"/>
  <c r="U20"/>
  <c r="T18"/>
  <c r="V18"/>
  <c r="U18"/>
  <c r="W16"/>
  <c r="V16"/>
  <c r="T32"/>
  <c r="U48"/>
  <c r="V32"/>
  <c r="T22"/>
  <c r="U16"/>
  <c r="V46"/>
  <c r="V40"/>
  <c r="W38"/>
  <c r="W32"/>
  <c r="U24"/>
  <c r="W24"/>
  <c r="T48"/>
  <c r="T10"/>
  <c r="S6"/>
  <c r="V6" s="1"/>
  <c r="T23"/>
  <c r="U51"/>
  <c r="W51"/>
  <c r="V51"/>
  <c r="T51"/>
  <c r="U50"/>
  <c r="W50"/>
  <c r="V50"/>
  <c r="U52"/>
  <c r="W52"/>
  <c r="V52"/>
  <c r="U35"/>
  <c r="W35"/>
  <c r="V35"/>
  <c r="U19"/>
  <c r="W19"/>
  <c r="V19"/>
  <c r="U47"/>
  <c r="W47"/>
  <c r="V47"/>
  <c r="U33"/>
  <c r="W33"/>
  <c r="V33"/>
  <c r="U17"/>
  <c r="W17"/>
  <c r="V17"/>
  <c r="V8"/>
  <c r="U49"/>
  <c r="W49"/>
  <c r="V49"/>
  <c r="U31"/>
  <c r="W31"/>
  <c r="V31"/>
  <c r="U14"/>
  <c r="W14"/>
  <c r="V14"/>
  <c r="U43"/>
  <c r="W43"/>
  <c r="V43"/>
  <c r="U29"/>
  <c r="W29"/>
  <c r="V29"/>
  <c r="U15"/>
  <c r="W15"/>
  <c r="V15"/>
  <c r="T47"/>
  <c r="T33"/>
  <c r="T19"/>
  <c r="T15"/>
  <c r="U45"/>
  <c r="W45"/>
  <c r="V45"/>
  <c r="U27"/>
  <c r="W27"/>
  <c r="V27"/>
  <c r="U12"/>
  <c r="W12"/>
  <c r="V12"/>
  <c r="U41"/>
  <c r="W41"/>
  <c r="V41"/>
  <c r="U25"/>
  <c r="W25"/>
  <c r="V25"/>
  <c r="U13"/>
  <c r="W13"/>
  <c r="V13"/>
  <c r="U39"/>
  <c r="W39"/>
  <c r="V39"/>
  <c r="U23"/>
  <c r="W23"/>
  <c r="V23"/>
  <c r="U9"/>
  <c r="W9"/>
  <c r="V9"/>
  <c r="U37"/>
  <c r="W37"/>
  <c r="V37"/>
  <c r="U21"/>
  <c r="W21"/>
  <c r="V21"/>
  <c r="U10"/>
  <c r="W10"/>
  <c r="V10"/>
  <c r="T7"/>
  <c r="V7"/>
  <c r="W7"/>
  <c r="S5"/>
  <c r="V5" s="1"/>
  <c r="T14"/>
  <c r="T43"/>
  <c r="T31"/>
  <c r="T9"/>
  <c r="T49"/>
  <c r="T45"/>
  <c r="T41"/>
  <c r="T37"/>
  <c r="T29"/>
  <c r="T25"/>
  <c r="T21"/>
  <c r="S3"/>
  <c r="S4"/>
  <c r="S2"/>
  <c r="V3" i="46" l="1"/>
  <c r="T2" i="56"/>
  <c r="W5" i="54"/>
  <c r="U6" i="46"/>
  <c r="T6" i="59"/>
  <c r="V7" i="46"/>
  <c r="W6"/>
  <c r="U3" i="56"/>
  <c r="T6" i="54"/>
  <c r="U7" i="52"/>
  <c r="W3" i="46"/>
  <c r="V2" i="56"/>
  <c r="U3" i="46"/>
  <c r="V3" i="56"/>
  <c r="T5" i="51"/>
  <c r="U6" i="54"/>
  <c r="W6" i="59"/>
  <c r="W7" i="55"/>
  <c r="T7" i="52"/>
  <c r="E18" i="3"/>
  <c r="I18" s="1"/>
  <c r="W3" i="56"/>
  <c r="U6" i="59"/>
  <c r="U6" i="55"/>
  <c r="F38" i="3"/>
  <c r="E5"/>
  <c r="I5" s="1"/>
  <c r="U4" i="60"/>
  <c r="V5" i="45"/>
  <c r="T5" i="53"/>
  <c r="U5" i="47"/>
  <c r="V5" i="55"/>
  <c r="U5" i="51"/>
  <c r="U5" i="61"/>
  <c r="U6" i="43"/>
  <c r="U7" i="61"/>
  <c r="T7" i="43"/>
  <c r="V7" i="45"/>
  <c r="T7" i="59"/>
  <c r="U7" i="46"/>
  <c r="T8" i="61"/>
  <c r="X30" s="1"/>
  <c r="U8" i="60"/>
  <c r="W8" i="48"/>
  <c r="W3" i="47"/>
  <c r="V3" i="54"/>
  <c r="U3" i="53"/>
  <c r="AB17" s="1"/>
  <c r="U4" i="51"/>
  <c r="V4" i="54"/>
  <c r="V5" i="51"/>
  <c r="T7" i="46"/>
  <c r="X30" s="1"/>
  <c r="W8" i="45"/>
  <c r="T8" i="52"/>
  <c r="U13" i="3"/>
  <c r="T4" i="56"/>
  <c r="W6" i="52"/>
  <c r="T7" i="54"/>
  <c r="T8" i="51"/>
  <c r="F33" i="3"/>
  <c r="C33"/>
  <c r="E33"/>
  <c r="D33"/>
  <c r="W2" i="47"/>
  <c r="F39" i="3"/>
  <c r="C39"/>
  <c r="E39"/>
  <c r="D39"/>
  <c r="U4"/>
  <c r="AA10" i="47"/>
  <c r="Z10" s="1"/>
  <c r="T4" i="45"/>
  <c r="U2" i="50"/>
  <c r="AB30" s="1"/>
  <c r="F34" i="3"/>
  <c r="E34"/>
  <c r="C34"/>
  <c r="D34"/>
  <c r="V2" i="60"/>
  <c r="F36" i="3"/>
  <c r="C36"/>
  <c r="E36"/>
  <c r="D36"/>
  <c r="W2" i="57"/>
  <c r="F43" i="3"/>
  <c r="E43"/>
  <c r="C43"/>
  <c r="D43"/>
  <c r="AA10" i="57"/>
  <c r="Z10" s="1"/>
  <c r="U6" i="3"/>
  <c r="D41"/>
  <c r="C40"/>
  <c r="D38"/>
  <c r="D42"/>
  <c r="F32"/>
  <c r="E32"/>
  <c r="C32"/>
  <c r="D32"/>
  <c r="F31"/>
  <c r="C31"/>
  <c r="E31"/>
  <c r="D31"/>
  <c r="U2" i="55"/>
  <c r="F27" i="3"/>
  <c r="E27"/>
  <c r="D27"/>
  <c r="C27"/>
  <c r="C41"/>
  <c r="D40"/>
  <c r="C38"/>
  <c r="E42"/>
  <c r="F35"/>
  <c r="E35"/>
  <c r="D35"/>
  <c r="C35"/>
  <c r="T2" i="58"/>
  <c r="C30" i="3"/>
  <c r="D30"/>
  <c r="E30"/>
  <c r="F30"/>
  <c r="F29"/>
  <c r="E29"/>
  <c r="C29"/>
  <c r="D29"/>
  <c r="F44"/>
  <c r="E44"/>
  <c r="D44"/>
  <c r="C44"/>
  <c r="E41"/>
  <c r="E40"/>
  <c r="E38"/>
  <c r="C42"/>
  <c r="F45"/>
  <c r="E45"/>
  <c r="D45"/>
  <c r="C45"/>
  <c r="V2" i="59"/>
  <c r="F37" i="3"/>
  <c r="E37"/>
  <c r="D37"/>
  <c r="C37"/>
  <c r="F28"/>
  <c r="C28"/>
  <c r="E28"/>
  <c r="D28"/>
  <c r="F41"/>
  <c r="F40"/>
  <c r="F42"/>
  <c r="V2" i="47"/>
  <c r="V6" i="61"/>
  <c r="T8" i="45"/>
  <c r="W8" i="43"/>
  <c r="U6" i="61"/>
  <c r="S19" i="3"/>
  <c r="W4" i="49"/>
  <c r="T6" i="60"/>
  <c r="W6" i="45"/>
  <c r="T3"/>
  <c r="D17" i="3"/>
  <c r="H17" s="1"/>
  <c r="V2" i="57"/>
  <c r="T4" i="48"/>
  <c r="V4" i="49"/>
  <c r="W6" i="60"/>
  <c r="W6" i="55"/>
  <c r="W7" i="60"/>
  <c r="W8" i="46"/>
  <c r="D7" i="3"/>
  <c r="H7" s="1"/>
  <c r="C14"/>
  <c r="G14" s="1"/>
  <c r="V3" i="60"/>
  <c r="T4" i="49"/>
  <c r="V5" i="60"/>
  <c r="U6"/>
  <c r="V6" i="55"/>
  <c r="U8" i="57"/>
  <c r="U3" i="43"/>
  <c r="T2" i="50"/>
  <c r="T3" i="49"/>
  <c r="V7" i="60"/>
  <c r="T4" i="53"/>
  <c r="AA10" i="54"/>
  <c r="Z10" s="1"/>
  <c r="F18" i="3"/>
  <c r="J18" s="1"/>
  <c r="F11"/>
  <c r="J11" s="1"/>
  <c r="W2" i="51"/>
  <c r="U18" i="3"/>
  <c r="T2" i="59"/>
  <c r="U3" i="47"/>
  <c r="T3" i="53"/>
  <c r="T3" i="54"/>
  <c r="D5" i="3"/>
  <c r="H5" s="1"/>
  <c r="T4" i="60"/>
  <c r="X30" s="1"/>
  <c r="W4" i="54"/>
  <c r="V4" i="53"/>
  <c r="U4" i="56"/>
  <c r="W5" i="53"/>
  <c r="T6" i="52"/>
  <c r="U7" i="54"/>
  <c r="U7" i="55"/>
  <c r="V8" i="51"/>
  <c r="T8" i="48"/>
  <c r="U8" i="52"/>
  <c r="U8" i="54"/>
  <c r="C17" i="3"/>
  <c r="G17" s="1"/>
  <c r="D18"/>
  <c r="H18" s="1"/>
  <c r="C18"/>
  <c r="T2" i="51"/>
  <c r="X30" s="1"/>
  <c r="S18" i="3"/>
  <c r="U2" i="59"/>
  <c r="V3" i="47"/>
  <c r="W3" i="53"/>
  <c r="U3" i="54"/>
  <c r="F5" i="3"/>
  <c r="J5" s="1"/>
  <c r="W4" i="60"/>
  <c r="T4" i="54"/>
  <c r="W4" i="53"/>
  <c r="V4" i="56"/>
  <c r="U5" i="53"/>
  <c r="V5" i="50"/>
  <c r="T6" i="56"/>
  <c r="V6" i="52"/>
  <c r="V7" i="54"/>
  <c r="T7" i="49"/>
  <c r="T7" i="55"/>
  <c r="X30" s="1"/>
  <c r="U7" i="47"/>
  <c r="U8" i="51"/>
  <c r="U8" i="48"/>
  <c r="V8" i="52"/>
  <c r="V8" i="54"/>
  <c r="T8"/>
  <c r="S13" i="3"/>
  <c r="V2" i="51"/>
  <c r="X17" s="1"/>
  <c r="AA10"/>
  <c r="Z10" s="1"/>
  <c r="W4" i="55"/>
  <c r="C5" i="3"/>
  <c r="G5" s="1"/>
  <c r="V6" i="57"/>
  <c r="U7" i="56"/>
  <c r="U3" i="45"/>
  <c r="C20" i="3"/>
  <c r="G20" s="1"/>
  <c r="W2" i="60"/>
  <c r="F17" i="3"/>
  <c r="J17" s="1"/>
  <c r="T2" i="57"/>
  <c r="W2" i="50"/>
  <c r="U3" i="60"/>
  <c r="V3" i="49"/>
  <c r="V4" i="55"/>
  <c r="W4" i="48"/>
  <c r="W5" i="60"/>
  <c r="V5" i="56"/>
  <c r="V6" i="45"/>
  <c r="U6" i="56"/>
  <c r="W6" i="57"/>
  <c r="V7" i="49"/>
  <c r="V7" i="47"/>
  <c r="V8" i="46"/>
  <c r="T8" i="58"/>
  <c r="V3" i="45"/>
  <c r="U19" i="3"/>
  <c r="T2" i="60"/>
  <c r="X17" s="1"/>
  <c r="AA10"/>
  <c r="Z10" s="1"/>
  <c r="S22" i="3"/>
  <c r="U2" i="57"/>
  <c r="V2" i="50"/>
  <c r="W3" i="60"/>
  <c r="U3" i="49"/>
  <c r="U4" i="55"/>
  <c r="V4" i="48"/>
  <c r="U5" i="60"/>
  <c r="T6" i="45"/>
  <c r="W6" i="56"/>
  <c r="T6" i="57"/>
  <c r="U7" i="49"/>
  <c r="W7" i="47"/>
  <c r="T8" i="46"/>
  <c r="D14" i="3"/>
  <c r="H14" s="1"/>
  <c r="E15"/>
  <c r="I15" s="1"/>
  <c r="U2" i="60"/>
  <c r="U22" i="3"/>
  <c r="E17"/>
  <c r="I17" s="1"/>
  <c r="C4"/>
  <c r="G4" s="1"/>
  <c r="V6" i="47"/>
  <c r="V7" i="48"/>
  <c r="U4" i="47"/>
  <c r="V2" i="55"/>
  <c r="V2" i="53"/>
  <c r="AA10" i="58"/>
  <c r="Z10" s="1"/>
  <c r="AA10" i="59"/>
  <c r="Z10" s="1"/>
  <c r="V3" i="55"/>
  <c r="C8" i="3"/>
  <c r="G8" s="1"/>
  <c r="U5" i="43"/>
  <c r="U6" i="50"/>
  <c r="W6" i="58"/>
  <c r="U6" i="49"/>
  <c r="T7" i="58"/>
  <c r="W7" i="56"/>
  <c r="U7" i="60"/>
  <c r="W8" i="58"/>
  <c r="E7" i="3"/>
  <c r="I7" s="1"/>
  <c r="U2" i="53"/>
  <c r="V3" i="61"/>
  <c r="X17" s="1"/>
  <c r="W3" i="43"/>
  <c r="W2" i="55"/>
  <c r="AA10" i="53"/>
  <c r="Z10" s="1"/>
  <c r="S10" i="3"/>
  <c r="AA10" i="61"/>
  <c r="Z10" s="1"/>
  <c r="S17" i="3"/>
  <c r="F13"/>
  <c r="J13" s="1"/>
  <c r="U3" i="61"/>
  <c r="AB30" s="1"/>
  <c r="U3" i="57"/>
  <c r="V5" i="43"/>
  <c r="W5" i="50"/>
  <c r="V6"/>
  <c r="W6" i="49"/>
  <c r="U7" i="58"/>
  <c r="T7" i="56"/>
  <c r="U8" i="58"/>
  <c r="T5"/>
  <c r="V3" i="43"/>
  <c r="S15" i="3"/>
  <c r="W2" i="53"/>
  <c r="F10" i="3"/>
  <c r="J10" s="1"/>
  <c r="W5" i="48"/>
  <c r="T5" i="50"/>
  <c r="T8" i="59"/>
  <c r="T5" i="52"/>
  <c r="F16" i="3"/>
  <c r="J16" s="1"/>
  <c r="F4"/>
  <c r="J4" s="1"/>
  <c r="E4"/>
  <c r="I4" s="1"/>
  <c r="E11"/>
  <c r="I11" s="1"/>
  <c r="U20"/>
  <c r="C13"/>
  <c r="G13" s="1"/>
  <c r="D13"/>
  <c r="H13" s="1"/>
  <c r="U3" i="55"/>
  <c r="W3" i="57"/>
  <c r="U6" i="58"/>
  <c r="T7" i="50"/>
  <c r="T8" i="53"/>
  <c r="T2" i="47"/>
  <c r="E14" i="3"/>
  <c r="I14" s="1"/>
  <c r="F14"/>
  <c r="J14" s="1"/>
  <c r="U7"/>
  <c r="C22"/>
  <c r="G22" s="1"/>
  <c r="D4"/>
  <c r="H4" s="1"/>
  <c r="U15"/>
  <c r="W2" i="58"/>
  <c r="U16" i="3"/>
  <c r="S21"/>
  <c r="W3" i="55"/>
  <c r="V3" i="57"/>
  <c r="U3" i="52"/>
  <c r="AB30" s="1"/>
  <c r="F7" i="3"/>
  <c r="J7" s="1"/>
  <c r="C7"/>
  <c r="U4" i="46"/>
  <c r="T6" i="58"/>
  <c r="W7" i="50"/>
  <c r="V8" i="59"/>
  <c r="V8" i="45"/>
  <c r="T8" i="43"/>
  <c r="T8" i="57"/>
  <c r="U8" i="53"/>
  <c r="T4" i="59"/>
  <c r="C11" i="3"/>
  <c r="G11" s="1"/>
  <c r="T4" i="47"/>
  <c r="V4" i="59"/>
  <c r="V5" i="52"/>
  <c r="U8" i="59"/>
  <c r="U2" i="47"/>
  <c r="AA10" i="46"/>
  <c r="Z10" s="1"/>
  <c r="F15" i="3"/>
  <c r="J15" s="1"/>
  <c r="C16"/>
  <c r="G16" s="1"/>
  <c r="S5"/>
  <c r="AA10" i="55"/>
  <c r="Z10" s="1"/>
  <c r="D11" i="3"/>
  <c r="H11" s="1"/>
  <c r="U10"/>
  <c r="S16"/>
  <c r="U21"/>
  <c r="E13"/>
  <c r="I13" s="1"/>
  <c r="F8"/>
  <c r="J8" s="1"/>
  <c r="U4" i="59"/>
  <c r="W5" i="56"/>
  <c r="W5" i="52"/>
  <c r="V8" i="57"/>
  <c r="S9" i="3"/>
  <c r="W8" i="49"/>
  <c r="V8"/>
  <c r="F20" i="3"/>
  <c r="J20" s="1"/>
  <c r="U8" i="49"/>
  <c r="AA10"/>
  <c r="Z10" s="1"/>
  <c r="D20" i="3"/>
  <c r="H20" s="1"/>
  <c r="U9"/>
  <c r="E20"/>
  <c r="I20" s="1"/>
  <c r="U8" i="25"/>
  <c r="W8"/>
  <c r="W7" i="48"/>
  <c r="AA10" i="50"/>
  <c r="Z10" s="1"/>
  <c r="D8" i="3"/>
  <c r="H8" s="1"/>
  <c r="E8"/>
  <c r="I8" s="1"/>
  <c r="T7" i="48"/>
  <c r="V7" i="50"/>
  <c r="C19" i="3"/>
  <c r="G19" s="1"/>
  <c r="U6" i="47"/>
  <c r="F19" i="3"/>
  <c r="J19" s="1"/>
  <c r="U17"/>
  <c r="D10"/>
  <c r="H10" s="1"/>
  <c r="W6" i="61"/>
  <c r="T6" i="47"/>
  <c r="D19" i="3"/>
  <c r="H19" s="1"/>
  <c r="E10"/>
  <c r="I10" s="1"/>
  <c r="C10"/>
  <c r="G10" s="1"/>
  <c r="E6"/>
  <c r="I6" s="1"/>
  <c r="T5" i="48"/>
  <c r="V5" i="58"/>
  <c r="D15" i="3"/>
  <c r="H15" s="1"/>
  <c r="S7"/>
  <c r="C15"/>
  <c r="G15" s="1"/>
  <c r="C6"/>
  <c r="G6" s="1"/>
  <c r="S20"/>
  <c r="T5" i="56"/>
  <c r="U5" i="48"/>
  <c r="U5" i="58"/>
  <c r="AA10" i="56"/>
  <c r="Z10" s="1"/>
  <c r="AA10" i="52"/>
  <c r="Z10" s="1"/>
  <c r="D16" i="3"/>
  <c r="H16" s="1"/>
  <c r="U5"/>
  <c r="E16"/>
  <c r="I16" s="1"/>
  <c r="F6"/>
  <c r="J6" s="1"/>
  <c r="D6"/>
  <c r="H6" s="1"/>
  <c r="T4" i="57"/>
  <c r="W4"/>
  <c r="D21" i="3"/>
  <c r="H21" s="1"/>
  <c r="S6"/>
  <c r="V4" i="47"/>
  <c r="V4" i="45"/>
  <c r="V4" i="57"/>
  <c r="F22" i="3"/>
  <c r="J22" s="1"/>
  <c r="D22"/>
  <c r="H22" s="1"/>
  <c r="U4" i="45"/>
  <c r="E19" i="3"/>
  <c r="I19" s="1"/>
  <c r="S4"/>
  <c r="E22"/>
  <c r="I22" s="1"/>
  <c r="W2" i="48"/>
  <c r="F12" i="3"/>
  <c r="J12" s="1"/>
  <c r="U11"/>
  <c r="C12"/>
  <c r="G12" s="1"/>
  <c r="D12"/>
  <c r="H12" s="1"/>
  <c r="E12"/>
  <c r="I12" s="1"/>
  <c r="S11"/>
  <c r="AB17" i="51"/>
  <c r="AB30" i="53"/>
  <c r="F21" i="3"/>
  <c r="J21" s="1"/>
  <c r="W2" i="45"/>
  <c r="E21" i="3"/>
  <c r="I21" s="1"/>
  <c r="S14"/>
  <c r="V2" i="45"/>
  <c r="T2"/>
  <c r="C21" i="3"/>
  <c r="G21" s="1"/>
  <c r="U2" i="45"/>
  <c r="U14" i="3"/>
  <c r="AA10" i="45"/>
  <c r="Z10" s="1"/>
  <c r="AA10" i="48"/>
  <c r="Z10" s="1"/>
  <c r="U2"/>
  <c r="T2"/>
  <c r="V2"/>
  <c r="U2" i="43"/>
  <c r="S12" i="3"/>
  <c r="U12"/>
  <c r="T2" i="43"/>
  <c r="S8" i="3"/>
  <c r="D9"/>
  <c r="H9" s="1"/>
  <c r="E9"/>
  <c r="I9" s="1"/>
  <c r="U8"/>
  <c r="F9"/>
  <c r="J9" s="1"/>
  <c r="C9"/>
  <c r="V2" i="43"/>
  <c r="AA10"/>
  <c r="Z10" s="1"/>
  <c r="W2"/>
  <c r="AA10" i="25"/>
  <c r="Z10" s="1"/>
  <c r="W11"/>
  <c r="T11"/>
  <c r="U11"/>
  <c r="R15" i="24"/>
  <c r="B128" i="27" s="1"/>
  <c r="W6" i="25"/>
  <c r="R41" i="24"/>
  <c r="B362" i="27" s="1"/>
  <c r="R37" i="24"/>
  <c r="B326" i="27" s="1"/>
  <c r="R38" i="24"/>
  <c r="B335" i="27" s="1"/>
  <c r="R45" i="24"/>
  <c r="B398" i="27" s="1"/>
  <c r="R43" i="24"/>
  <c r="B380" i="27" s="1"/>
  <c r="R33" i="24"/>
  <c r="B290" i="27" s="1"/>
  <c r="R34" i="24"/>
  <c r="B299" i="27" s="1"/>
  <c r="R46" i="24"/>
  <c r="B407" i="27" s="1"/>
  <c r="R30" i="24"/>
  <c r="B263" i="27" s="1"/>
  <c r="R29" i="24"/>
  <c r="B254" i="27" s="1"/>
  <c r="R24" i="24"/>
  <c r="B209" i="27" s="1"/>
  <c r="R23" i="24"/>
  <c r="R19"/>
  <c r="B164" i="27" s="1"/>
  <c r="R22" i="24"/>
  <c r="R21"/>
  <c r="B182" i="27" s="1"/>
  <c r="R16" i="24"/>
  <c r="B137" i="27" s="1"/>
  <c r="R49" i="24"/>
  <c r="B434" i="27" s="1"/>
  <c r="R17" i="24"/>
  <c r="B146" i="27" s="1"/>
  <c r="R18" i="24"/>
  <c r="B155" i="27" s="1"/>
  <c r="R44" i="24"/>
  <c r="B389" i="27" s="1"/>
  <c r="R40" i="24"/>
  <c r="B353" i="27" s="1"/>
  <c r="R42" i="24"/>
  <c r="B371" i="27" s="1"/>
  <c r="R50" i="24"/>
  <c r="B443" i="27" s="1"/>
  <c r="R25" i="24"/>
  <c r="B218" i="27" s="1"/>
  <c r="R31" i="24"/>
  <c r="B272" i="27" s="1"/>
  <c r="R26" i="24"/>
  <c r="B227" i="27" s="1"/>
  <c r="R32" i="24"/>
  <c r="B281" i="27" s="1"/>
  <c r="R39" i="24"/>
  <c r="B344" i="27" s="1"/>
  <c r="R13" i="24"/>
  <c r="B110" i="27" s="1"/>
  <c r="R12" i="24"/>
  <c r="R11"/>
  <c r="B92" i="27" s="1"/>
  <c r="R10" i="24"/>
  <c r="R8"/>
  <c r="R6"/>
  <c r="B47" i="27" s="1"/>
  <c r="U6" i="25"/>
  <c r="T6"/>
  <c r="R36" i="24"/>
  <c r="B317" i="27" s="1"/>
  <c r="R9" i="24"/>
  <c r="B74" i="27" s="1"/>
  <c r="R28" i="24"/>
  <c r="B245" i="27" s="1"/>
  <c r="R27" i="24"/>
  <c r="B236" i="27" s="1"/>
  <c r="R51" i="24"/>
  <c r="B452" i="27" s="1"/>
  <c r="R7" i="24"/>
  <c r="B56" i="27" s="1"/>
  <c r="R20" i="24"/>
  <c r="B173" i="27" s="1"/>
  <c r="R35" i="24"/>
  <c r="B308" i="27" s="1"/>
  <c r="R47" i="24"/>
  <c r="B416" i="27" s="1"/>
  <c r="R52" i="24"/>
  <c r="B461" i="27" s="1"/>
  <c r="R48" i="24"/>
  <c r="B425" i="27" s="1"/>
  <c r="R14" i="24"/>
  <c r="B119" i="27" s="1"/>
  <c r="L60" i="3"/>
  <c r="T5" i="25"/>
  <c r="W5"/>
  <c r="U5"/>
  <c r="R5" i="24"/>
  <c r="W4" i="25"/>
  <c r="V4"/>
  <c r="W3"/>
  <c r="V3"/>
  <c r="W2"/>
  <c r="V2"/>
  <c r="U2"/>
  <c r="T4"/>
  <c r="U4"/>
  <c r="T2"/>
  <c r="T3"/>
  <c r="U3"/>
  <c r="R3" i="24"/>
  <c r="R4"/>
  <c r="B29" i="27" s="1"/>
  <c r="R2" i="24"/>
  <c r="X30" i="43" l="1"/>
  <c r="AB17" i="46"/>
  <c r="X30" i="53"/>
  <c r="AB30" i="57"/>
  <c r="AB30" i="51"/>
  <c r="AB17" i="60"/>
  <c r="AB17" i="61"/>
  <c r="X17" i="46"/>
  <c r="AB30" i="56"/>
  <c r="X30" i="49"/>
  <c r="AB17" i="50"/>
  <c r="X30" i="57"/>
  <c r="X17" i="55"/>
  <c r="X30" i="58"/>
  <c r="X30" i="52"/>
  <c r="AB30" i="54"/>
  <c r="AB17" i="57"/>
  <c r="X30" i="45"/>
  <c r="X30" i="56"/>
  <c r="AB30" i="47"/>
  <c r="AB30" i="59"/>
  <c r="AB30" i="49"/>
  <c r="AB17" i="56"/>
  <c r="AB17" i="54"/>
  <c r="X17" i="52"/>
  <c r="X17" i="54"/>
  <c r="AB30" i="43"/>
  <c r="AB17" i="52"/>
  <c r="X30" i="54"/>
  <c r="AB17" i="49"/>
  <c r="X17"/>
  <c r="K17" i="3"/>
  <c r="L36"/>
  <c r="L17"/>
  <c r="AB17" i="55"/>
  <c r="AB30" i="60"/>
  <c r="X17" i="58"/>
  <c r="X17" i="50"/>
  <c r="AB30" i="55"/>
  <c r="X17" i="59"/>
  <c r="AB30" i="48"/>
  <c r="X17" i="56"/>
  <c r="X30" i="50"/>
  <c r="X17" i="53"/>
  <c r="AB17" i="47"/>
  <c r="AB17" i="59"/>
  <c r="X17" i="57"/>
  <c r="K13" i="3"/>
  <c r="L13"/>
  <c r="L37"/>
  <c r="L43"/>
  <c r="AB30" i="58"/>
  <c r="AB30" i="46"/>
  <c r="AB17" i="58"/>
  <c r="X30" i="59"/>
  <c r="AB17" i="45"/>
  <c r="X17" i="47"/>
  <c r="X30" i="48"/>
  <c r="X30" i="47"/>
  <c r="L30" i="3"/>
  <c r="L6"/>
  <c r="K6"/>
  <c r="K22"/>
  <c r="L22"/>
  <c r="AB30" i="45"/>
  <c r="X17"/>
  <c r="AB17" i="48"/>
  <c r="X17"/>
  <c r="AB17" i="43"/>
  <c r="X17"/>
  <c r="D55" i="7"/>
  <c r="B65" i="27"/>
  <c r="D8" i="7"/>
  <c r="B101" i="27"/>
  <c r="D39" i="7"/>
  <c r="B200" i="27"/>
  <c r="D21" i="7"/>
  <c r="B38" i="27"/>
  <c r="D41" i="7"/>
  <c r="B83" i="27"/>
  <c r="D45" i="7"/>
  <c r="B191" i="27"/>
  <c r="D54" i="7"/>
  <c r="D50"/>
  <c r="D6"/>
  <c r="D33"/>
  <c r="D46"/>
  <c r="D30"/>
  <c r="D25"/>
  <c r="D16"/>
  <c r="D47"/>
  <c r="D29"/>
  <c r="D11"/>
  <c r="D36"/>
  <c r="D28"/>
  <c r="L52" i="3"/>
  <c r="D14" i="7"/>
  <c r="D23"/>
  <c r="D27"/>
  <c r="D35"/>
  <c r="D34"/>
  <c r="D51"/>
  <c r="D42"/>
  <c r="L57" i="3"/>
  <c r="D49" i="7"/>
  <c r="D7"/>
  <c r="L68" i="3"/>
  <c r="D9" i="7"/>
  <c r="D18"/>
  <c r="D10"/>
  <c r="D24"/>
  <c r="D44"/>
  <c r="D22"/>
  <c r="D13"/>
  <c r="D26"/>
  <c r="D17"/>
  <c r="D32"/>
  <c r="D40"/>
  <c r="L55" i="3"/>
  <c r="D52" i="7"/>
  <c r="D12"/>
  <c r="D56"/>
  <c r="D20"/>
  <c r="L63" i="3"/>
  <c r="D31" i="7"/>
  <c r="D15"/>
  <c r="L54" i="3"/>
  <c r="L66"/>
  <c r="L53"/>
  <c r="L50"/>
  <c r="L65"/>
  <c r="L58"/>
  <c r="L51"/>
  <c r="D19" i="7"/>
  <c r="D48"/>
  <c r="D38"/>
  <c r="L9" i="3"/>
  <c r="G9"/>
  <c r="K9" s="1"/>
  <c r="L39"/>
  <c r="L41"/>
  <c r="L20"/>
  <c r="L40"/>
  <c r="L61"/>
  <c r="L44"/>
  <c r="L62"/>
  <c r="G18"/>
  <c r="K18" s="1"/>
  <c r="L18"/>
  <c r="K20"/>
  <c r="K16"/>
  <c r="L33"/>
  <c r="L27"/>
  <c r="L12"/>
  <c r="L16"/>
  <c r="K14"/>
  <c r="L38"/>
  <c r="L14"/>
  <c r="L8"/>
  <c r="K8"/>
  <c r="K19"/>
  <c r="L28"/>
  <c r="L19"/>
  <c r="L45"/>
  <c r="L42"/>
  <c r="L5"/>
  <c r="L11"/>
  <c r="K5"/>
  <c r="L7"/>
  <c r="L34"/>
  <c r="K21"/>
  <c r="K4"/>
  <c r="K10"/>
  <c r="G7"/>
  <c r="K7" s="1"/>
  <c r="L35"/>
  <c r="L10"/>
  <c r="L21"/>
  <c r="L31"/>
  <c r="L4"/>
  <c r="L29"/>
  <c r="K11"/>
  <c r="K12"/>
  <c r="K15"/>
  <c r="D43" i="7"/>
  <c r="D53"/>
  <c r="B20" i="27"/>
  <c r="B11"/>
  <c r="D37" i="7"/>
  <c r="X30" i="25"/>
  <c r="X17"/>
  <c r="AB30"/>
  <c r="AB17"/>
  <c r="L15" i="3"/>
  <c r="L32"/>
</calcChain>
</file>

<file path=xl/sharedStrings.xml><?xml version="1.0" encoding="utf-8"?>
<sst xmlns="http://schemas.openxmlformats.org/spreadsheetml/2006/main" count="5848" uniqueCount="265">
  <si>
    <t>Швейцария</t>
  </si>
  <si>
    <t>Португалия</t>
  </si>
  <si>
    <t>Германия</t>
  </si>
  <si>
    <t>12 июня</t>
  </si>
  <si>
    <t>13 июня</t>
  </si>
  <si>
    <t>14 июня</t>
  </si>
  <si>
    <t>15 июня</t>
  </si>
  <si>
    <t>16 июня</t>
  </si>
  <si>
    <t>17 июня</t>
  </si>
  <si>
    <t>18 июня</t>
  </si>
  <si>
    <t>Франция</t>
  </si>
  <si>
    <t>Италия</t>
  </si>
  <si>
    <t>Испания</t>
  </si>
  <si>
    <t>-</t>
  </si>
  <si>
    <t>Прогнозы</t>
  </si>
  <si>
    <t>Участник</t>
  </si>
  <si>
    <t>Баллы</t>
  </si>
  <si>
    <t>Иванов Андрей</t>
  </si>
  <si>
    <t>Иванов Евгений</t>
  </si>
  <si>
    <t>Результаты</t>
  </si>
  <si>
    <t>Бегларян Гайк</t>
  </si>
  <si>
    <t>Англия</t>
  </si>
  <si>
    <t>19 июня</t>
  </si>
  <si>
    <t>20 июня</t>
  </si>
  <si>
    <t>21 июня</t>
  </si>
  <si>
    <t>22 июня</t>
  </si>
  <si>
    <t>25 июня</t>
  </si>
  <si>
    <t>Коэф.</t>
  </si>
  <si>
    <t>Групповой турнир</t>
  </si>
  <si>
    <t>1/8 финала</t>
  </si>
  <si>
    <t>26 июня</t>
  </si>
  <si>
    <t>1/4 финала</t>
  </si>
  <si>
    <t>1/2 финала</t>
  </si>
  <si>
    <t>Финал</t>
  </si>
  <si>
    <t>Чемпион</t>
  </si>
  <si>
    <t>Прогноз</t>
  </si>
  <si>
    <t>Ф.И.О.</t>
  </si>
  <si>
    <t>Плей-офф</t>
  </si>
  <si>
    <t>Общий итог</t>
  </si>
  <si>
    <t>Сумма баллов за групповой турнир и стадию плей-офф, умноженная на коэффициент</t>
  </si>
  <si>
    <t>В случае дополнительного времени результатом матча считается счет после дополнительного времени</t>
  </si>
  <si>
    <t>Самый непредсказуемый матч</t>
  </si>
  <si>
    <t>Самая непредсказуемая команда</t>
  </si>
  <si>
    <t>Всего</t>
  </si>
  <si>
    <t>И</t>
  </si>
  <si>
    <t>Ср.</t>
  </si>
  <si>
    <t>Самая непредсказуемая группа</t>
  </si>
  <si>
    <t>Статистика</t>
  </si>
  <si>
    <r>
      <rPr>
        <b/>
        <i/>
        <sz val="8"/>
        <rFont val="Arial"/>
        <family val="2"/>
        <charset val="204"/>
      </rPr>
      <t>6</t>
    </r>
    <r>
      <rPr>
        <i/>
        <sz val="8"/>
        <rFont val="Arial"/>
        <family val="2"/>
        <charset val="204"/>
      </rPr>
      <t xml:space="preserve"> - полностью угаданный счет</t>
    </r>
  </si>
  <si>
    <r>
      <rPr>
        <b/>
        <i/>
        <sz val="8"/>
        <rFont val="Arial"/>
        <family val="2"/>
        <charset val="204"/>
      </rPr>
      <t>4</t>
    </r>
    <r>
      <rPr>
        <i/>
        <sz val="8"/>
        <rFont val="Arial"/>
        <family val="2"/>
        <charset val="204"/>
      </rPr>
      <t xml:space="preserve"> - угаданная разница мячей (кроме ничьих)</t>
    </r>
  </si>
  <si>
    <r>
      <rPr>
        <b/>
        <i/>
        <sz val="8"/>
        <rFont val="Arial"/>
        <family val="2"/>
        <charset val="204"/>
      </rPr>
      <t>3</t>
    </r>
    <r>
      <rPr>
        <i/>
        <sz val="8"/>
        <rFont val="Arial"/>
        <family val="2"/>
        <charset val="204"/>
      </rPr>
      <t xml:space="preserve"> - угаданная ничья</t>
    </r>
  </si>
  <si>
    <r>
      <rPr>
        <b/>
        <i/>
        <sz val="8"/>
        <rFont val="Arial"/>
        <family val="2"/>
        <charset val="204"/>
      </rPr>
      <t>1</t>
    </r>
    <r>
      <rPr>
        <i/>
        <sz val="8"/>
        <rFont val="Arial"/>
        <family val="2"/>
        <charset val="204"/>
      </rPr>
      <t xml:space="preserve"> - угаданный исход матча (кроме ничьих)</t>
    </r>
  </si>
  <si>
    <t>Преимущество при равенстве очков</t>
  </si>
  <si>
    <t>При равенстве очков преимущество имеет участник с наибольшим коэффициентом, при равенстве</t>
  </si>
  <si>
    <t>коэффициентов - с наибольшим значением в графе "6", далее - "4", "3", "1"</t>
  </si>
  <si>
    <t>При полном равенстве значений преимущество имеет участник, прогноз на групповой турнир от</t>
  </si>
  <si>
    <t>которого получен раньше</t>
  </si>
  <si>
    <t>Общие правила</t>
  </si>
  <si>
    <t>Конкурс прогнозов состоит из двух этапов: прогнозы на групповой турнир и на стадию плей-офф</t>
  </si>
  <si>
    <t>По окончании каждого этапа определяется победитель этапа</t>
  </si>
  <si>
    <t>По окончании конкурса определяется основной победитель - победитель конкурса прогнозов</t>
  </si>
  <si>
    <t>Прогноз на каждый конкретный матч стадии плей-офф предоставляется после того, как становятся</t>
  </si>
  <si>
    <t>известны команды-участницы данного матча и до начала данного матча</t>
  </si>
  <si>
    <t>Если угадан счет матча, в котором забито 5 и более голов, участник получает бонус - 6 баллов</t>
  </si>
  <si>
    <t>За каждый матч можно получить только 1, 3, 4, 6 или 12 (6+6) баллов</t>
  </si>
  <si>
    <t>В случае ничьей после дополнительного времени серия пенальти не учитывается (результат - ничья)</t>
  </si>
  <si>
    <t>Хорватия</t>
  </si>
  <si>
    <t>Бельгия</t>
  </si>
  <si>
    <t>Россия</t>
  </si>
  <si>
    <t>30 июня</t>
  </si>
  <si>
    <t>1 июля</t>
  </si>
  <si>
    <t>Матч</t>
  </si>
  <si>
    <t>Результат1</t>
  </si>
  <si>
    <t>Прогноз1</t>
  </si>
  <si>
    <t>Прогноз2</t>
  </si>
  <si>
    <t>Результат2</t>
  </si>
  <si>
    <t>Статус</t>
  </si>
  <si>
    <t>№</t>
  </si>
  <si>
    <t>Швейцария - Франция</t>
  </si>
  <si>
    <t>О</t>
  </si>
  <si>
    <t>М1</t>
  </si>
  <si>
    <t>М2</t>
  </si>
  <si>
    <t>М3</t>
  </si>
  <si>
    <t>1/8</t>
  </si>
  <si>
    <t>1/4</t>
  </si>
  <si>
    <t>1/2</t>
  </si>
  <si>
    <t>3/Ф</t>
  </si>
  <si>
    <t>История</t>
  </si>
  <si>
    <t>Место</t>
  </si>
  <si>
    <t>Euro'2008</t>
  </si>
  <si>
    <t>ЧМ'2010</t>
  </si>
  <si>
    <t>Euro'2012</t>
  </si>
  <si>
    <t>Средний балл за матч</t>
  </si>
  <si>
    <t>Итого</t>
  </si>
  <si>
    <t>Больше 0</t>
  </si>
  <si>
    <t>Больше 5</t>
  </si>
  <si>
    <t>Равно 0</t>
  </si>
  <si>
    <t>Меньше 6</t>
  </si>
  <si>
    <t>Серия матчей</t>
  </si>
  <si>
    <t>6 баллов</t>
  </si>
  <si>
    <t>4 балла</t>
  </si>
  <si>
    <t>3 балла</t>
  </si>
  <si>
    <t>1 балл</t>
  </si>
  <si>
    <t>Бонус</t>
  </si>
  <si>
    <t>Сумма баллов</t>
  </si>
  <si>
    <t>Угаданные чемпионы</t>
  </si>
  <si>
    <t>Ставки на победу в турнире</t>
  </si>
  <si>
    <t>Кол-во</t>
  </si>
  <si>
    <t>Результат</t>
  </si>
  <si>
    <t>Средний</t>
  </si>
  <si>
    <t>Лидер</t>
  </si>
  <si>
    <t>Оригинал</t>
  </si>
  <si>
    <t>День за днем</t>
  </si>
  <si>
    <t>Ничья</t>
  </si>
  <si>
    <t>Счет</t>
  </si>
  <si>
    <t>Разница мячей</t>
  </si>
  <si>
    <t>Исход</t>
  </si>
  <si>
    <t>Сумма</t>
  </si>
  <si>
    <t>Предматчевая статистика</t>
  </si>
  <si>
    <t>Статистика по результатам матча</t>
  </si>
  <si>
    <t>Бегларян Римма</t>
  </si>
  <si>
    <t>Бегларян Аркадий</t>
  </si>
  <si>
    <t>Аванесова Изабелла</t>
  </si>
  <si>
    <t>Акиловский Руслан</t>
  </si>
  <si>
    <t>Щербич Николай</t>
  </si>
  <si>
    <t>Лучший специалист среди всех участников по сборным:</t>
  </si>
  <si>
    <t>Сильная сторона - прогнозы на матчи сборных:</t>
  </si>
  <si>
    <t>Слабая сторона - прогнозы на матчи сборных:</t>
  </si>
  <si>
    <t>Жук Роман</t>
  </si>
  <si>
    <t>Результаты матчей Euro'2016</t>
  </si>
  <si>
    <t xml:space="preserve">         Euro'2016</t>
  </si>
  <si>
    <t xml:space="preserve">         Euro'2016 - Общий итог</t>
  </si>
  <si>
    <t xml:space="preserve">         Euro'2016 - Групповой турнир</t>
  </si>
  <si>
    <t xml:space="preserve">         Euro'2016 - Плей-офф</t>
  </si>
  <si>
    <t xml:space="preserve">         Euro'2016 - Сравнение с предыдущими турнирами</t>
  </si>
  <si>
    <t xml:space="preserve">         Euro'2016 - Предсказатель непредсказуемого</t>
  </si>
  <si>
    <r>
      <t xml:space="preserve">         Euro'2016                                                                    </t>
    </r>
    <r>
      <rPr>
        <i/>
        <sz val="12"/>
        <color indexed="9"/>
        <rFont val="Arial"/>
        <family val="2"/>
        <charset val="204"/>
      </rPr>
      <t>Правила</t>
    </r>
  </si>
  <si>
    <t>10 июня</t>
  </si>
  <si>
    <t>11 июня</t>
  </si>
  <si>
    <t>Румыния</t>
  </si>
  <si>
    <t>Албания</t>
  </si>
  <si>
    <t>Уэльс</t>
  </si>
  <si>
    <t>Словакия</t>
  </si>
  <si>
    <t>Турция</t>
  </si>
  <si>
    <t>Польша</t>
  </si>
  <si>
    <t>Сев. Ирландия</t>
  </si>
  <si>
    <t>Украина</t>
  </si>
  <si>
    <t>Чехия</t>
  </si>
  <si>
    <t>Ирландия</t>
  </si>
  <si>
    <t>Швеция</t>
  </si>
  <si>
    <t>Австрия</t>
  </si>
  <si>
    <t>Венгрия</t>
  </si>
  <si>
    <t>Исландия</t>
  </si>
  <si>
    <t>27 июня</t>
  </si>
  <si>
    <t>2 июля</t>
  </si>
  <si>
    <t>3 июля</t>
  </si>
  <si>
    <t>6 июля</t>
  </si>
  <si>
    <t>7 июля</t>
  </si>
  <si>
    <t>10 июля</t>
  </si>
  <si>
    <t>ЧМ'2014</t>
  </si>
  <si>
    <t>Турниры</t>
  </si>
  <si>
    <t>Прогнозы на все матчи группового турнира предоставляются до начала матча открытия Euro'2016</t>
  </si>
  <si>
    <t>Прогноз команды-победителя Euro'2016 предоставляется до начала матча открытия Euro'2016</t>
  </si>
  <si>
    <r>
      <rPr>
        <b/>
        <i/>
        <sz val="8"/>
        <rFont val="Arial"/>
        <family val="2"/>
        <charset val="204"/>
      </rPr>
      <t>1,2</t>
    </r>
    <r>
      <rPr>
        <i/>
        <sz val="8"/>
        <rFont val="Arial"/>
        <family val="2"/>
        <charset val="204"/>
      </rPr>
      <t xml:space="preserve"> - коэффициент в случае если угадан Чемпион Европы</t>
    </r>
  </si>
  <si>
    <r>
      <rPr>
        <b/>
        <i/>
        <sz val="8"/>
        <rFont val="Arial"/>
        <family val="2"/>
        <charset val="204"/>
      </rPr>
      <t>1,0</t>
    </r>
    <r>
      <rPr>
        <i/>
        <sz val="8"/>
        <rFont val="Arial"/>
        <family val="2"/>
        <charset val="204"/>
      </rPr>
      <t xml:space="preserve"> - коэффициент в случае если Чемпион Европы не угадан</t>
    </r>
  </si>
  <si>
    <t>Франция - Румыния</t>
  </si>
  <si>
    <t>Албания - Швейцария</t>
  </si>
  <si>
    <t>Уэльс - Словакия</t>
  </si>
  <si>
    <t>Англия - Россия</t>
  </si>
  <si>
    <t>Турция - Хорватия</t>
  </si>
  <si>
    <t>Польша - Северная Ирландия</t>
  </si>
  <si>
    <t>Германия - Украина</t>
  </si>
  <si>
    <t>Испания - Чехия</t>
  </si>
  <si>
    <t>Ирландия - Швеция</t>
  </si>
  <si>
    <t>Бельгия - Италия</t>
  </si>
  <si>
    <t>Австрия - Венгрия</t>
  </si>
  <si>
    <t>Португалия - Исландия</t>
  </si>
  <si>
    <t>Россия - Словакия</t>
  </si>
  <si>
    <t>Румыния - Швейцария</t>
  </si>
  <si>
    <t>Франция - Албания</t>
  </si>
  <si>
    <t>Англия - Уэльс</t>
  </si>
  <si>
    <t>Украина - Северная Ирландия</t>
  </si>
  <si>
    <t>Германия - Польша</t>
  </si>
  <si>
    <t>Италия - Швеция</t>
  </si>
  <si>
    <t>Чехия - Хорватия</t>
  </si>
  <si>
    <t>Испания - Турция</t>
  </si>
  <si>
    <t>Бельгия - Ирландия</t>
  </si>
  <si>
    <t>Исландия - Венгрия</t>
  </si>
  <si>
    <t>Португалия - Австрия</t>
  </si>
  <si>
    <t>Румыния - Албания</t>
  </si>
  <si>
    <t>Россия - Уэльс</t>
  </si>
  <si>
    <t>Словакия - Англия</t>
  </si>
  <si>
    <t>Украина - Польша</t>
  </si>
  <si>
    <t>Северная Ирландия - Германия</t>
  </si>
  <si>
    <t>Чехия - Турция</t>
  </si>
  <si>
    <t>Хорватия - Испания</t>
  </si>
  <si>
    <t>Исландия - Австрия</t>
  </si>
  <si>
    <t>Венгрия - Португалия</t>
  </si>
  <si>
    <t>Италия - Ирландия</t>
  </si>
  <si>
    <t>Швеция - Бельгия</t>
  </si>
  <si>
    <r>
      <t>Группа A</t>
    </r>
    <r>
      <rPr>
        <i/>
        <sz val="6"/>
        <rFont val="Arial"/>
        <family val="2"/>
        <charset val="204"/>
      </rPr>
      <t xml:space="preserve"> (Франция, Румыния, Албания, Швейцария)</t>
    </r>
  </si>
  <si>
    <r>
      <t>Группа B</t>
    </r>
    <r>
      <rPr>
        <i/>
        <sz val="6"/>
        <rFont val="Arial"/>
        <family val="2"/>
        <charset val="204"/>
      </rPr>
      <t xml:space="preserve"> (Англия, Словакия, Уэльс, Россия)</t>
    </r>
  </si>
  <si>
    <r>
      <t>Группа C</t>
    </r>
    <r>
      <rPr>
        <i/>
        <sz val="6"/>
        <rFont val="Arial"/>
        <family val="2"/>
        <charset val="204"/>
      </rPr>
      <t xml:space="preserve"> (Германия, Северная Ирландия, Польша, Украина)</t>
    </r>
  </si>
  <si>
    <r>
      <t>Группа D</t>
    </r>
    <r>
      <rPr>
        <i/>
        <sz val="6"/>
        <rFont val="Arial"/>
        <family val="2"/>
        <charset val="204"/>
      </rPr>
      <t xml:space="preserve"> (Испания, Хорватия, Чехия, Турция)</t>
    </r>
  </si>
  <si>
    <r>
      <t>Группа E</t>
    </r>
    <r>
      <rPr>
        <i/>
        <sz val="6"/>
        <rFont val="Arial"/>
        <family val="2"/>
        <charset val="204"/>
      </rPr>
      <t xml:space="preserve"> (Бельгия, Италия, Ирландия, Швеция)</t>
    </r>
  </si>
  <si>
    <r>
      <t>Группа F</t>
    </r>
    <r>
      <rPr>
        <i/>
        <sz val="6"/>
        <rFont val="Arial"/>
        <family val="2"/>
        <charset val="204"/>
      </rPr>
      <t xml:space="preserve"> (Португалия, Австрия, Венгрия, Исландия)</t>
    </r>
  </si>
  <si>
    <t>Северная Ирландия</t>
  </si>
  <si>
    <t>Бельгия, Словакия</t>
  </si>
  <si>
    <t>Польша, Украина</t>
  </si>
  <si>
    <t>Бельгия, Швейцария</t>
  </si>
  <si>
    <t>Россия, Швеция</t>
  </si>
  <si>
    <t>Бельгия, Россия</t>
  </si>
  <si>
    <t>Швеция, Хорватия</t>
  </si>
  <si>
    <t>Кулиев Бегенч</t>
  </si>
  <si>
    <t>Бикулов Камал</t>
  </si>
  <si>
    <t>Ирландия, Испания, Швеция</t>
  </si>
  <si>
    <t>Ирландия, Швеция</t>
  </si>
  <si>
    <t>Россия, Италия</t>
  </si>
  <si>
    <t>Ирландия, Хорватия</t>
  </si>
  <si>
    <t>Румыния, Чехия</t>
  </si>
  <si>
    <t>Португалия, Украина</t>
  </si>
  <si>
    <t>Украина, Германия</t>
  </si>
  <si>
    <t>Польша, Россия</t>
  </si>
  <si>
    <t>Австрия, Польша</t>
  </si>
  <si>
    <t>Англия, Италия</t>
  </si>
  <si>
    <t>Россия, Хорватия</t>
  </si>
  <si>
    <t>Бельгия, Германия</t>
  </si>
  <si>
    <t>Англия, Италия, Россия</t>
  </si>
  <si>
    <t>Демчихин Александр</t>
  </si>
  <si>
    <t>Турция, Чехия</t>
  </si>
  <si>
    <t>Чехия, Бельгия</t>
  </si>
  <si>
    <t>Словакия, Ирландия</t>
  </si>
  <si>
    <t>Ирландия, Румыния</t>
  </si>
  <si>
    <t>Украина, Англия</t>
  </si>
  <si>
    <t>Гусаков Сергей</t>
  </si>
  <si>
    <t>Польша, Словакия</t>
  </si>
  <si>
    <t>Румыния, Ирландия</t>
  </si>
  <si>
    <t>Рижницын Андрей</t>
  </si>
  <si>
    <t>Австрия, Польша, Румыния</t>
  </si>
  <si>
    <t>Австрия, Бельгия</t>
  </si>
  <si>
    <t>Англия, Россия</t>
  </si>
  <si>
    <t>Тарасевич Максим</t>
  </si>
  <si>
    <t>Чехия, Ирландия</t>
  </si>
  <si>
    <t>Швеция, Россия</t>
  </si>
  <si>
    <t>Назарян Виталий</t>
  </si>
  <si>
    <t>Назарян Вадим</t>
  </si>
  <si>
    <t>Арутюнян Артем</t>
  </si>
  <si>
    <t>Щербич Никита</t>
  </si>
  <si>
    <t>Хорватия, Ирландия</t>
  </si>
  <si>
    <t>Словакия, Франция</t>
  </si>
  <si>
    <t>Швейцария - Польша</t>
  </si>
  <si>
    <t>Уэльс - Северная Ирландия</t>
  </si>
  <si>
    <t>Хорватия - Португалия</t>
  </si>
  <si>
    <t>Франция - Ирландия</t>
  </si>
  <si>
    <t>Германия - Словакия</t>
  </si>
  <si>
    <t>Венгрия - Бельгия</t>
  </si>
  <si>
    <t>Италия - Испания</t>
  </si>
  <si>
    <t>Англия - Исландия</t>
  </si>
  <si>
    <t>Польша - Португалия</t>
  </si>
  <si>
    <t>Уэльс - Бельгия</t>
  </si>
  <si>
    <t>Германия - Италия</t>
  </si>
  <si>
    <t>Франция - Исландия</t>
  </si>
  <si>
    <t>Португалия - Уэльс</t>
  </si>
  <si>
    <t>Германия - Франция</t>
  </si>
  <si>
    <t>Португалия - Франция</t>
  </si>
</sst>
</file>

<file path=xl/styles.xml><?xml version="1.0" encoding="utf-8"?>
<styleSheet xmlns="http://schemas.openxmlformats.org/spreadsheetml/2006/main">
  <numFmts count="1">
    <numFmt numFmtId="164" formatCode="0.0"/>
  </numFmts>
  <fonts count="30">
    <font>
      <sz val="10"/>
      <name val="Arial"/>
      <charset val="204"/>
    </font>
    <font>
      <sz val="10"/>
      <name val="Arial"/>
      <family val="2"/>
      <charset val="204"/>
    </font>
    <font>
      <b/>
      <sz val="10"/>
      <color indexed="9"/>
      <name val="Arial"/>
      <family val="2"/>
      <charset val="204"/>
    </font>
    <font>
      <sz val="10"/>
      <color indexed="9"/>
      <name val="Arial"/>
      <family val="2"/>
      <charset val="204"/>
    </font>
    <font>
      <sz val="8"/>
      <name val="Arial"/>
      <family val="2"/>
      <charset val="204"/>
    </font>
    <font>
      <b/>
      <sz val="14"/>
      <color indexed="9"/>
      <name val="Arial"/>
      <family val="2"/>
      <charset val="204"/>
    </font>
    <font>
      <i/>
      <sz val="12"/>
      <color indexed="9"/>
      <name val="Arial"/>
      <family val="2"/>
      <charset val="204"/>
    </font>
    <font>
      <sz val="9"/>
      <color indexed="9"/>
      <name val="Arial"/>
      <family val="2"/>
      <charset val="204"/>
    </font>
    <font>
      <sz val="9"/>
      <name val="Arial"/>
      <family val="2"/>
      <charset val="204"/>
    </font>
    <font>
      <i/>
      <sz val="9"/>
      <name val="Arial"/>
      <family val="2"/>
      <charset val="204"/>
    </font>
    <font>
      <b/>
      <sz val="9"/>
      <name val="Arial"/>
      <family val="2"/>
      <charset val="204"/>
    </font>
    <font>
      <i/>
      <sz val="10"/>
      <name val="Arial"/>
      <family val="2"/>
      <charset val="204"/>
    </font>
    <font>
      <i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9"/>
      <name val="Arial"/>
      <family val="2"/>
      <charset val="204"/>
    </font>
    <font>
      <i/>
      <sz val="6"/>
      <name val="Arial"/>
      <family val="2"/>
      <charset val="204"/>
    </font>
    <font>
      <b/>
      <i/>
      <sz val="8"/>
      <name val="Arial"/>
      <family val="2"/>
      <charset val="204"/>
    </font>
    <font>
      <b/>
      <sz val="9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color theme="1"/>
      <name val="Arial"/>
      <family val="2"/>
      <charset val="204"/>
    </font>
    <font>
      <sz val="100"/>
      <name val="Arial"/>
      <family val="2"/>
      <charset val="204"/>
    </font>
    <font>
      <b/>
      <sz val="16"/>
      <name val="Arial"/>
      <family val="2"/>
      <charset val="204"/>
    </font>
    <font>
      <sz val="11"/>
      <name val="Arial"/>
      <family val="2"/>
      <charset val="204"/>
    </font>
    <font>
      <sz val="9"/>
      <color theme="0"/>
      <name val="Arial"/>
      <family val="2"/>
      <charset val="204"/>
    </font>
    <font>
      <sz val="6"/>
      <name val="Arial"/>
      <family val="2"/>
      <charset val="204"/>
    </font>
    <font>
      <b/>
      <sz val="8"/>
      <color rgb="FFC7CCD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BF000D"/>
        <bgColor indexed="64"/>
      </patternFill>
    </fill>
    <fill>
      <patternFill patternType="solid">
        <fgColor rgb="FFC7CCD0"/>
        <bgColor indexed="64"/>
      </patternFill>
    </fill>
    <fill>
      <patternFill patternType="solid">
        <fgColor rgb="FF6DB3E6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rgb="FF6DB3E6"/>
      </bottom>
      <diagonal/>
    </border>
    <border>
      <left/>
      <right/>
      <top style="thin">
        <color rgb="FF6DB3E6"/>
      </top>
      <bottom style="thin">
        <color rgb="FF195D93"/>
      </bottom>
      <diagonal/>
    </border>
    <border>
      <left/>
      <right/>
      <top style="thin">
        <color rgb="FF195D93"/>
      </top>
      <bottom style="thin">
        <color rgb="FF195D93"/>
      </bottom>
      <diagonal/>
    </border>
    <border>
      <left/>
      <right/>
      <top/>
      <bottom style="thin">
        <color rgb="FF195D93"/>
      </bottom>
      <diagonal/>
    </border>
    <border>
      <left style="thin">
        <color rgb="FF6DB3E6"/>
      </left>
      <right/>
      <top style="thin">
        <color rgb="FF6DB3E6"/>
      </top>
      <bottom style="thin">
        <color rgb="FF6DB3E6"/>
      </bottom>
      <diagonal/>
    </border>
    <border>
      <left/>
      <right/>
      <top style="thin">
        <color rgb="FF6DB3E6"/>
      </top>
      <bottom style="thin">
        <color rgb="FF6DB3E6"/>
      </bottom>
      <diagonal/>
    </border>
    <border>
      <left/>
      <right style="thin">
        <color rgb="FF6DB3E6"/>
      </right>
      <top style="thin">
        <color rgb="FF6DB3E6"/>
      </top>
      <bottom style="thin">
        <color rgb="FF6DB3E6"/>
      </bottom>
      <diagonal/>
    </border>
    <border>
      <left style="thin">
        <color rgb="FF6DB3E6"/>
      </left>
      <right style="thin">
        <color rgb="FF6DB3E6"/>
      </right>
      <top style="thin">
        <color rgb="FF6DB3E6"/>
      </top>
      <bottom style="thin">
        <color rgb="FF6DB3E6"/>
      </bottom>
      <diagonal/>
    </border>
    <border>
      <left/>
      <right/>
      <top/>
      <bottom style="thin">
        <color rgb="FFC7CCD0"/>
      </bottom>
      <diagonal/>
    </border>
  </borders>
  <cellStyleXfs count="3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63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3" fillId="0" borderId="0" xfId="0" applyFont="1" applyFill="1"/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0" fillId="0" borderId="0" xfId="0" applyBorder="1" applyAlignment="1">
      <alignment horizontal="center"/>
    </xf>
    <xf numFmtId="0" fontId="8" fillId="0" borderId="0" xfId="0" applyFont="1"/>
    <xf numFmtId="0" fontId="9" fillId="0" borderId="0" xfId="0" applyFont="1" applyBorder="1" applyAlignment="1">
      <alignment horizontal="right"/>
    </xf>
    <xf numFmtId="0" fontId="10" fillId="0" borderId="0" xfId="0" applyFont="1"/>
    <xf numFmtId="0" fontId="12" fillId="0" borderId="0" xfId="0" applyFont="1" applyBorder="1" applyAlignment="1">
      <alignment horizontal="right"/>
    </xf>
    <xf numFmtId="0" fontId="15" fillId="0" borderId="0" xfId="1" applyAlignment="1" applyProtection="1"/>
    <xf numFmtId="0" fontId="1" fillId="0" borderId="0" xfId="2"/>
    <xf numFmtId="0" fontId="1" fillId="0" borderId="0" xfId="2" applyAlignment="1">
      <alignment horizontal="center"/>
    </xf>
    <xf numFmtId="0" fontId="13" fillId="0" borderId="0" xfId="2" applyFont="1" applyAlignment="1">
      <alignment horizontal="center"/>
    </xf>
    <xf numFmtId="0" fontId="12" fillId="0" borderId="0" xfId="2" applyFont="1"/>
    <xf numFmtId="0" fontId="14" fillId="0" borderId="0" xfId="2" applyFont="1"/>
    <xf numFmtId="2" fontId="14" fillId="0" borderId="0" xfId="2" applyNumberFormat="1" applyFont="1"/>
    <xf numFmtId="0" fontId="13" fillId="0" borderId="1" xfId="2" applyFont="1" applyBorder="1" applyAlignment="1">
      <alignment horizontal="center"/>
    </xf>
    <xf numFmtId="0" fontId="4" fillId="0" borderId="0" xfId="0" applyFont="1" applyAlignment="1">
      <alignment horizontal="right"/>
    </xf>
    <xf numFmtId="0" fontId="12" fillId="0" borderId="0" xfId="0" applyFont="1" applyBorder="1" applyAlignment="1">
      <alignment horizontal="left"/>
    </xf>
    <xf numFmtId="0" fontId="4" fillId="0" borderId="0" xfId="2" applyFont="1" applyAlignment="1">
      <alignment horizontal="center"/>
    </xf>
    <xf numFmtId="0" fontId="1" fillId="0" borderId="0" xfId="0" applyFont="1"/>
    <xf numFmtId="2" fontId="14" fillId="0" borderId="0" xfId="2" applyNumberFormat="1" applyFont="1" applyAlignment="1">
      <alignment horizontal="right"/>
    </xf>
    <xf numFmtId="0" fontId="13" fillId="0" borderId="2" xfId="2" applyFont="1" applyBorder="1" applyAlignment="1">
      <alignment horizontal="center"/>
    </xf>
    <xf numFmtId="0" fontId="14" fillId="0" borderId="0" xfId="0" applyFont="1" applyAlignment="1">
      <alignment horizontal="right"/>
    </xf>
    <xf numFmtId="0" fontId="12" fillId="0" borderId="0" xfId="0" applyFont="1"/>
    <xf numFmtId="0" fontId="12" fillId="0" borderId="3" xfId="2" applyFont="1" applyBorder="1"/>
    <xf numFmtId="0" fontId="1" fillId="0" borderId="2" xfId="2" applyBorder="1"/>
    <xf numFmtId="0" fontId="1" fillId="0" borderId="1" xfId="2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4" fillId="0" borderId="0" xfId="0" applyFont="1"/>
    <xf numFmtId="1" fontId="1" fillId="0" borderId="0" xfId="0" applyNumberFormat="1" applyFont="1"/>
    <xf numFmtId="0" fontId="0" fillId="2" borderId="0" xfId="0" applyFill="1"/>
    <xf numFmtId="0" fontId="0" fillId="3" borderId="0" xfId="0" applyFill="1"/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4" borderId="4" xfId="0" applyFont="1" applyFill="1" applyBorder="1"/>
    <xf numFmtId="0" fontId="8" fillId="4" borderId="4" xfId="0" applyFont="1" applyFill="1" applyBorder="1" applyAlignment="1">
      <alignment horizontal="center"/>
    </xf>
    <xf numFmtId="0" fontId="14" fillId="0" borderId="5" xfId="0" applyFont="1" applyBorder="1"/>
    <xf numFmtId="0" fontId="12" fillId="0" borderId="5" xfId="0" applyFont="1" applyFill="1" applyBorder="1"/>
    <xf numFmtId="0" fontId="13" fillId="0" borderId="5" xfId="0" applyFont="1" applyBorder="1" applyAlignment="1">
      <alignment horizontal="center"/>
    </xf>
    <xf numFmtId="164" fontId="13" fillId="0" borderId="5" xfId="0" applyNumberFormat="1" applyFont="1" applyBorder="1" applyAlignment="1">
      <alignment horizontal="center"/>
    </xf>
    <xf numFmtId="0" fontId="14" fillId="0" borderId="6" xfId="0" applyFont="1" applyBorder="1"/>
    <xf numFmtId="0" fontId="12" fillId="0" borderId="6" xfId="0" applyFont="1" applyBorder="1"/>
    <xf numFmtId="0" fontId="13" fillId="0" borderId="6" xfId="0" applyFont="1" applyBorder="1" applyAlignment="1">
      <alignment horizontal="center"/>
    </xf>
    <xf numFmtId="164" fontId="13" fillId="0" borderId="6" xfId="0" applyNumberFormat="1" applyFont="1" applyBorder="1" applyAlignment="1">
      <alignment horizontal="center"/>
    </xf>
    <xf numFmtId="0" fontId="12" fillId="0" borderId="6" xfId="0" applyFont="1" applyFill="1" applyBorder="1"/>
    <xf numFmtId="1" fontId="14" fillId="3" borderId="5" xfId="0" applyNumberFormat="1" applyFont="1" applyFill="1" applyBorder="1" applyAlignment="1">
      <alignment horizontal="center"/>
    </xf>
    <xf numFmtId="1" fontId="14" fillId="3" borderId="6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14" fillId="3" borderId="5" xfId="0" applyNumberFormat="1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12" fillId="0" borderId="5" xfId="0" applyFont="1" applyBorder="1"/>
    <xf numFmtId="2" fontId="13" fillId="0" borderId="6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0" borderId="7" xfId="0" applyFill="1" applyBorder="1"/>
    <xf numFmtId="0" fontId="0" fillId="0" borderId="7" xfId="0" applyFill="1" applyBorder="1" applyAlignment="1">
      <alignment horizontal="right"/>
    </xf>
    <xf numFmtId="0" fontId="11" fillId="0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right"/>
    </xf>
    <xf numFmtId="0" fontId="7" fillId="4" borderId="9" xfId="0" applyFont="1" applyFill="1" applyBorder="1"/>
    <xf numFmtId="0" fontId="8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0" fontId="16" fillId="3" borderId="0" xfId="0" applyFont="1" applyFill="1" applyBorder="1" applyAlignment="1">
      <alignment horizontal="center"/>
    </xf>
    <xf numFmtId="0" fontId="14" fillId="3" borderId="0" xfId="0" applyFont="1" applyFill="1" applyBorder="1" applyAlignment="1">
      <alignment horizontal="center"/>
    </xf>
    <xf numFmtId="0" fontId="12" fillId="0" borderId="5" xfId="0" applyFont="1" applyBorder="1" applyAlignment="1">
      <alignment horizontal="right"/>
    </xf>
    <xf numFmtId="0" fontId="14" fillId="3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left"/>
    </xf>
    <xf numFmtId="0" fontId="12" fillId="0" borderId="6" xfId="0" applyFont="1" applyBorder="1" applyAlignment="1">
      <alignment horizontal="right"/>
    </xf>
    <xf numFmtId="0" fontId="14" fillId="3" borderId="6" xfId="0" applyFont="1" applyFill="1" applyBorder="1" applyAlignment="1">
      <alignment horizontal="center"/>
    </xf>
    <xf numFmtId="0" fontId="12" fillId="0" borderId="6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7" fillId="0" borderId="7" xfId="0" applyFont="1" applyBorder="1"/>
    <xf numFmtId="0" fontId="4" fillId="0" borderId="7" xfId="0" applyFont="1" applyBorder="1" applyAlignment="1">
      <alignment horizontal="center" vertical="center"/>
    </xf>
    <xf numFmtId="0" fontId="25" fillId="0" borderId="6" xfId="0" applyFont="1" applyFill="1" applyBorder="1" applyAlignment="1">
      <alignment horizontal="left" vertical="center"/>
    </xf>
    <xf numFmtId="1" fontId="26" fillId="0" borderId="6" xfId="0" applyNumberFormat="1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4" borderId="0" xfId="0" applyFont="1" applyFill="1"/>
    <xf numFmtId="0" fontId="1" fillId="4" borderId="0" xfId="0" applyFont="1" applyFill="1" applyAlignment="1">
      <alignment horizontal="center"/>
    </xf>
    <xf numFmtId="0" fontId="25" fillId="3" borderId="6" xfId="0" applyFont="1" applyFill="1" applyBorder="1" applyAlignment="1">
      <alignment horizontal="center" vertical="center"/>
    </xf>
    <xf numFmtId="0" fontId="14" fillId="3" borderId="0" xfId="0" applyFont="1" applyFill="1"/>
    <xf numFmtId="0" fontId="4" fillId="3" borderId="0" xfId="0" applyFont="1" applyFill="1" applyAlignment="1">
      <alignment horizontal="center"/>
    </xf>
    <xf numFmtId="0" fontId="1" fillId="2" borderId="0" xfId="2" applyFill="1"/>
    <xf numFmtId="0" fontId="1" fillId="2" borderId="0" xfId="2" applyFill="1" applyAlignment="1">
      <alignment horizontal="center"/>
    </xf>
    <xf numFmtId="0" fontId="20" fillId="4" borderId="0" xfId="2" applyFont="1" applyFill="1"/>
    <xf numFmtId="0" fontId="21" fillId="4" borderId="0" xfId="2" applyFont="1" applyFill="1"/>
    <xf numFmtId="0" fontId="21" fillId="4" borderId="0" xfId="2" applyFont="1" applyFill="1" applyAlignment="1">
      <alignment horizontal="center"/>
    </xf>
    <xf numFmtId="0" fontId="17" fillId="3" borderId="0" xfId="2" applyFont="1" applyFill="1" applyBorder="1" applyAlignment="1">
      <alignment horizontal="right"/>
    </xf>
    <xf numFmtId="0" fontId="14" fillId="3" borderId="0" xfId="2" applyFont="1" applyFill="1" applyBorder="1" applyAlignment="1">
      <alignment horizontal="center"/>
    </xf>
    <xf numFmtId="0" fontId="14" fillId="3" borderId="0" xfId="2" applyFont="1" applyFill="1" applyBorder="1" applyAlignment="1">
      <alignment horizontal="right"/>
    </xf>
    <xf numFmtId="0" fontId="14" fillId="3" borderId="0" xfId="2" quotePrefix="1" applyFont="1" applyFill="1" applyBorder="1" applyAlignment="1">
      <alignment horizontal="center"/>
    </xf>
    <xf numFmtId="0" fontId="20" fillId="4" borderId="11" xfId="0" applyFont="1" applyFill="1" applyBorder="1" applyAlignment="1">
      <alignment horizontal="left"/>
    </xf>
    <xf numFmtId="0" fontId="4" fillId="3" borderId="0" xfId="2" applyFont="1" applyFill="1"/>
    <xf numFmtId="0" fontId="4" fillId="3" borderId="7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2" fillId="0" borderId="7" xfId="0" applyFont="1" applyBorder="1" applyAlignment="1">
      <alignment horizontal="right"/>
    </xf>
    <xf numFmtId="0" fontId="12" fillId="0" borderId="7" xfId="0" applyFont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right"/>
    </xf>
    <xf numFmtId="0" fontId="0" fillId="4" borderId="10" xfId="0" applyFill="1" applyBorder="1"/>
    <xf numFmtId="0" fontId="5" fillId="5" borderId="0" xfId="0" applyFont="1" applyFill="1" applyBorder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10" fillId="4" borderId="4" xfId="0" applyFont="1" applyFill="1" applyBorder="1" applyAlignment="1">
      <alignment horizontal="center"/>
    </xf>
    <xf numFmtId="0" fontId="14" fillId="0" borderId="7" xfId="0" applyFont="1" applyBorder="1" applyAlignment="1">
      <alignment horizontal="right"/>
    </xf>
    <xf numFmtId="0" fontId="14" fillId="3" borderId="7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4" fillId="0" borderId="6" xfId="0" applyFont="1" applyBorder="1" applyAlignment="1">
      <alignment horizontal="right"/>
    </xf>
    <xf numFmtId="164" fontId="4" fillId="0" borderId="6" xfId="0" applyNumberFormat="1" applyFont="1" applyFill="1" applyBorder="1" applyAlignment="1">
      <alignment horizontal="center"/>
    </xf>
    <xf numFmtId="0" fontId="14" fillId="0" borderId="6" xfId="0" applyFont="1" applyBorder="1" applyAlignment="1">
      <alignment horizontal="center"/>
    </xf>
    <xf numFmtId="2" fontId="14" fillId="3" borderId="7" xfId="0" applyNumberFormat="1" applyFont="1" applyFill="1" applyBorder="1" applyAlignment="1">
      <alignment horizontal="center"/>
    </xf>
    <xf numFmtId="2" fontId="14" fillId="0" borderId="7" xfId="0" applyNumberFormat="1" applyFont="1" applyFill="1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0" fontId="17" fillId="3" borderId="12" xfId="2" applyFont="1" applyFill="1" applyBorder="1" applyAlignment="1">
      <alignment horizontal="right"/>
    </xf>
    <xf numFmtId="0" fontId="10" fillId="3" borderId="12" xfId="2" applyFont="1" applyFill="1" applyBorder="1" applyAlignment="1">
      <alignment horizontal="center"/>
    </xf>
    <xf numFmtId="0" fontId="14" fillId="3" borderId="12" xfId="2" applyFont="1" applyFill="1" applyBorder="1" applyAlignment="1">
      <alignment horizontal="right"/>
    </xf>
    <xf numFmtId="0" fontId="8" fillId="4" borderId="4" xfId="0" applyFont="1" applyFill="1" applyBorder="1" applyAlignment="1">
      <alignment horizontal="center"/>
    </xf>
    <xf numFmtId="0" fontId="0" fillId="0" borderId="0" xfId="0" applyFill="1"/>
    <xf numFmtId="0" fontId="8" fillId="4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28" fillId="0" borderId="0" xfId="2" applyFont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0" fillId="4" borderId="4" xfId="0" applyFill="1" applyBorder="1"/>
    <xf numFmtId="0" fontId="16" fillId="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/>
    </xf>
    <xf numFmtId="0" fontId="2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/>
  </cellStyles>
  <dxfs count="38"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  <dxf>
      <fill>
        <patternFill>
          <bgColor rgb="FF6DB3E6"/>
        </patternFill>
      </fill>
    </dxf>
  </dxfs>
  <tableStyles count="0" defaultTableStyle="TableStyleMedium9" defaultPivotStyle="PivotStyleLight16"/>
  <colors>
    <mruColors>
      <color rgb="FFC7CCD0"/>
      <color rgb="FF6DB3E6"/>
      <color rgb="FF195D93"/>
      <color rgb="FFBF000D"/>
      <color rgb="FFDD841C"/>
      <color rgb="FF2B3A85"/>
      <color rgb="FFCF261D"/>
      <color rgb="FF00923F"/>
      <color rgb="FFEFBD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style val="34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Баллы</a:t>
            </a:r>
            <a:r>
              <a:rPr lang="ru-RU" sz="1400" baseline="0"/>
              <a:t> по типам</a:t>
            </a:r>
            <a:endParaRPr lang="ru-RU" sz="1400"/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ИТОГИ!$G$3</c:f>
              <c:strCache>
                <c:ptCount val="1"/>
                <c:pt idx="0">
                  <c:v>6 баллов</c:v>
                </c:pt>
              </c:strCache>
            </c:strRef>
          </c:tx>
          <c:cat>
            <c:strRef>
              <c:f>ИТОГИ!$B$4:$B$22</c:f>
              <c:strCache>
                <c:ptCount val="19"/>
                <c:pt idx="0">
                  <c:v>Гусаков Сергей</c:v>
                </c:pt>
                <c:pt idx="1">
                  <c:v>Жук Роман</c:v>
                </c:pt>
                <c:pt idx="2">
                  <c:v>Назарян Виталий</c:v>
                </c:pt>
                <c:pt idx="3">
                  <c:v>Бегларян Гайк</c:v>
                </c:pt>
                <c:pt idx="4">
                  <c:v>Щербич Николай</c:v>
                </c:pt>
                <c:pt idx="5">
                  <c:v>Акиловский Руслан</c:v>
                </c:pt>
                <c:pt idx="6">
                  <c:v>Щербич Никита</c:v>
                </c:pt>
                <c:pt idx="7">
                  <c:v>Демчихин Александр</c:v>
                </c:pt>
                <c:pt idx="8">
                  <c:v>Иванов Андрей</c:v>
                </c:pt>
                <c:pt idx="9">
                  <c:v>Назарян Вадим</c:v>
                </c:pt>
                <c:pt idx="10">
                  <c:v>Кулиев Бегенч</c:v>
                </c:pt>
                <c:pt idx="11">
                  <c:v>Рижницын Андрей</c:v>
                </c:pt>
                <c:pt idx="12">
                  <c:v>Бегларян Аркадий</c:v>
                </c:pt>
                <c:pt idx="13">
                  <c:v>Арутюнян Артем</c:v>
                </c:pt>
                <c:pt idx="14">
                  <c:v>Иванов Евгений</c:v>
                </c:pt>
                <c:pt idx="15">
                  <c:v>Бикулов Камал</c:v>
                </c:pt>
                <c:pt idx="16">
                  <c:v>Аванесова Изабелла</c:v>
                </c:pt>
                <c:pt idx="17">
                  <c:v>Бегларян Римма</c:v>
                </c:pt>
                <c:pt idx="18">
                  <c:v>Тарасевич Максим</c:v>
                </c:pt>
              </c:strCache>
            </c:strRef>
          </c:cat>
          <c:val>
            <c:numRef>
              <c:f>ИТОГИ!$G$4:$G$22</c:f>
              <c:numCache>
                <c:formatCode>General</c:formatCode>
                <c:ptCount val="19"/>
                <c:pt idx="0">
                  <c:v>54</c:v>
                </c:pt>
                <c:pt idx="1">
                  <c:v>36</c:v>
                </c:pt>
                <c:pt idx="2">
                  <c:v>42</c:v>
                </c:pt>
                <c:pt idx="3">
                  <c:v>42</c:v>
                </c:pt>
                <c:pt idx="4">
                  <c:v>36</c:v>
                </c:pt>
                <c:pt idx="5">
                  <c:v>36</c:v>
                </c:pt>
                <c:pt idx="6">
                  <c:v>42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42</c:v>
                </c:pt>
                <c:pt idx="11">
                  <c:v>24</c:v>
                </c:pt>
                <c:pt idx="12">
                  <c:v>42</c:v>
                </c:pt>
                <c:pt idx="13">
                  <c:v>30</c:v>
                </c:pt>
                <c:pt idx="14">
                  <c:v>36</c:v>
                </c:pt>
                <c:pt idx="15">
                  <c:v>36</c:v>
                </c:pt>
                <c:pt idx="16">
                  <c:v>18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</c:ser>
        <c:ser>
          <c:idx val="1"/>
          <c:order val="1"/>
          <c:tx>
            <c:strRef>
              <c:f>ИТОГИ!$H$3</c:f>
              <c:strCache>
                <c:ptCount val="1"/>
                <c:pt idx="0">
                  <c:v>4 балла</c:v>
                </c:pt>
              </c:strCache>
            </c:strRef>
          </c:tx>
          <c:cat>
            <c:strRef>
              <c:f>ИТОГИ!$B$4:$B$22</c:f>
              <c:strCache>
                <c:ptCount val="19"/>
                <c:pt idx="0">
                  <c:v>Гусаков Сергей</c:v>
                </c:pt>
                <c:pt idx="1">
                  <c:v>Жук Роман</c:v>
                </c:pt>
                <c:pt idx="2">
                  <c:v>Назарян Виталий</c:v>
                </c:pt>
                <c:pt idx="3">
                  <c:v>Бегларян Гайк</c:v>
                </c:pt>
                <c:pt idx="4">
                  <c:v>Щербич Николай</c:v>
                </c:pt>
                <c:pt idx="5">
                  <c:v>Акиловский Руслан</c:v>
                </c:pt>
                <c:pt idx="6">
                  <c:v>Щербич Никита</c:v>
                </c:pt>
                <c:pt idx="7">
                  <c:v>Демчихин Александр</c:v>
                </c:pt>
                <c:pt idx="8">
                  <c:v>Иванов Андрей</c:v>
                </c:pt>
                <c:pt idx="9">
                  <c:v>Назарян Вадим</c:v>
                </c:pt>
                <c:pt idx="10">
                  <c:v>Кулиев Бегенч</c:v>
                </c:pt>
                <c:pt idx="11">
                  <c:v>Рижницын Андрей</c:v>
                </c:pt>
                <c:pt idx="12">
                  <c:v>Бегларян Аркадий</c:v>
                </c:pt>
                <c:pt idx="13">
                  <c:v>Арутюнян Артем</c:v>
                </c:pt>
                <c:pt idx="14">
                  <c:v>Иванов Евгений</c:v>
                </c:pt>
                <c:pt idx="15">
                  <c:v>Бикулов Камал</c:v>
                </c:pt>
                <c:pt idx="16">
                  <c:v>Аванесова Изабелла</c:v>
                </c:pt>
                <c:pt idx="17">
                  <c:v>Бегларян Римма</c:v>
                </c:pt>
                <c:pt idx="18">
                  <c:v>Тарасевич Максим</c:v>
                </c:pt>
              </c:strCache>
            </c:strRef>
          </c:cat>
          <c:val>
            <c:numRef>
              <c:f>ИТОГИ!$H$4:$H$22</c:f>
              <c:numCache>
                <c:formatCode>General</c:formatCode>
                <c:ptCount val="19"/>
                <c:pt idx="0">
                  <c:v>12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16</c:v>
                </c:pt>
                <c:pt idx="5">
                  <c:v>20</c:v>
                </c:pt>
                <c:pt idx="6">
                  <c:v>16</c:v>
                </c:pt>
                <c:pt idx="7">
                  <c:v>20</c:v>
                </c:pt>
                <c:pt idx="8">
                  <c:v>24</c:v>
                </c:pt>
                <c:pt idx="9">
                  <c:v>24</c:v>
                </c:pt>
                <c:pt idx="10">
                  <c:v>8</c:v>
                </c:pt>
                <c:pt idx="11">
                  <c:v>20</c:v>
                </c:pt>
                <c:pt idx="12">
                  <c:v>4</c:v>
                </c:pt>
                <c:pt idx="13">
                  <c:v>12</c:v>
                </c:pt>
                <c:pt idx="14">
                  <c:v>12</c:v>
                </c:pt>
                <c:pt idx="15">
                  <c:v>4</c:v>
                </c:pt>
                <c:pt idx="16">
                  <c:v>16</c:v>
                </c:pt>
                <c:pt idx="17">
                  <c:v>12</c:v>
                </c:pt>
                <c:pt idx="18">
                  <c:v>8</c:v>
                </c:pt>
              </c:numCache>
            </c:numRef>
          </c:val>
        </c:ser>
        <c:ser>
          <c:idx val="2"/>
          <c:order val="2"/>
          <c:tx>
            <c:strRef>
              <c:f>ИТОГИ!$I$3</c:f>
              <c:strCache>
                <c:ptCount val="1"/>
                <c:pt idx="0">
                  <c:v>3 балла</c:v>
                </c:pt>
              </c:strCache>
            </c:strRef>
          </c:tx>
          <c:cat>
            <c:strRef>
              <c:f>ИТОГИ!$B$4:$B$22</c:f>
              <c:strCache>
                <c:ptCount val="19"/>
                <c:pt idx="0">
                  <c:v>Гусаков Сергей</c:v>
                </c:pt>
                <c:pt idx="1">
                  <c:v>Жук Роман</c:v>
                </c:pt>
                <c:pt idx="2">
                  <c:v>Назарян Виталий</c:v>
                </c:pt>
                <c:pt idx="3">
                  <c:v>Бегларян Гайк</c:v>
                </c:pt>
                <c:pt idx="4">
                  <c:v>Щербич Николай</c:v>
                </c:pt>
                <c:pt idx="5">
                  <c:v>Акиловский Руслан</c:v>
                </c:pt>
                <c:pt idx="6">
                  <c:v>Щербич Никита</c:v>
                </c:pt>
                <c:pt idx="7">
                  <c:v>Демчихин Александр</c:v>
                </c:pt>
                <c:pt idx="8">
                  <c:v>Иванов Андрей</c:v>
                </c:pt>
                <c:pt idx="9">
                  <c:v>Назарян Вадим</c:v>
                </c:pt>
                <c:pt idx="10">
                  <c:v>Кулиев Бегенч</c:v>
                </c:pt>
                <c:pt idx="11">
                  <c:v>Рижницын Андрей</c:v>
                </c:pt>
                <c:pt idx="12">
                  <c:v>Бегларян Аркадий</c:v>
                </c:pt>
                <c:pt idx="13">
                  <c:v>Арутюнян Артем</c:v>
                </c:pt>
                <c:pt idx="14">
                  <c:v>Иванов Евгений</c:v>
                </c:pt>
                <c:pt idx="15">
                  <c:v>Бикулов Камал</c:v>
                </c:pt>
                <c:pt idx="16">
                  <c:v>Аванесова Изабелла</c:v>
                </c:pt>
                <c:pt idx="17">
                  <c:v>Бегларян Римма</c:v>
                </c:pt>
                <c:pt idx="18">
                  <c:v>Тарасевич Максим</c:v>
                </c:pt>
              </c:strCache>
            </c:strRef>
          </c:cat>
          <c:val>
            <c:numRef>
              <c:f>ИТОГИ!$I$4:$I$22</c:f>
              <c:numCache>
                <c:formatCode>General</c:formatCode>
                <c:ptCount val="19"/>
                <c:pt idx="0">
                  <c:v>12</c:v>
                </c:pt>
                <c:pt idx="1">
                  <c:v>9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6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6</c:v>
                </c:pt>
                <c:pt idx="18">
                  <c:v>0</c:v>
                </c:pt>
              </c:numCache>
            </c:numRef>
          </c:val>
        </c:ser>
        <c:ser>
          <c:idx val="3"/>
          <c:order val="3"/>
          <c:tx>
            <c:strRef>
              <c:f>ИТОГИ!$J$3</c:f>
              <c:strCache>
                <c:ptCount val="1"/>
                <c:pt idx="0">
                  <c:v>1 балл</c:v>
                </c:pt>
              </c:strCache>
            </c:strRef>
          </c:tx>
          <c:cat>
            <c:strRef>
              <c:f>ИТОГИ!$B$4:$B$22</c:f>
              <c:strCache>
                <c:ptCount val="19"/>
                <c:pt idx="0">
                  <c:v>Гусаков Сергей</c:v>
                </c:pt>
                <c:pt idx="1">
                  <c:v>Жук Роман</c:v>
                </c:pt>
                <c:pt idx="2">
                  <c:v>Назарян Виталий</c:v>
                </c:pt>
                <c:pt idx="3">
                  <c:v>Бегларян Гайк</c:v>
                </c:pt>
                <c:pt idx="4">
                  <c:v>Щербич Николай</c:v>
                </c:pt>
                <c:pt idx="5">
                  <c:v>Акиловский Руслан</c:v>
                </c:pt>
                <c:pt idx="6">
                  <c:v>Щербич Никита</c:v>
                </c:pt>
                <c:pt idx="7">
                  <c:v>Демчихин Александр</c:v>
                </c:pt>
                <c:pt idx="8">
                  <c:v>Иванов Андрей</c:v>
                </c:pt>
                <c:pt idx="9">
                  <c:v>Назарян Вадим</c:v>
                </c:pt>
                <c:pt idx="10">
                  <c:v>Кулиев Бегенч</c:v>
                </c:pt>
                <c:pt idx="11">
                  <c:v>Рижницын Андрей</c:v>
                </c:pt>
                <c:pt idx="12">
                  <c:v>Бегларян Аркадий</c:v>
                </c:pt>
                <c:pt idx="13">
                  <c:v>Арутюнян Артем</c:v>
                </c:pt>
                <c:pt idx="14">
                  <c:v>Иванов Евгений</c:v>
                </c:pt>
                <c:pt idx="15">
                  <c:v>Бикулов Камал</c:v>
                </c:pt>
                <c:pt idx="16">
                  <c:v>Аванесова Изабелла</c:v>
                </c:pt>
                <c:pt idx="17">
                  <c:v>Бегларян Римма</c:v>
                </c:pt>
                <c:pt idx="18">
                  <c:v>Тарасевич Максим</c:v>
                </c:pt>
              </c:strCache>
            </c:strRef>
          </c:cat>
          <c:val>
            <c:numRef>
              <c:f>ИТОГИ!$J$4:$J$22</c:f>
              <c:numCache>
                <c:formatCode>General</c:formatCode>
                <c:ptCount val="19"/>
                <c:pt idx="0">
                  <c:v>10</c:v>
                </c:pt>
                <c:pt idx="1">
                  <c:v>14</c:v>
                </c:pt>
                <c:pt idx="2">
                  <c:v>9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14</c:v>
                </c:pt>
                <c:pt idx="7">
                  <c:v>14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13</c:v>
                </c:pt>
                <c:pt idx="12">
                  <c:v>10</c:v>
                </c:pt>
                <c:pt idx="13">
                  <c:v>14</c:v>
                </c:pt>
                <c:pt idx="14">
                  <c:v>9</c:v>
                </c:pt>
                <c:pt idx="15">
                  <c:v>7</c:v>
                </c:pt>
                <c:pt idx="16">
                  <c:v>11</c:v>
                </c:pt>
                <c:pt idx="17">
                  <c:v>8</c:v>
                </c:pt>
                <c:pt idx="18">
                  <c:v>19</c:v>
                </c:pt>
              </c:numCache>
            </c:numRef>
          </c:val>
        </c:ser>
        <c:ser>
          <c:idx val="4"/>
          <c:order val="4"/>
          <c:tx>
            <c:strRef>
              <c:f>ИТОГИ!$K$3</c:f>
              <c:strCache>
                <c:ptCount val="1"/>
                <c:pt idx="0">
                  <c:v>Бонус</c:v>
                </c:pt>
              </c:strCache>
            </c:strRef>
          </c:tx>
          <c:cat>
            <c:strRef>
              <c:f>ИТОГИ!$B$4:$B$22</c:f>
              <c:strCache>
                <c:ptCount val="19"/>
                <c:pt idx="0">
                  <c:v>Гусаков Сергей</c:v>
                </c:pt>
                <c:pt idx="1">
                  <c:v>Жук Роман</c:v>
                </c:pt>
                <c:pt idx="2">
                  <c:v>Назарян Виталий</c:v>
                </c:pt>
                <c:pt idx="3">
                  <c:v>Бегларян Гайк</c:v>
                </c:pt>
                <c:pt idx="4">
                  <c:v>Щербич Николай</c:v>
                </c:pt>
                <c:pt idx="5">
                  <c:v>Акиловский Руслан</c:v>
                </c:pt>
                <c:pt idx="6">
                  <c:v>Щербич Никита</c:v>
                </c:pt>
                <c:pt idx="7">
                  <c:v>Демчихин Александр</c:v>
                </c:pt>
                <c:pt idx="8">
                  <c:v>Иванов Андрей</c:v>
                </c:pt>
                <c:pt idx="9">
                  <c:v>Назарян Вадим</c:v>
                </c:pt>
                <c:pt idx="10">
                  <c:v>Кулиев Бегенч</c:v>
                </c:pt>
                <c:pt idx="11">
                  <c:v>Рижницын Андрей</c:v>
                </c:pt>
                <c:pt idx="12">
                  <c:v>Бегларян Аркадий</c:v>
                </c:pt>
                <c:pt idx="13">
                  <c:v>Арутюнян Артем</c:v>
                </c:pt>
                <c:pt idx="14">
                  <c:v>Иванов Евгений</c:v>
                </c:pt>
                <c:pt idx="15">
                  <c:v>Бикулов Камал</c:v>
                </c:pt>
                <c:pt idx="16">
                  <c:v>Аванесова Изабелла</c:v>
                </c:pt>
                <c:pt idx="17">
                  <c:v>Бегларян Римма</c:v>
                </c:pt>
                <c:pt idx="18">
                  <c:v>Тарасевич Максим</c:v>
                </c:pt>
              </c:strCache>
            </c:strRef>
          </c:cat>
          <c:val>
            <c:numRef>
              <c:f>ИТОГИ!$K$4:$K$22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7.5999999999999979</c:v>
                </c:pt>
                <c:pt idx="18">
                  <c:v>0</c:v>
                </c:pt>
              </c:numCache>
            </c:numRef>
          </c:val>
        </c:ser>
        <c:overlap val="100"/>
        <c:axId val="82782464"/>
        <c:axId val="82800640"/>
      </c:barChart>
      <c:catAx>
        <c:axId val="82782464"/>
        <c:scaling>
          <c:orientation val="minMax"/>
        </c:scaling>
        <c:axPos val="l"/>
        <c:numFmt formatCode="General" sourceLinked="0"/>
        <c:tickLblPos val="nextTo"/>
        <c:txPr>
          <a:bodyPr rot="0" vert="horz"/>
          <a:lstStyle/>
          <a:p>
            <a:pPr>
              <a:defRPr sz="800" i="1"/>
            </a:pPr>
            <a:endParaRPr lang="ru-RU"/>
          </a:p>
        </c:txPr>
        <c:crossAx val="82800640"/>
        <c:crosses val="autoZero"/>
        <c:auto val="1"/>
        <c:lblAlgn val="ctr"/>
        <c:lblOffset val="100"/>
      </c:catAx>
      <c:valAx>
        <c:axId val="82800640"/>
        <c:scaling>
          <c:orientation val="minMax"/>
        </c:scaling>
        <c:axPos val="b"/>
        <c:majorGridlines/>
        <c:numFmt formatCode="General" sourceLinked="1"/>
        <c:tickLblPos val="nextTo"/>
        <c:txPr>
          <a:bodyPr/>
          <a:lstStyle/>
          <a:p>
            <a:pPr>
              <a:defRPr sz="800" b="1"/>
            </a:pPr>
            <a:endParaRPr lang="ru-RU"/>
          </a:p>
        </c:txPr>
        <c:crossAx val="8278246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900"/>
          </a:pPr>
          <a:endParaRPr lang="ru-RU"/>
        </a:p>
      </c:txPr>
    </c:legend>
    <c:dispBlanksAs val="gap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ru-RU"/>
    </a:p>
  </c:txPr>
  <c:printSettings>
    <c:headerFooter/>
    <c:pageMargins b="0.75000000000001266" l="0.70000000000000062" r="0.70000000000000062" t="0.75000000000001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23</xdr:row>
      <xdr:rowOff>14285</xdr:rowOff>
    </xdr:from>
    <xdr:to>
      <xdr:col>22</xdr:col>
      <xdr:colOff>0</xdr:colOff>
      <xdr:row>52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19051</xdr:colOff>
      <xdr:row>46</xdr:row>
      <xdr:rowOff>19051</xdr:rowOff>
    </xdr:from>
    <xdr:to>
      <xdr:col>0</xdr:col>
      <xdr:colOff>390525</xdr:colOff>
      <xdr:row>48</xdr:row>
      <xdr:rowOff>149989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6305551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  <xdr:twoCellAnchor editAs="oneCell">
    <xdr:from>
      <xdr:col>0</xdr:col>
      <xdr:colOff>19051</xdr:colOff>
      <xdr:row>23</xdr:row>
      <xdr:rowOff>19051</xdr:rowOff>
    </xdr:from>
    <xdr:to>
      <xdr:col>0</xdr:col>
      <xdr:colOff>390525</xdr:colOff>
      <xdr:row>25</xdr:row>
      <xdr:rowOff>149989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3162301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  <xdr:twoCellAnchor editAs="oneCell">
    <xdr:from>
      <xdr:col>0</xdr:col>
      <xdr:colOff>19051</xdr:colOff>
      <xdr:row>0</xdr:row>
      <xdr:rowOff>19051</xdr:rowOff>
    </xdr:from>
    <xdr:to>
      <xdr:col>0</xdr:col>
      <xdr:colOff>390525</xdr:colOff>
      <xdr:row>2</xdr:row>
      <xdr:rowOff>149989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1" y="19051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  <xdr:twoCellAnchor editAs="oneCell">
    <xdr:from>
      <xdr:col>14</xdr:col>
      <xdr:colOff>9526</xdr:colOff>
      <xdr:row>0</xdr:row>
      <xdr:rowOff>19051</xdr:rowOff>
    </xdr:from>
    <xdr:to>
      <xdr:col>14</xdr:col>
      <xdr:colOff>381000</xdr:colOff>
      <xdr:row>2</xdr:row>
      <xdr:rowOff>149989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876926" y="19051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1</xdr:col>
      <xdr:colOff>209549</xdr:colOff>
      <xdr:row>2</xdr:row>
      <xdr:rowOff>149988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  <xdr:twoCellAnchor editAs="oneCell">
    <xdr:from>
      <xdr:col>18</xdr:col>
      <xdr:colOff>9525</xdr:colOff>
      <xdr:row>0</xdr:row>
      <xdr:rowOff>19050</xdr:rowOff>
    </xdr:from>
    <xdr:to>
      <xdr:col>18</xdr:col>
      <xdr:colOff>380999</xdr:colOff>
      <xdr:row>2</xdr:row>
      <xdr:rowOff>149988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876925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390524</xdr:colOff>
      <xdr:row>2</xdr:row>
      <xdr:rowOff>149988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50" y="19050"/>
          <a:ext cx="371474" cy="521463"/>
        </a:xfrm>
        <a:prstGeom prst="rect">
          <a:avLst/>
        </a:prstGeom>
        <a:ln>
          <a:solidFill>
            <a:srgbClr val="195D93"/>
          </a:solidFill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8"/>
  <sheetViews>
    <sheetView tabSelected="1" workbookViewId="0"/>
  </sheetViews>
  <sheetFormatPr defaultRowHeight="12.75"/>
  <cols>
    <col min="1" max="1" width="7.28515625" customWidth="1"/>
    <col min="2" max="2" width="27.42578125" customWidth="1"/>
    <col min="3" max="6" width="7.28515625" customWidth="1"/>
    <col min="7" max="11" width="7.28515625" hidden="1" customWidth="1"/>
    <col min="12" max="12" width="7.28515625" customWidth="1"/>
    <col min="13" max="13" width="7.7109375" customWidth="1"/>
    <col min="15" max="15" width="7.28515625" customWidth="1"/>
    <col min="16" max="16" width="25" customWidth="1"/>
    <col min="17" max="22" width="9.28515625" customWidth="1"/>
  </cols>
  <sheetData>
    <row r="1" spans="1:22" ht="18">
      <c r="A1" s="40" t="s">
        <v>131</v>
      </c>
      <c r="B1" s="40"/>
      <c r="C1" s="41"/>
      <c r="D1" s="41"/>
      <c r="E1" s="42"/>
      <c r="F1" s="41"/>
      <c r="G1" s="41"/>
      <c r="H1" s="41"/>
      <c r="I1" s="41"/>
      <c r="J1" s="41"/>
      <c r="K1" s="41"/>
      <c r="L1" s="41"/>
      <c r="M1" s="43" t="s">
        <v>14</v>
      </c>
      <c r="O1" s="40" t="s">
        <v>134</v>
      </c>
      <c r="P1" s="38"/>
      <c r="Q1" s="38"/>
      <c r="R1" s="38"/>
      <c r="S1" s="38"/>
      <c r="T1" s="38"/>
      <c r="U1" s="38"/>
      <c r="V1" s="43" t="s">
        <v>14</v>
      </c>
    </row>
    <row r="2" spans="1:2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O2" s="8"/>
      <c r="P2" s="12"/>
      <c r="Q2" s="12"/>
      <c r="S2" s="8"/>
      <c r="T2" s="10"/>
      <c r="U2" s="8"/>
      <c r="V2" s="8"/>
    </row>
    <row r="3" spans="1:22">
      <c r="A3" s="44"/>
      <c r="B3" s="45" t="s">
        <v>15</v>
      </c>
      <c r="C3" s="46">
        <v>6</v>
      </c>
      <c r="D3" s="46">
        <v>4</v>
      </c>
      <c r="E3" s="46">
        <v>3</v>
      </c>
      <c r="F3" s="46">
        <v>1</v>
      </c>
      <c r="G3" s="46" t="s">
        <v>99</v>
      </c>
      <c r="H3" s="46" t="s">
        <v>100</v>
      </c>
      <c r="I3" s="46" t="s">
        <v>101</v>
      </c>
      <c r="J3" s="46" t="s">
        <v>102</v>
      </c>
      <c r="K3" s="46" t="s">
        <v>103</v>
      </c>
      <c r="L3" s="46" t="s">
        <v>16</v>
      </c>
      <c r="M3" s="46" t="s">
        <v>27</v>
      </c>
      <c r="O3" s="44"/>
      <c r="P3" s="45" t="s">
        <v>15</v>
      </c>
      <c r="Q3" s="154" t="s">
        <v>105</v>
      </c>
      <c r="R3" s="155"/>
      <c r="S3" s="154" t="s">
        <v>104</v>
      </c>
      <c r="T3" s="155"/>
      <c r="U3" s="154" t="s">
        <v>92</v>
      </c>
      <c r="V3" s="155"/>
    </row>
    <row r="4" spans="1:22">
      <c r="A4" s="47">
        <v>1</v>
      </c>
      <c r="B4" s="48" t="s">
        <v>234</v>
      </c>
      <c r="C4" s="49">
        <f>COUNTIF('13 Гусаков Сергей'!$S$2:$S$66,6)+2*COUNTIF('13 Гусаков Сергей'!$S$2:$S$66,12)</f>
        <v>9</v>
      </c>
      <c r="D4" s="145">
        <f>COUNTIF('13 Гусаков Сергей'!$S$2:$S$66,4)</f>
        <v>3</v>
      </c>
      <c r="E4" s="49">
        <f>COUNTIF('13 Гусаков Сергей'!$S$2:$S$66,3)</f>
        <v>4</v>
      </c>
      <c r="F4" s="49">
        <f>COUNTIF('13 Гусаков Сергей'!$S$2:$S$66,1)</f>
        <v>10</v>
      </c>
      <c r="G4" s="49">
        <f>C4*6</f>
        <v>54</v>
      </c>
      <c r="H4" s="49">
        <f>D4*4</f>
        <v>12</v>
      </c>
      <c r="I4" s="49">
        <f>E4*3</f>
        <v>12</v>
      </c>
      <c r="J4" s="49">
        <f>F4</f>
        <v>10</v>
      </c>
      <c r="K4" s="49">
        <f>(M4-1)*SUM(G4:J4)</f>
        <v>0</v>
      </c>
      <c r="L4" s="59">
        <f>(6*C4+4*D4+3*E4+1*F4)*M4</f>
        <v>88</v>
      </c>
      <c r="M4" s="153">
        <v>1</v>
      </c>
      <c r="O4" s="47">
        <v>1</v>
      </c>
      <c r="P4" s="62" t="s">
        <v>214</v>
      </c>
      <c r="Q4" s="56">
        <v>0</v>
      </c>
      <c r="R4" s="145">
        <v>0</v>
      </c>
      <c r="S4" s="59">
        <f>SUM('05 Бикулов Камал'!$S$2:$S$66)*(1+0.2*Q4)</f>
        <v>50</v>
      </c>
      <c r="T4" s="146">
        <v>53</v>
      </c>
      <c r="U4" s="66">
        <f>IFERROR(SUM('05 Бикулов Камал'!$S$2:$S$66)/(SUM('Результаты матчей'!$Q$2:$Q$65)-8),"-")</f>
        <v>1.1627906976744187</v>
      </c>
      <c r="V4" s="147">
        <v>1.77</v>
      </c>
    </row>
    <row r="5" spans="1:22">
      <c r="A5" s="51">
        <v>2</v>
      </c>
      <c r="B5" s="52" t="s">
        <v>128</v>
      </c>
      <c r="C5" s="53">
        <f>COUNTIF('09 Жук Роман'!$S$2:$S$66,6)+2*COUNTIF('09 Жук Роман'!$S$2:$S$66,12)</f>
        <v>6</v>
      </c>
      <c r="D5" s="58">
        <f>COUNTIF('09 Жук Роман'!$S$2:$S$66,4)</f>
        <v>5</v>
      </c>
      <c r="E5" s="53">
        <f>COUNTIF('09 Жук Роман'!$S$2:$S$66,3)</f>
        <v>3</v>
      </c>
      <c r="F5" s="53">
        <f>COUNTIF('09 Жук Роман'!$S$2:$S$66,1)</f>
        <v>14</v>
      </c>
      <c r="G5" s="53">
        <f>C5*6</f>
        <v>36</v>
      </c>
      <c r="H5" s="53">
        <f>D5*4</f>
        <v>20</v>
      </c>
      <c r="I5" s="53">
        <f>E5*3</f>
        <v>9</v>
      </c>
      <c r="J5" s="53">
        <f>F5</f>
        <v>14</v>
      </c>
      <c r="K5" s="53">
        <f>(M5-1)*SUM(G5:J5)</f>
        <v>0</v>
      </c>
      <c r="L5" s="60">
        <f>(6*C5+4*D5+3*E5+1*F5)*M5</f>
        <v>79</v>
      </c>
      <c r="M5" s="152">
        <v>1</v>
      </c>
      <c r="O5" s="51">
        <v>2</v>
      </c>
      <c r="P5" s="52" t="s">
        <v>121</v>
      </c>
      <c r="Q5" s="57">
        <v>0</v>
      </c>
      <c r="R5" s="58">
        <v>0</v>
      </c>
      <c r="S5" s="59">
        <f>SUM('10 Бегларян Аркадий'!$S$2:$S$66)*(1+0.2*Q5)</f>
        <v>59</v>
      </c>
      <c r="T5" s="64">
        <v>103</v>
      </c>
      <c r="U5" s="66">
        <f>IFERROR(SUM('10 Бегларян Аркадий'!$S$2:$S$66)/SUM('Результаты матчей'!$Q$2:$Q$65),"-")</f>
        <v>1.1568627450980393</v>
      </c>
      <c r="V5" s="65">
        <v>1.61</v>
      </c>
    </row>
    <row r="6" spans="1:22">
      <c r="A6" s="51">
        <v>3</v>
      </c>
      <c r="B6" s="52" t="s">
        <v>244</v>
      </c>
      <c r="C6" s="53">
        <f>COUNTIF('16 Назарян Виталий'!$S$2:$S$66,6)+2*COUNTIF('16 Назарян Виталий'!$S$2:$S$66,12)</f>
        <v>7</v>
      </c>
      <c r="D6" s="58">
        <f>COUNTIF('16 Назарян Виталий'!$S$2:$S$66,4)</f>
        <v>5</v>
      </c>
      <c r="E6" s="53">
        <f>COUNTIF('16 Назарян Виталий'!$S$2:$S$66,3)</f>
        <v>2</v>
      </c>
      <c r="F6" s="53">
        <f>COUNTIF('16 Назарян Виталий'!$S$2:$S$66,1)</f>
        <v>9</v>
      </c>
      <c r="G6" s="53">
        <f>C6*6</f>
        <v>42</v>
      </c>
      <c r="H6" s="53">
        <f>D6*4</f>
        <v>20</v>
      </c>
      <c r="I6" s="53">
        <f>E6*3</f>
        <v>6</v>
      </c>
      <c r="J6" s="53">
        <f>F6</f>
        <v>9</v>
      </c>
      <c r="K6" s="53">
        <f>(M6-1)*SUM(G6:J6)</f>
        <v>0</v>
      </c>
      <c r="L6" s="60">
        <f>(6*C6+4*D6+3*E6+1*F6)*M6</f>
        <v>77</v>
      </c>
      <c r="M6" s="152">
        <v>1</v>
      </c>
      <c r="O6" s="51">
        <v>3</v>
      </c>
      <c r="P6" s="52" t="s">
        <v>241</v>
      </c>
      <c r="Q6" s="57">
        <v>0</v>
      </c>
      <c r="R6" s="58">
        <v>0</v>
      </c>
      <c r="S6" s="59">
        <f>SUM('15 Тарасевич Максим'!$S$2:$S$66)*(1+0.2*Q6)</f>
        <v>39</v>
      </c>
      <c r="T6" s="64">
        <v>150</v>
      </c>
      <c r="U6" s="66">
        <f>IFERROR(SUM('15 Тарасевич Максим'!$S$2:$S$66)/(SUM('Результаты матчей'!$Q$2:$Q$65)-1),"-")</f>
        <v>0.78</v>
      </c>
      <c r="V6" s="65">
        <v>1.58</v>
      </c>
    </row>
    <row r="7" spans="1:22">
      <c r="A7" s="51">
        <v>4</v>
      </c>
      <c r="B7" s="52" t="s">
        <v>20</v>
      </c>
      <c r="C7" s="53">
        <f>COUNTIF('02 Бегларян Гайк'!$S$2:$S$66,6)+2*COUNTIF('02 Бегларян Гайк'!$S$2:$S$66,12)</f>
        <v>7</v>
      </c>
      <c r="D7" s="58">
        <f>COUNTIF('02 Бегларян Гайк'!$S$2:$S$66,4)</f>
        <v>5</v>
      </c>
      <c r="E7" s="53">
        <f>COUNTIF('02 Бегларян Гайк'!$S$2:$S$66,3)</f>
        <v>1</v>
      </c>
      <c r="F7" s="53">
        <f>COUNTIF('02 Бегларян Гайк'!$S$2:$S$66,1)</f>
        <v>12</v>
      </c>
      <c r="G7" s="53">
        <f>C7*6</f>
        <v>42</v>
      </c>
      <c r="H7" s="53">
        <f>D7*4</f>
        <v>20</v>
      </c>
      <c r="I7" s="53">
        <f>E7*3</f>
        <v>3</v>
      </c>
      <c r="J7" s="53">
        <f>F7</f>
        <v>12</v>
      </c>
      <c r="K7" s="53">
        <f>(M7-1)*SUM(G7:J7)</f>
        <v>0</v>
      </c>
      <c r="L7" s="60">
        <f>(6*C7+4*D7+3*E7+1*F7)*M7</f>
        <v>77</v>
      </c>
      <c r="M7" s="152">
        <v>1</v>
      </c>
      <c r="O7" s="51">
        <v>4</v>
      </c>
      <c r="P7" s="52" t="s">
        <v>237</v>
      </c>
      <c r="Q7" s="57">
        <v>0</v>
      </c>
      <c r="R7" s="58">
        <v>2</v>
      </c>
      <c r="S7" s="59">
        <f>SUM('14 Рижницын Андрей'!$S$2:$S$66)*(1+0.2*Q7)</f>
        <v>63</v>
      </c>
      <c r="T7" s="64">
        <v>306.60000000000002</v>
      </c>
      <c r="U7" s="66">
        <f>IFERROR(SUM('14 Рижницын Андрей'!$S$2:$S$66)/SUM('Результаты матчей'!$Q$2:$Q$65),"-")</f>
        <v>1.2352941176470589</v>
      </c>
      <c r="V7" s="65">
        <v>1.46</v>
      </c>
    </row>
    <row r="8" spans="1:22">
      <c r="A8" s="51">
        <v>5</v>
      </c>
      <c r="B8" s="52" t="s">
        <v>124</v>
      </c>
      <c r="C8" s="53">
        <f>COUNTIF('08 Щербич Николай'!$S$2:$S$66,6)+2*COUNTIF('08 Щербич Николай'!$S$2:$S$66,12)</f>
        <v>6</v>
      </c>
      <c r="D8" s="58">
        <f>COUNTIF('08 Щербич Николай'!$S$2:$S$66,4)</f>
        <v>4</v>
      </c>
      <c r="E8" s="53">
        <f>COUNTIF('08 Щербич Николай'!$S$2:$S$66,3)</f>
        <v>4</v>
      </c>
      <c r="F8" s="53">
        <f>COUNTIF('08 Щербич Николай'!$S$2:$S$66,1)</f>
        <v>13</v>
      </c>
      <c r="G8" s="53">
        <f>C8*6</f>
        <v>36</v>
      </c>
      <c r="H8" s="53">
        <f>D8*4</f>
        <v>16</v>
      </c>
      <c r="I8" s="53">
        <f>E8*3</f>
        <v>12</v>
      </c>
      <c r="J8" s="53">
        <f>F8</f>
        <v>13</v>
      </c>
      <c r="K8" s="53">
        <f>(M8-1)*SUM(G8:J8)</f>
        <v>0</v>
      </c>
      <c r="L8" s="60">
        <f>(6*C8+4*D8+3*E8+1*F8)*M8</f>
        <v>77</v>
      </c>
      <c r="M8" s="152">
        <v>1</v>
      </c>
      <c r="O8" s="51">
        <v>5</v>
      </c>
      <c r="P8" s="52" t="s">
        <v>123</v>
      </c>
      <c r="Q8" s="57">
        <v>0</v>
      </c>
      <c r="R8" s="53">
        <v>2</v>
      </c>
      <c r="S8" s="59">
        <f>SUM('01 Акиловский Руслан'!$S$2:$S$66)*(1+0.2*Q8)</f>
        <v>74</v>
      </c>
      <c r="T8" s="54">
        <v>232.8</v>
      </c>
      <c r="U8" s="66">
        <f>IFERROR(SUM('01 Акиловский Руслан'!$S$2:$S$66)/SUM('Результаты матчей'!$Q$2:$Q$65),"-")</f>
        <v>1.4509803921568627</v>
      </c>
      <c r="V8" s="63">
        <v>1.41</v>
      </c>
    </row>
    <row r="9" spans="1:22">
      <c r="A9" s="51">
        <v>6</v>
      </c>
      <c r="B9" s="55" t="s">
        <v>123</v>
      </c>
      <c r="C9" s="53">
        <f>COUNTIF('01 Акиловский Руслан'!$S$2:$S$66,6)+2*COUNTIF('01 Акиловский Руслан'!$S$2:$S$66,12)</f>
        <v>6</v>
      </c>
      <c r="D9" s="53">
        <f>COUNTIF('01 Акиловский Руслан'!$S$2:$S$66,4)</f>
        <v>5</v>
      </c>
      <c r="E9" s="53">
        <f>COUNTIF('01 Акиловский Руслан'!$S$2:$S$66,3)</f>
        <v>2</v>
      </c>
      <c r="F9" s="53">
        <f>COUNTIF('01 Акиловский Руслан'!$S$2:$S$66,1)</f>
        <v>12</v>
      </c>
      <c r="G9" s="53">
        <f>C9*6</f>
        <v>36</v>
      </c>
      <c r="H9" s="53">
        <f>D9*4</f>
        <v>20</v>
      </c>
      <c r="I9" s="53">
        <f>E9*3</f>
        <v>6</v>
      </c>
      <c r="J9" s="53">
        <f>F9</f>
        <v>12</v>
      </c>
      <c r="K9" s="53">
        <f>(M9-1)*SUM(G9:J9)</f>
        <v>0</v>
      </c>
      <c r="L9" s="60">
        <f>(6*C9+4*D9+3*E9+1*F9)*M9</f>
        <v>74</v>
      </c>
      <c r="M9" s="152">
        <v>1</v>
      </c>
      <c r="O9" s="51">
        <v>6</v>
      </c>
      <c r="P9" s="52" t="s">
        <v>122</v>
      </c>
      <c r="Q9" s="57">
        <v>0</v>
      </c>
      <c r="R9" s="58">
        <v>1</v>
      </c>
      <c r="S9" s="59">
        <f>SUM('07 Аванесова Изабелла'!$S$2:$S$66)*(1+0.2*Q9)</f>
        <v>48</v>
      </c>
      <c r="T9" s="64">
        <v>138.6</v>
      </c>
      <c r="U9" s="66">
        <f>IFERROR(SUM('07 Аванесова Изабелла'!$S$2:$S$66)/SUM('Результаты матчей'!$Q$2:$Q$65),"-")</f>
        <v>0.94117647058823528</v>
      </c>
      <c r="V9" s="65">
        <v>1.37</v>
      </c>
    </row>
    <row r="10" spans="1:22">
      <c r="A10" s="51">
        <v>7</v>
      </c>
      <c r="B10" s="52" t="s">
        <v>247</v>
      </c>
      <c r="C10" s="53">
        <f>COUNTIF('19 Щербич Никита'!$S$2:$S$66,6)+2*COUNTIF('19 Щербич Никита'!$S$2:$S$66,12)</f>
        <v>7</v>
      </c>
      <c r="D10" s="58">
        <f>COUNTIF('19 Щербич Никита'!$S$2:$S$66,4)</f>
        <v>4</v>
      </c>
      <c r="E10" s="53">
        <f>COUNTIF('19 Щербич Никита'!$S$2:$S$66,3)</f>
        <v>0</v>
      </c>
      <c r="F10" s="53">
        <f>COUNTIF('19 Щербич Никита'!$S$2:$S$66,1)</f>
        <v>14</v>
      </c>
      <c r="G10" s="53">
        <f>C10*6</f>
        <v>42</v>
      </c>
      <c r="H10" s="53">
        <f>D10*4</f>
        <v>16</v>
      </c>
      <c r="I10" s="53">
        <f>E10*3</f>
        <v>0</v>
      </c>
      <c r="J10" s="53">
        <f>F10</f>
        <v>14</v>
      </c>
      <c r="K10" s="53">
        <f>(M10-1)*SUM(G10:J10)</f>
        <v>0</v>
      </c>
      <c r="L10" s="60">
        <f>(6*C10+4*D10+3*E10+1*F10)*M10</f>
        <v>72</v>
      </c>
      <c r="M10" s="152">
        <v>1</v>
      </c>
      <c r="O10" s="51">
        <v>7</v>
      </c>
      <c r="P10" s="52" t="s">
        <v>228</v>
      </c>
      <c r="Q10" s="57">
        <v>0</v>
      </c>
      <c r="R10" s="58">
        <v>1</v>
      </c>
      <c r="S10" s="59">
        <f>SUM('11 Демчихин Александр'!$S$2:$S$66)*(1+0.2*Q10)</f>
        <v>70</v>
      </c>
      <c r="T10" s="64">
        <v>266.8</v>
      </c>
      <c r="U10" s="66">
        <f>IFERROR(SUM('11 Демчихин Александр'!$S$2:$S$66)/SUM('Результаты матчей'!$Q$2:$Q$65),"-")</f>
        <v>1.3725490196078431</v>
      </c>
      <c r="V10" s="65">
        <v>1.32</v>
      </c>
    </row>
    <row r="11" spans="1:22">
      <c r="A11" s="51">
        <v>8</v>
      </c>
      <c r="B11" s="52" t="s">
        <v>228</v>
      </c>
      <c r="C11" s="53">
        <f>COUNTIF('11 Демчихин Александр'!$S$2:$S$66,6)+2*COUNTIF('11 Демчихин Александр'!$S$2:$S$66,12)</f>
        <v>4</v>
      </c>
      <c r="D11" s="58">
        <f>COUNTIF('11 Демчихин Александр'!$S$2:$S$66,4)</f>
        <v>5</v>
      </c>
      <c r="E11" s="53">
        <f>COUNTIF('11 Демчихин Александр'!$S$2:$S$66,3)</f>
        <v>4</v>
      </c>
      <c r="F11" s="53">
        <f>COUNTIF('11 Демчихин Александр'!$S$2:$S$66,1)</f>
        <v>14</v>
      </c>
      <c r="G11" s="53">
        <f>C11*6</f>
        <v>24</v>
      </c>
      <c r="H11" s="53">
        <f>D11*4</f>
        <v>20</v>
      </c>
      <c r="I11" s="53">
        <f>E11*3</f>
        <v>12</v>
      </c>
      <c r="J11" s="53">
        <f>F11</f>
        <v>14</v>
      </c>
      <c r="K11" s="53">
        <f>(M11-1)*SUM(G11:J11)</f>
        <v>0</v>
      </c>
      <c r="L11" s="60">
        <f>(6*C11+4*D11+3*E11+1*F11)*M11</f>
        <v>70</v>
      </c>
      <c r="M11" s="152">
        <v>1</v>
      </c>
      <c r="O11" s="51">
        <v>8</v>
      </c>
      <c r="P11" s="55" t="s">
        <v>17</v>
      </c>
      <c r="Q11" s="57">
        <v>0</v>
      </c>
      <c r="R11" s="58">
        <v>0</v>
      </c>
      <c r="S11" s="59">
        <f>SUM('06 Иванов Андрей'!$S$2:$S$66)*(1+0.2*Q11)</f>
        <v>64</v>
      </c>
      <c r="T11" s="64">
        <v>247</v>
      </c>
      <c r="U11" s="66">
        <f>IFERROR(SUM('06 Иванов Андрей'!$S$2:$S$66)/SUM('Результаты матчей'!$Q$2:$Q$65),"-")</f>
        <v>1.2549019607843137</v>
      </c>
      <c r="V11" s="65">
        <v>1.3</v>
      </c>
    </row>
    <row r="12" spans="1:22">
      <c r="A12" s="51">
        <v>9</v>
      </c>
      <c r="B12" s="55" t="s">
        <v>17</v>
      </c>
      <c r="C12" s="53">
        <f>COUNTIF('06 Иванов Андрей'!$S$2:$S$66,6)+2*COUNTIF('06 Иванов Андрей'!$S$2:$S$66,12)</f>
        <v>4</v>
      </c>
      <c r="D12" s="58">
        <f>COUNTIF('06 Иванов Андрей'!$S$2:$S$66,4)</f>
        <v>6</v>
      </c>
      <c r="E12" s="53">
        <f>COUNTIF('06 Иванов Андрей'!$S$2:$S$66,3)</f>
        <v>2</v>
      </c>
      <c r="F12" s="53">
        <f>COUNTIF('06 Иванов Андрей'!$S$2:$S$66,1)</f>
        <v>10</v>
      </c>
      <c r="G12" s="53">
        <f>C12*6</f>
        <v>24</v>
      </c>
      <c r="H12" s="53">
        <f>D12*4</f>
        <v>24</v>
      </c>
      <c r="I12" s="53">
        <f>E12*3</f>
        <v>6</v>
      </c>
      <c r="J12" s="53">
        <f>F12</f>
        <v>10</v>
      </c>
      <c r="K12" s="53">
        <f>(M12-1)*SUM(G12:J12)</f>
        <v>0</v>
      </c>
      <c r="L12" s="60">
        <f>(6*C12+4*D12+3*E12+1*F12)*M12</f>
        <v>64</v>
      </c>
      <c r="M12" s="152">
        <v>1</v>
      </c>
      <c r="O12" s="51">
        <v>9</v>
      </c>
      <c r="P12" s="52" t="s">
        <v>20</v>
      </c>
      <c r="Q12" s="57">
        <v>0</v>
      </c>
      <c r="R12" s="53">
        <v>0</v>
      </c>
      <c r="S12" s="59">
        <f>SUM('02 Бегларян Гайк'!$S$2:$S$66)*(1+0.2*Q12)</f>
        <v>77</v>
      </c>
      <c r="T12" s="54">
        <v>244</v>
      </c>
      <c r="U12" s="66">
        <f>IFERROR(SUM('02 Бегларян Гайк'!$S$2:$S$66)/SUM('Результаты матчей'!$Q$2:$Q$65),"-")</f>
        <v>1.5098039215686274</v>
      </c>
      <c r="V12" s="63">
        <v>1.28</v>
      </c>
    </row>
    <row r="13" spans="1:22">
      <c r="A13" s="51">
        <v>10</v>
      </c>
      <c r="B13" s="52" t="s">
        <v>245</v>
      </c>
      <c r="C13" s="53">
        <f>COUNTIF('17 Назарян Вадим'!$S$2:$S$66,6)+2*COUNTIF('17 Назарян Вадим'!$S$2:$S$66,12)</f>
        <v>4</v>
      </c>
      <c r="D13" s="58">
        <f>COUNTIF('17 Назарян Вадим'!$S$2:$S$66,4)</f>
        <v>6</v>
      </c>
      <c r="E13" s="53">
        <f>COUNTIF('17 Назарян Вадим'!$S$2:$S$66,3)</f>
        <v>2</v>
      </c>
      <c r="F13" s="53">
        <f>COUNTIF('17 Назарян Вадим'!$S$2:$S$66,1)</f>
        <v>10</v>
      </c>
      <c r="G13" s="53">
        <f>C13*6</f>
        <v>24</v>
      </c>
      <c r="H13" s="53">
        <f>D13*4</f>
        <v>24</v>
      </c>
      <c r="I13" s="53">
        <f>E13*3</f>
        <v>6</v>
      </c>
      <c r="J13" s="53">
        <f>F13</f>
        <v>10</v>
      </c>
      <c r="K13" s="53">
        <f>(M13-1)*SUM(G13:J13)</f>
        <v>0</v>
      </c>
      <c r="L13" s="60">
        <f>(6*C13+4*D13+3*E13+1*F13)*M13</f>
        <v>64</v>
      </c>
      <c r="M13" s="152">
        <v>1</v>
      </c>
      <c r="O13" s="51">
        <v>10</v>
      </c>
      <c r="P13" s="55" t="s">
        <v>18</v>
      </c>
      <c r="Q13" s="57">
        <v>0</v>
      </c>
      <c r="R13" s="58">
        <v>0</v>
      </c>
      <c r="S13" s="59">
        <f>SUM('12 Иванов Евгений'!$S$2:$S$66)*(1+0.2*Q13)</f>
        <v>57</v>
      </c>
      <c r="T13" s="64">
        <v>244</v>
      </c>
      <c r="U13" s="66">
        <f>IFERROR(SUM('12 Иванов Евгений'!$S$2:$S$66)/SUM('Результаты матчей'!$Q$2:$Q$65),"-")</f>
        <v>1.1176470588235294</v>
      </c>
      <c r="V13" s="65">
        <v>1.28</v>
      </c>
    </row>
    <row r="14" spans="1:22">
      <c r="A14" s="51">
        <v>11</v>
      </c>
      <c r="B14" s="52" t="s">
        <v>213</v>
      </c>
      <c r="C14" s="53">
        <f>COUNTIF('04 Кулиев Бегенч'!$S$2:$S$66,6)+2*COUNTIF('04 Кулиев Бегенч'!$S$2:$S$66,12)</f>
        <v>7</v>
      </c>
      <c r="D14" s="58">
        <f>COUNTIF('04 Кулиев Бегенч'!$S$2:$S$66,4)</f>
        <v>2</v>
      </c>
      <c r="E14" s="53">
        <f>COUNTIF('04 Кулиев Бегенч'!$S$2:$S$66,3)</f>
        <v>0</v>
      </c>
      <c r="F14" s="53">
        <f>COUNTIF('04 Кулиев Бегенч'!$S$2:$S$66,1)</f>
        <v>13</v>
      </c>
      <c r="G14" s="53">
        <f>C14*6</f>
        <v>42</v>
      </c>
      <c r="H14" s="53">
        <f>D14*4</f>
        <v>8</v>
      </c>
      <c r="I14" s="53">
        <f>E14*3</f>
        <v>0</v>
      </c>
      <c r="J14" s="53">
        <f>F14</f>
        <v>13</v>
      </c>
      <c r="K14" s="53">
        <f>(M14-1)*SUM(G14:J14)</f>
        <v>0</v>
      </c>
      <c r="L14" s="60">
        <f>(6*C14+4*D14+3*E14+1*F14)*M14</f>
        <v>63</v>
      </c>
      <c r="M14" s="152">
        <v>1</v>
      </c>
      <c r="O14" s="51">
        <v>11</v>
      </c>
      <c r="P14" s="52" t="s">
        <v>120</v>
      </c>
      <c r="Q14" s="57">
        <v>1</v>
      </c>
      <c r="R14" s="58">
        <v>0</v>
      </c>
      <c r="S14" s="59">
        <f>SUM('03 Бегларян Римма'!$S$2:$S$66)*(1+0.2*Q14)</f>
        <v>45.6</v>
      </c>
      <c r="T14" s="64">
        <v>191</v>
      </c>
      <c r="U14" s="66">
        <f>IFERROR(SUM('03 Бегларян Римма'!$S$2:$S$66)/SUM('Результаты матчей'!$Q$2:$Q$65),"-")</f>
        <v>0.74509803921568629</v>
      </c>
      <c r="V14" s="65">
        <v>1.2</v>
      </c>
    </row>
    <row r="15" spans="1:22">
      <c r="A15" s="51">
        <v>12</v>
      </c>
      <c r="B15" s="52" t="s">
        <v>237</v>
      </c>
      <c r="C15" s="53">
        <f>COUNTIF('14 Рижницын Андрей'!$S$2:$S$66,6)+2*COUNTIF('14 Рижницын Андрей'!$S$2:$S$66,12)</f>
        <v>4</v>
      </c>
      <c r="D15" s="58">
        <f>COUNTIF('14 Рижницын Андрей'!$S$2:$S$66,4)</f>
        <v>5</v>
      </c>
      <c r="E15" s="53">
        <f>COUNTIF('14 Рижницын Андрей'!$S$2:$S$66,3)</f>
        <v>2</v>
      </c>
      <c r="F15" s="53">
        <f>COUNTIF('14 Рижницын Андрей'!$S$2:$S$66,1)</f>
        <v>13</v>
      </c>
      <c r="G15" s="53">
        <f>C15*6</f>
        <v>24</v>
      </c>
      <c r="H15" s="53">
        <f>D15*4</f>
        <v>20</v>
      </c>
      <c r="I15" s="53">
        <f>E15*3</f>
        <v>6</v>
      </c>
      <c r="J15" s="53">
        <f>F15</f>
        <v>13</v>
      </c>
      <c r="K15" s="53">
        <f>(M15-1)*SUM(G15:J15)</f>
        <v>0</v>
      </c>
      <c r="L15" s="60">
        <f>(6*C15+4*D15+3*E15+1*F15)*M15</f>
        <v>63</v>
      </c>
      <c r="M15" s="152">
        <v>1</v>
      </c>
      <c r="O15" s="51">
        <v>12</v>
      </c>
      <c r="P15" s="55" t="s">
        <v>234</v>
      </c>
      <c r="Q15" s="57">
        <v>0</v>
      </c>
      <c r="R15" s="58">
        <v>0</v>
      </c>
      <c r="S15" s="59">
        <f>SUM('13 Гусаков Сергей'!$S$2:$S$66)*(1+0.2*Q15)</f>
        <v>88</v>
      </c>
      <c r="T15" s="64">
        <v>223</v>
      </c>
      <c r="U15" s="66">
        <f>IFERROR(SUM('13 Гусаков Сергей'!$S$2:$S$66)/SUM('Результаты матчей'!$Q$2:$Q$65),"-")</f>
        <v>1.7254901960784315</v>
      </c>
      <c r="V15" s="65">
        <v>1.17</v>
      </c>
    </row>
    <row r="16" spans="1:22">
      <c r="A16" s="51">
        <v>13</v>
      </c>
      <c r="B16" s="52" t="s">
        <v>121</v>
      </c>
      <c r="C16" s="53">
        <f>COUNTIF('10 Бегларян Аркадий'!$S$2:$S$66,6)+2*COUNTIF('10 Бегларян Аркадий'!$S$2:$S$66,12)</f>
        <v>7</v>
      </c>
      <c r="D16" s="58">
        <f>COUNTIF('10 Бегларян Аркадий'!$S$2:$S$66,4)</f>
        <v>1</v>
      </c>
      <c r="E16" s="53">
        <f>COUNTIF('10 Бегларян Аркадий'!$S$2:$S$66,3)</f>
        <v>1</v>
      </c>
      <c r="F16" s="53">
        <f>COUNTIF('10 Бегларян Аркадий'!$S$2:$S$66,1)</f>
        <v>10</v>
      </c>
      <c r="G16" s="53">
        <f>C16*6</f>
        <v>42</v>
      </c>
      <c r="H16" s="53">
        <f>D16*4</f>
        <v>4</v>
      </c>
      <c r="I16" s="53">
        <f>E16*3</f>
        <v>3</v>
      </c>
      <c r="J16" s="53">
        <f>F16</f>
        <v>10</v>
      </c>
      <c r="K16" s="53">
        <f>(M16-1)*SUM(G16:J16)</f>
        <v>0</v>
      </c>
      <c r="L16" s="60">
        <f>(6*C16+4*D16+3*E16+1*F16)*M16</f>
        <v>59</v>
      </c>
      <c r="M16" s="152">
        <v>1</v>
      </c>
      <c r="O16" s="51">
        <v>13</v>
      </c>
      <c r="P16" s="52" t="s">
        <v>124</v>
      </c>
      <c r="Q16" s="57">
        <v>0</v>
      </c>
      <c r="R16" s="58">
        <v>0</v>
      </c>
      <c r="S16" s="59">
        <f>SUM('08 Щербич Николай'!$S$2:$S$66)*(1+0.2*Q16)</f>
        <v>77</v>
      </c>
      <c r="T16" s="64">
        <v>219</v>
      </c>
      <c r="U16" s="66">
        <f>IFERROR(SUM('08 Щербич Николай'!$S$2:$S$66)/SUM('Результаты матчей'!$Q$2:$Q$65),"-")</f>
        <v>1.5098039215686274</v>
      </c>
      <c r="V16" s="65">
        <v>1.1499999999999999</v>
      </c>
    </row>
    <row r="17" spans="1:22">
      <c r="A17" s="51">
        <v>14</v>
      </c>
      <c r="B17" s="52" t="s">
        <v>246</v>
      </c>
      <c r="C17" s="53">
        <f>COUNTIF('18 Арутюнян Артем'!$S$2:$S$66,6)+2*COUNTIF('18 Арутюнян Артем'!$S$2:$S$66,12)</f>
        <v>5</v>
      </c>
      <c r="D17" s="58">
        <f>COUNTIF('18 Арутюнян Артем'!$S$2:$S$66,4)</f>
        <v>3</v>
      </c>
      <c r="E17" s="53">
        <f>COUNTIF('18 Арутюнян Артем'!$S$2:$S$66,3)</f>
        <v>1</v>
      </c>
      <c r="F17" s="53">
        <f>COUNTIF('18 Арутюнян Артем'!$S$2:$S$66,1)</f>
        <v>14</v>
      </c>
      <c r="G17" s="53">
        <f>C17*6</f>
        <v>30</v>
      </c>
      <c r="H17" s="53">
        <f>D17*4</f>
        <v>12</v>
      </c>
      <c r="I17" s="53">
        <f>E17*3</f>
        <v>3</v>
      </c>
      <c r="J17" s="53">
        <f>F17</f>
        <v>14</v>
      </c>
      <c r="K17" s="53">
        <f>(M17-1)*SUM(G17:J17)</f>
        <v>0</v>
      </c>
      <c r="L17" s="60">
        <f>(6*C17+4*D17+3*E17+1*F17)*M17</f>
        <v>59</v>
      </c>
      <c r="M17" s="152">
        <v>1</v>
      </c>
      <c r="O17" s="51">
        <v>14</v>
      </c>
      <c r="P17" s="52" t="s">
        <v>247</v>
      </c>
      <c r="Q17" s="57">
        <v>0</v>
      </c>
      <c r="R17" s="58">
        <v>1</v>
      </c>
      <c r="S17" s="59">
        <f>SUM('19 Щербич Никита'!$S$2:$S$66)*(1+0.2*Q17)</f>
        <v>72</v>
      </c>
      <c r="T17" s="64">
        <v>229</v>
      </c>
      <c r="U17" s="66">
        <f>IFERROR(SUM('19 Щербич Никита'!$S$2:$S$66)/SUM('Результаты матчей'!$Q$2:$Q$65),"-")</f>
        <v>1.411764705882353</v>
      </c>
      <c r="V17" s="65">
        <v>1.1399999999999999</v>
      </c>
    </row>
    <row r="18" spans="1:22">
      <c r="A18" s="51">
        <v>15</v>
      </c>
      <c r="B18" s="55" t="s">
        <v>18</v>
      </c>
      <c r="C18" s="53">
        <f>COUNTIF('12 Иванов Евгений'!$S$2:$S$66,6)+2*COUNTIF('12 Иванов Евгений'!$S$2:$S$66,12)</f>
        <v>6</v>
      </c>
      <c r="D18" s="58">
        <f>COUNTIF('12 Иванов Евгений'!$S$2:$S$66,4)</f>
        <v>3</v>
      </c>
      <c r="E18" s="53">
        <f>COUNTIF('12 Иванов Евгений'!$S$2:$S$66,3)</f>
        <v>0</v>
      </c>
      <c r="F18" s="53">
        <f>COUNTIF('12 Иванов Евгений'!$S$2:$S$66,1)</f>
        <v>9</v>
      </c>
      <c r="G18" s="53">
        <f>C18*6</f>
        <v>36</v>
      </c>
      <c r="H18" s="53">
        <f>D18*4</f>
        <v>12</v>
      </c>
      <c r="I18" s="53">
        <f>E18*3</f>
        <v>0</v>
      </c>
      <c r="J18" s="53">
        <f>F18</f>
        <v>9</v>
      </c>
      <c r="K18" s="53">
        <f>(M18-1)*SUM(G18:J18)</f>
        <v>0</v>
      </c>
      <c r="L18" s="60">
        <f>(6*C18+4*D18+3*E18+1*F18)*M18</f>
        <v>57</v>
      </c>
      <c r="M18" s="152">
        <v>1</v>
      </c>
      <c r="O18" s="51">
        <v>15</v>
      </c>
      <c r="P18" s="52" t="s">
        <v>128</v>
      </c>
      <c r="Q18" s="57">
        <v>0</v>
      </c>
      <c r="R18" s="58">
        <v>0</v>
      </c>
      <c r="S18" s="59">
        <f>SUM('09 Жук Роман'!$S$2:$S$66)*(1+0.2*Q18)</f>
        <v>79</v>
      </c>
      <c r="T18" s="64">
        <v>72</v>
      </c>
      <c r="U18" s="66">
        <f>IFERROR(SUM('09 Жук Роман'!$S$2:$S$66)/SUM('Результаты матчей'!$Q$2:$Q$65),"-")</f>
        <v>1.5490196078431373</v>
      </c>
      <c r="V18" s="65">
        <v>1.1299999999999999</v>
      </c>
    </row>
    <row r="19" spans="1:22">
      <c r="A19" s="51">
        <v>16</v>
      </c>
      <c r="B19" s="52" t="s">
        <v>214</v>
      </c>
      <c r="C19" s="53">
        <f>COUNTIF('05 Бикулов Камал'!$S$2:$S$66,6)+2*COUNTIF('05 Бикулов Камал'!$S$2:$S$66,12)</f>
        <v>6</v>
      </c>
      <c r="D19" s="58">
        <f>COUNTIF('05 Бикулов Камал'!$S$2:$S$66,4)</f>
        <v>1</v>
      </c>
      <c r="E19" s="53">
        <f>COUNTIF('05 Бикулов Камал'!$S$2:$S$66,3)</f>
        <v>1</v>
      </c>
      <c r="F19" s="53">
        <f>COUNTIF('05 Бикулов Камал'!$S$2:$S$66,1)</f>
        <v>7</v>
      </c>
      <c r="G19" s="53">
        <f>C19*6</f>
        <v>36</v>
      </c>
      <c r="H19" s="53">
        <f>D19*4</f>
        <v>4</v>
      </c>
      <c r="I19" s="53">
        <f>E19*3</f>
        <v>3</v>
      </c>
      <c r="J19" s="53">
        <f>F19</f>
        <v>7</v>
      </c>
      <c r="K19" s="53">
        <f>(M19-1)*SUM(G19:J19)</f>
        <v>0</v>
      </c>
      <c r="L19" s="60">
        <f>(6*C19+4*D19+3*E19+1*F19)*M19</f>
        <v>50</v>
      </c>
      <c r="M19" s="152">
        <v>1</v>
      </c>
      <c r="O19" s="51">
        <v>16</v>
      </c>
      <c r="P19" s="52" t="s">
        <v>213</v>
      </c>
      <c r="Q19" s="57">
        <v>0</v>
      </c>
      <c r="R19" s="58" t="s">
        <v>13</v>
      </c>
      <c r="S19" s="59">
        <f>SUM('04 Кулиев Бегенч'!$S$2:$S$66)*(1+0.2*Q19)</f>
        <v>63</v>
      </c>
      <c r="T19" s="64" t="s">
        <v>13</v>
      </c>
      <c r="U19" s="66">
        <f>IFERROR(SUM('04 Кулиев Бегенч'!$S$2:$S$66)/SUM('Результаты матчей'!$Q$2:$Q$65),"-")</f>
        <v>1.2352941176470589</v>
      </c>
      <c r="V19" s="65" t="s">
        <v>13</v>
      </c>
    </row>
    <row r="20" spans="1:22">
      <c r="A20" s="51">
        <v>17</v>
      </c>
      <c r="B20" s="52" t="s">
        <v>122</v>
      </c>
      <c r="C20" s="53">
        <f>COUNTIF('07 Аванесова Изабелла'!$S$2:$S$66,6)+2*COUNTIF('07 Аванесова Изабелла'!$S$2:$S$66,12)</f>
        <v>3</v>
      </c>
      <c r="D20" s="58">
        <f>COUNTIF('07 Аванесова Изабелла'!$S$2:$S$66,4)</f>
        <v>4</v>
      </c>
      <c r="E20" s="53">
        <f>COUNTIF('07 Аванесова Изабелла'!$S$2:$S$66,3)</f>
        <v>1</v>
      </c>
      <c r="F20" s="53">
        <f>COUNTIF('07 Аванесова Изабелла'!$S$2:$S$66,1)</f>
        <v>11</v>
      </c>
      <c r="G20" s="53">
        <f>C20*6</f>
        <v>18</v>
      </c>
      <c r="H20" s="53">
        <f>D20*4</f>
        <v>16</v>
      </c>
      <c r="I20" s="53">
        <f>E20*3</f>
        <v>3</v>
      </c>
      <c r="J20" s="53">
        <f>F20</f>
        <v>11</v>
      </c>
      <c r="K20" s="53">
        <f>(M20-1)*SUM(G20:J20)</f>
        <v>0</v>
      </c>
      <c r="L20" s="60">
        <f>(6*C20+4*D20+3*E20+1*F20)*M20</f>
        <v>48</v>
      </c>
      <c r="M20" s="152">
        <v>1</v>
      </c>
      <c r="O20" s="51">
        <v>17</v>
      </c>
      <c r="P20" s="52" t="s">
        <v>244</v>
      </c>
      <c r="Q20" s="57">
        <v>0</v>
      </c>
      <c r="R20" s="58" t="s">
        <v>13</v>
      </c>
      <c r="S20" s="59">
        <f>SUM('16 Назарян Виталий'!$S$2:$S$66)*(1+0.2*Q20)</f>
        <v>77</v>
      </c>
      <c r="T20" s="64" t="s">
        <v>13</v>
      </c>
      <c r="U20" s="66">
        <f>IFERROR(SUM('16 Назарян Виталий'!$S$2:$S$66)/SUM('Результаты матчей'!$Q$2:$Q$65),"-")</f>
        <v>1.5098039215686274</v>
      </c>
      <c r="V20" s="65" t="s">
        <v>13</v>
      </c>
    </row>
    <row r="21" spans="1:22">
      <c r="A21" s="51">
        <v>18</v>
      </c>
      <c r="B21" s="52" t="s">
        <v>120</v>
      </c>
      <c r="C21" s="53">
        <f>COUNTIF('03 Бегларян Римма'!$S$2:$S$66,6)+2*COUNTIF('03 Бегларян Римма'!$S$2:$S$66,12)</f>
        <v>2</v>
      </c>
      <c r="D21" s="58">
        <f>COUNTIF('03 Бегларян Римма'!$S$2:$S$66,4)</f>
        <v>3</v>
      </c>
      <c r="E21" s="53">
        <f>COUNTIF('03 Бегларян Римма'!$S$2:$S$66,3)</f>
        <v>2</v>
      </c>
      <c r="F21" s="53">
        <f>COUNTIF('03 Бегларян Римма'!$S$2:$S$66,1)</f>
        <v>8</v>
      </c>
      <c r="G21" s="53">
        <f>C21*6</f>
        <v>12</v>
      </c>
      <c r="H21" s="53">
        <f>D21*4</f>
        <v>12</v>
      </c>
      <c r="I21" s="53">
        <f>E21*3</f>
        <v>6</v>
      </c>
      <c r="J21" s="53">
        <f>F21</f>
        <v>8</v>
      </c>
      <c r="K21" s="53">
        <f>(M21-1)*SUM(G21:J21)</f>
        <v>7.5999999999999979</v>
      </c>
      <c r="L21" s="60">
        <f>(6*C21+4*D21+3*E21+1*F21)*M21</f>
        <v>45.6</v>
      </c>
      <c r="M21" s="152">
        <v>1.2</v>
      </c>
      <c r="O21" s="51">
        <v>18</v>
      </c>
      <c r="P21" s="52" t="s">
        <v>245</v>
      </c>
      <c r="Q21" s="57">
        <v>0</v>
      </c>
      <c r="R21" s="58" t="s">
        <v>13</v>
      </c>
      <c r="S21" s="59">
        <f>SUM('17 Назарян Вадим'!$S$2:$S$66)*(1+0.2*Q21)</f>
        <v>64</v>
      </c>
      <c r="T21" s="64" t="s">
        <v>13</v>
      </c>
      <c r="U21" s="66">
        <f>IFERROR(SUM('17 Назарян Вадим'!$S$2:$S$66)/SUM('Результаты матчей'!$Q$2:$Q$65),"-")</f>
        <v>1.2549019607843137</v>
      </c>
      <c r="V21" s="65" t="s">
        <v>13</v>
      </c>
    </row>
    <row r="22" spans="1:22">
      <c r="A22" s="51">
        <v>19</v>
      </c>
      <c r="B22" s="52" t="s">
        <v>241</v>
      </c>
      <c r="C22" s="53">
        <f>COUNTIF('15 Тарасевич Максим'!$S$2:$S$66,6)+2*COUNTIF('15 Тарасевич Максим'!$S$2:$S$66,12)</f>
        <v>2</v>
      </c>
      <c r="D22" s="58">
        <f>COUNTIF('15 Тарасевич Максим'!$S$2:$S$66,4)</f>
        <v>2</v>
      </c>
      <c r="E22" s="53">
        <f>COUNTIF('15 Тарасевич Максим'!$S$2:$S$66,3)</f>
        <v>0</v>
      </c>
      <c r="F22" s="53">
        <f>COUNTIF('15 Тарасевич Максим'!$S$2:$S$66,1)</f>
        <v>19</v>
      </c>
      <c r="G22" s="53">
        <f>C22*6</f>
        <v>12</v>
      </c>
      <c r="H22" s="53">
        <f>D22*4</f>
        <v>8</v>
      </c>
      <c r="I22" s="53">
        <f>E22*3</f>
        <v>0</v>
      </c>
      <c r="J22" s="53">
        <f>F22</f>
        <v>19</v>
      </c>
      <c r="K22" s="53">
        <f>(M22-1)*SUM(G22:J22)</f>
        <v>0</v>
      </c>
      <c r="L22" s="60">
        <f>(6*C22+4*D22+3*E22+1*F22)*M22</f>
        <v>39</v>
      </c>
      <c r="M22" s="152">
        <v>1</v>
      </c>
      <c r="O22" s="51">
        <v>19</v>
      </c>
      <c r="P22" s="52" t="s">
        <v>246</v>
      </c>
      <c r="Q22" s="57">
        <v>0</v>
      </c>
      <c r="R22" s="58" t="s">
        <v>13</v>
      </c>
      <c r="S22" s="59">
        <f>SUM('18 Арутюнян Артем'!$S$2:$S$66)*(1+0.2*Q22)</f>
        <v>59</v>
      </c>
      <c r="T22" s="64" t="s">
        <v>13</v>
      </c>
      <c r="U22" s="66">
        <f>IFERROR(SUM('18 Арутюнян Артем'!$S$2:$S$66)/SUM('Результаты матчей'!$Q$2:$Q$65),"-")</f>
        <v>1.1568627450980393</v>
      </c>
      <c r="V22" s="65" t="s">
        <v>13</v>
      </c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10"/>
      <c r="M23" s="8"/>
    </row>
    <row r="24" spans="1:22" ht="18">
      <c r="A24" s="40" t="s">
        <v>132</v>
      </c>
      <c r="B24" s="40"/>
      <c r="C24" s="41"/>
      <c r="D24" s="41"/>
      <c r="E24" s="42"/>
      <c r="F24" s="41"/>
      <c r="G24" s="41"/>
      <c r="H24" s="41"/>
      <c r="I24" s="41"/>
      <c r="J24" s="41"/>
      <c r="K24" s="41"/>
      <c r="L24" s="41"/>
      <c r="M24" s="43" t="s">
        <v>14</v>
      </c>
    </row>
    <row r="25" spans="1:2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22">
      <c r="A26" s="44"/>
      <c r="B26" s="45" t="s">
        <v>15</v>
      </c>
      <c r="C26" s="46">
        <v>6</v>
      </c>
      <c r="D26" s="46">
        <v>4</v>
      </c>
      <c r="E26" s="46">
        <v>3</v>
      </c>
      <c r="F26" s="46">
        <v>1</v>
      </c>
      <c r="G26" s="46"/>
      <c r="H26" s="46"/>
      <c r="I26" s="46"/>
      <c r="J26" s="46"/>
      <c r="K26" s="46"/>
      <c r="L26" s="46" t="s">
        <v>16</v>
      </c>
      <c r="M26" s="46" t="s">
        <v>27</v>
      </c>
    </row>
    <row r="27" spans="1:22">
      <c r="A27" s="47">
        <v>1</v>
      </c>
      <c r="B27" s="48" t="s">
        <v>234</v>
      </c>
      <c r="C27" s="49">
        <f>COUNTIF('13 Гусаков Сергей'!$S$2:$S$37,6)+2*COUNTIF('13 Гусаков Сергей'!$S$2:$S$37,12)</f>
        <v>6</v>
      </c>
      <c r="D27" s="49">
        <f>COUNTIF('13 Гусаков Сергей'!$S$2:$S$37,4)</f>
        <v>2</v>
      </c>
      <c r="E27" s="49">
        <f>COUNTIF('13 Гусаков Сергей'!$S$2:$S$37,3)</f>
        <v>4</v>
      </c>
      <c r="F27" s="49">
        <f>COUNTIF('13 Гусаков Сергей'!$S$2:$S$37,1)</f>
        <v>7</v>
      </c>
      <c r="G27" s="49"/>
      <c r="H27" s="49"/>
      <c r="I27" s="49"/>
      <c r="J27" s="49"/>
      <c r="K27" s="49"/>
      <c r="L27" s="56">
        <f t="shared" ref="L27:L45" si="0">6*C27+4*D27+3*E27+1*F27</f>
        <v>63</v>
      </c>
      <c r="M27" s="50" t="s">
        <v>13</v>
      </c>
    </row>
    <row r="28" spans="1:22">
      <c r="A28" s="51">
        <v>2</v>
      </c>
      <c r="B28" s="52" t="s">
        <v>128</v>
      </c>
      <c r="C28" s="53">
        <f>COUNTIF('09 Жук Роман'!$S$2:$S$37,6)+2*COUNTIF('09 Жук Роман'!$S$2:$S$37,12)</f>
        <v>5</v>
      </c>
      <c r="D28" s="53">
        <f>COUNTIF('09 Жук Роман'!$S$2:$S$37,4)</f>
        <v>4</v>
      </c>
      <c r="E28" s="53">
        <f>COUNTIF('09 Жук Роман'!$S$2:$S$37,3)</f>
        <v>2</v>
      </c>
      <c r="F28" s="53">
        <f>COUNTIF('09 Жук Роман'!$S$2:$S$37,1)</f>
        <v>9</v>
      </c>
      <c r="G28" s="53"/>
      <c r="H28" s="53"/>
      <c r="I28" s="53"/>
      <c r="J28" s="53"/>
      <c r="K28" s="53"/>
      <c r="L28" s="57">
        <f t="shared" si="0"/>
        <v>61</v>
      </c>
      <c r="M28" s="54" t="s">
        <v>13</v>
      </c>
    </row>
    <row r="29" spans="1:22">
      <c r="A29" s="51">
        <v>3</v>
      </c>
      <c r="B29" s="52" t="s">
        <v>247</v>
      </c>
      <c r="C29" s="53">
        <f>COUNTIF('19 Щербич Никита'!$S$2:$S$37,6)+2*COUNTIF('19 Щербич Никита'!$S$2:$S$37,12)</f>
        <v>7</v>
      </c>
      <c r="D29" s="53">
        <f>COUNTIF('19 Щербич Никита'!$S$2:$S$37,4)</f>
        <v>3</v>
      </c>
      <c r="E29" s="53">
        <f>COUNTIF('19 Щербич Никита'!$S$2:$S$37,3)</f>
        <v>0</v>
      </c>
      <c r="F29" s="53">
        <f>COUNTIF('19 Щербич Никита'!$S$2:$S$37,1)</f>
        <v>6</v>
      </c>
      <c r="G29" s="53"/>
      <c r="H29" s="53"/>
      <c r="I29" s="53"/>
      <c r="J29" s="53"/>
      <c r="K29" s="53"/>
      <c r="L29" s="57">
        <f t="shared" si="0"/>
        <v>60</v>
      </c>
      <c r="M29" s="54" t="s">
        <v>13</v>
      </c>
    </row>
    <row r="30" spans="1:22">
      <c r="A30" s="51">
        <v>4</v>
      </c>
      <c r="B30" s="52" t="s">
        <v>244</v>
      </c>
      <c r="C30" s="53">
        <f>COUNTIF('16 Назарян Виталий'!$S$2:$S$37,6)+2*COUNTIF('16 Назарян Виталий'!$S$2:$S$37,12)</f>
        <v>6</v>
      </c>
      <c r="D30" s="53">
        <f>COUNTIF('16 Назарян Виталий'!$S$2:$S$37,4)</f>
        <v>3</v>
      </c>
      <c r="E30" s="53">
        <f>COUNTIF('16 Назарян Виталий'!$S$2:$S$37,3)</f>
        <v>2</v>
      </c>
      <c r="F30" s="53">
        <f>COUNTIF('16 Назарян Виталий'!$S$2:$S$37,1)</f>
        <v>5</v>
      </c>
      <c r="G30" s="53"/>
      <c r="H30" s="53"/>
      <c r="I30" s="53"/>
      <c r="J30" s="53"/>
      <c r="K30" s="53"/>
      <c r="L30" s="57">
        <f t="shared" si="0"/>
        <v>59</v>
      </c>
      <c r="M30" s="54" t="s">
        <v>13</v>
      </c>
    </row>
    <row r="31" spans="1:22">
      <c r="A31" s="51">
        <v>5</v>
      </c>
      <c r="B31" s="52" t="s">
        <v>228</v>
      </c>
      <c r="C31" s="53">
        <f>COUNTIF('11 Демчихин Александр'!$S$2:$S$37,6)+2*COUNTIF('11 Демчихин Александр'!$S$2:$S$37,12)</f>
        <v>4</v>
      </c>
      <c r="D31" s="53">
        <f>COUNTIF('11 Демчихин Александр'!$S$2:$S$37,4)</f>
        <v>4</v>
      </c>
      <c r="E31" s="53">
        <f>COUNTIF('11 Демчихин Александр'!$S$2:$S$37,3)</f>
        <v>3</v>
      </c>
      <c r="F31" s="53">
        <f>COUNTIF('11 Демчихин Александр'!$S$2:$S$37,1)</f>
        <v>9</v>
      </c>
      <c r="G31" s="53"/>
      <c r="H31" s="53"/>
      <c r="I31" s="53"/>
      <c r="J31" s="53"/>
      <c r="K31" s="53"/>
      <c r="L31" s="57">
        <f t="shared" si="0"/>
        <v>58</v>
      </c>
      <c r="M31" s="54" t="s">
        <v>13</v>
      </c>
    </row>
    <row r="32" spans="1:22">
      <c r="A32" s="51">
        <v>6</v>
      </c>
      <c r="B32" s="52" t="s">
        <v>20</v>
      </c>
      <c r="C32" s="53">
        <f>COUNTIF('02 Бегларян Гайк'!$S$2:$S$37,6)+2*COUNTIF('02 Бегларян Гайк'!$S$2:$S$37,12)</f>
        <v>5</v>
      </c>
      <c r="D32" s="53">
        <f>COUNTIF('02 Бегларян Гайк'!$S$2:$S$37,4)</f>
        <v>4</v>
      </c>
      <c r="E32" s="53">
        <f>COUNTIF('02 Бегларян Гайк'!$S$2:$S$37,3)</f>
        <v>1</v>
      </c>
      <c r="F32" s="53">
        <f>COUNTIF('02 Бегларян Гайк'!$S$2:$S$37,1)</f>
        <v>7</v>
      </c>
      <c r="G32" s="53"/>
      <c r="H32" s="53"/>
      <c r="I32" s="53"/>
      <c r="J32" s="53"/>
      <c r="K32" s="53"/>
      <c r="L32" s="57">
        <f t="shared" si="0"/>
        <v>56</v>
      </c>
      <c r="M32" s="54" t="s">
        <v>13</v>
      </c>
    </row>
    <row r="33" spans="1:13">
      <c r="A33" s="51">
        <v>7</v>
      </c>
      <c r="B33" s="55" t="s">
        <v>123</v>
      </c>
      <c r="C33" s="53">
        <f>COUNTIF('01 Акиловский Руслан'!$S$2:$S$37,6)+2*COUNTIF('01 Акиловский Руслан'!$S$2:$S$37,12)</f>
        <v>3</v>
      </c>
      <c r="D33" s="53">
        <f>COUNTIF('01 Акиловский Руслан'!$S$2:$S$37,4)</f>
        <v>5</v>
      </c>
      <c r="E33" s="53">
        <f>COUNTIF('01 Акиловский Руслан'!$S$2:$S$37,3)</f>
        <v>2</v>
      </c>
      <c r="F33" s="53">
        <f>COUNTIF('01 Акиловский Руслан'!$S$2:$S$37,1)</f>
        <v>8</v>
      </c>
      <c r="G33" s="53"/>
      <c r="H33" s="53"/>
      <c r="I33" s="53"/>
      <c r="J33" s="53"/>
      <c r="K33" s="53"/>
      <c r="L33" s="57">
        <f t="shared" si="0"/>
        <v>52</v>
      </c>
      <c r="M33" s="54" t="s">
        <v>13</v>
      </c>
    </row>
    <row r="34" spans="1:13">
      <c r="A34" s="51">
        <v>8</v>
      </c>
      <c r="B34" s="52" t="s">
        <v>124</v>
      </c>
      <c r="C34" s="53">
        <f>COUNTIF('08 Щербич Николай'!$S$2:$S$37,6)+2*COUNTIF('08 Щербич Николай'!$S$2:$S$37,12)</f>
        <v>3</v>
      </c>
      <c r="D34" s="53">
        <f>COUNTIF('08 Щербич Николай'!$S$2:$S$37,4)</f>
        <v>3</v>
      </c>
      <c r="E34" s="53">
        <f>COUNTIF('08 Щербич Николай'!$S$2:$S$37,3)</f>
        <v>4</v>
      </c>
      <c r="F34" s="53">
        <f>COUNTIF('08 Щербич Николай'!$S$2:$S$37,1)</f>
        <v>10</v>
      </c>
      <c r="G34" s="53"/>
      <c r="H34" s="53"/>
      <c r="I34" s="53"/>
      <c r="J34" s="53"/>
      <c r="K34" s="53"/>
      <c r="L34" s="57">
        <f t="shared" si="0"/>
        <v>52</v>
      </c>
      <c r="M34" s="54" t="s">
        <v>13</v>
      </c>
    </row>
    <row r="35" spans="1:13">
      <c r="A35" s="51">
        <v>9</v>
      </c>
      <c r="B35" s="55" t="s">
        <v>17</v>
      </c>
      <c r="C35" s="53">
        <f>COUNTIF('06 Иванов Андрей'!$S$2:$S$37,6)+2*COUNTIF('06 Иванов Андрей'!$S$2:$S$37,12)</f>
        <v>3</v>
      </c>
      <c r="D35" s="53">
        <f>COUNTIF('06 Иванов Андрей'!$S$2:$S$37,4)</f>
        <v>5</v>
      </c>
      <c r="E35" s="53">
        <f>COUNTIF('06 Иванов Андрей'!$S$2:$S$37,3)</f>
        <v>2</v>
      </c>
      <c r="F35" s="53">
        <f>COUNTIF('06 Иванов Андрей'!$S$2:$S$37,1)</f>
        <v>6</v>
      </c>
      <c r="G35" s="53"/>
      <c r="H35" s="53"/>
      <c r="I35" s="53"/>
      <c r="J35" s="53"/>
      <c r="K35" s="53"/>
      <c r="L35" s="57">
        <f t="shared" si="0"/>
        <v>50</v>
      </c>
      <c r="M35" s="54" t="s">
        <v>13</v>
      </c>
    </row>
    <row r="36" spans="1:13">
      <c r="A36" s="51">
        <v>10</v>
      </c>
      <c r="B36" s="52" t="s">
        <v>246</v>
      </c>
      <c r="C36" s="53">
        <f>COUNTIF('18 Арутюнян Артем'!$S$2:$S$37,6)+2*COUNTIF('18 Арутюнян Артем'!$S$2:$S$37,12)</f>
        <v>5</v>
      </c>
      <c r="D36" s="53">
        <f>COUNTIF('18 Арутюнян Артем'!$S$2:$S$37,4)</f>
        <v>2</v>
      </c>
      <c r="E36" s="53">
        <f>COUNTIF('18 Арутюнян Артем'!$S$2:$S$37,3)</f>
        <v>1</v>
      </c>
      <c r="F36" s="53">
        <f>COUNTIF('18 Арутюнян Артем'!$S$2:$S$37,1)</f>
        <v>8</v>
      </c>
      <c r="G36" s="53"/>
      <c r="H36" s="53"/>
      <c r="I36" s="53"/>
      <c r="J36" s="53"/>
      <c r="K36" s="53"/>
      <c r="L36" s="57">
        <f t="shared" si="0"/>
        <v>49</v>
      </c>
      <c r="M36" s="54" t="s">
        <v>13</v>
      </c>
    </row>
    <row r="37" spans="1:13">
      <c r="A37" s="51">
        <v>11</v>
      </c>
      <c r="B37" s="52" t="s">
        <v>245</v>
      </c>
      <c r="C37" s="53">
        <f>COUNTIF('17 Назарян Вадим'!$S$2:$S$37,6)+2*COUNTIF('17 Назарян Вадим'!$S$2:$S$37,12)</f>
        <v>2</v>
      </c>
      <c r="D37" s="53">
        <f>COUNTIF('17 Назарян Вадим'!$S$2:$S$37,4)</f>
        <v>6</v>
      </c>
      <c r="E37" s="53">
        <f>COUNTIF('17 Назарян Вадим'!$S$2:$S$37,3)</f>
        <v>2</v>
      </c>
      <c r="F37" s="53">
        <f>COUNTIF('17 Назарян Вадим'!$S$2:$S$37,1)</f>
        <v>6</v>
      </c>
      <c r="G37" s="53"/>
      <c r="H37" s="53"/>
      <c r="I37" s="53"/>
      <c r="J37" s="53"/>
      <c r="K37" s="53"/>
      <c r="L37" s="57">
        <f t="shared" si="0"/>
        <v>48</v>
      </c>
      <c r="M37" s="54" t="s">
        <v>13</v>
      </c>
    </row>
    <row r="38" spans="1:13">
      <c r="A38" s="51">
        <v>12</v>
      </c>
      <c r="B38" s="52" t="s">
        <v>237</v>
      </c>
      <c r="C38" s="53">
        <f>COUNTIF('14 Рижницын Андрей'!$S$2:$S$37,6)+2*COUNTIF('14 Рижницын Андрей'!$S$2:$S$37,12)</f>
        <v>3</v>
      </c>
      <c r="D38" s="53">
        <f>COUNTIF('14 Рижницын Андрей'!$S$2:$S$37,4)</f>
        <v>4</v>
      </c>
      <c r="E38" s="53">
        <f>COUNTIF('14 Рижницын Андрей'!$S$2:$S$37,3)</f>
        <v>2</v>
      </c>
      <c r="F38" s="53">
        <f>COUNTIF('14 Рижницын Андрей'!$S$2:$S$37,1)</f>
        <v>7</v>
      </c>
      <c r="G38" s="53"/>
      <c r="H38" s="53"/>
      <c r="I38" s="53"/>
      <c r="J38" s="53"/>
      <c r="K38" s="53"/>
      <c r="L38" s="57">
        <f t="shared" si="0"/>
        <v>47</v>
      </c>
      <c r="M38" s="54" t="s">
        <v>13</v>
      </c>
    </row>
    <row r="39" spans="1:13">
      <c r="A39" s="51">
        <v>13</v>
      </c>
      <c r="B39" s="52" t="s">
        <v>214</v>
      </c>
      <c r="C39" s="53">
        <f>COUNTIF('05 Бикулов Камал'!$S$2:$S$37,6)+2*COUNTIF('05 Бикулов Камал'!$S$2:$S$37,12)</f>
        <v>6</v>
      </c>
      <c r="D39" s="53">
        <f>COUNTIF('05 Бикулов Камал'!$S$2:$S$37,4)</f>
        <v>1</v>
      </c>
      <c r="E39" s="53">
        <f>COUNTIF('05 Бикулов Камал'!$S$2:$S$37,3)</f>
        <v>0</v>
      </c>
      <c r="F39" s="53">
        <f>COUNTIF('05 Бикулов Камал'!$S$2:$S$37,1)</f>
        <v>6</v>
      </c>
      <c r="G39" s="53"/>
      <c r="H39" s="53"/>
      <c r="I39" s="53"/>
      <c r="J39" s="53"/>
      <c r="K39" s="53"/>
      <c r="L39" s="57">
        <f t="shared" si="0"/>
        <v>46</v>
      </c>
      <c r="M39" s="54" t="s">
        <v>13</v>
      </c>
    </row>
    <row r="40" spans="1:13">
      <c r="A40" s="51">
        <v>14</v>
      </c>
      <c r="B40" s="52" t="s">
        <v>213</v>
      </c>
      <c r="C40" s="53">
        <f>COUNTIF('04 Кулиев Бегенч'!$S$2:$S$37,6)+2*COUNTIF('04 Кулиев Бегенч'!$S$2:$S$37,12)</f>
        <v>5</v>
      </c>
      <c r="D40" s="53">
        <f>COUNTIF('04 Кулиев Бегенч'!$S$2:$S$37,4)</f>
        <v>2</v>
      </c>
      <c r="E40" s="53">
        <f>COUNTIF('04 Кулиев Бегенч'!$S$2:$S$37,3)</f>
        <v>0</v>
      </c>
      <c r="F40" s="53">
        <f>COUNTIF('04 Кулиев Бегенч'!$S$2:$S$37,1)</f>
        <v>6</v>
      </c>
      <c r="G40" s="53"/>
      <c r="H40" s="53"/>
      <c r="I40" s="53"/>
      <c r="J40" s="53"/>
      <c r="K40" s="53"/>
      <c r="L40" s="57">
        <f t="shared" si="0"/>
        <v>44</v>
      </c>
      <c r="M40" s="54" t="s">
        <v>13</v>
      </c>
    </row>
    <row r="41" spans="1:13">
      <c r="A41" s="51">
        <v>15</v>
      </c>
      <c r="B41" s="52" t="s">
        <v>121</v>
      </c>
      <c r="C41" s="53">
        <f>COUNTIF('10 Бегларян Аркадий'!$S$2:$S$37,6)+2*COUNTIF('10 Бегларян Аркадий'!$S$2:$S$37,12)</f>
        <v>5</v>
      </c>
      <c r="D41" s="53">
        <f>COUNTIF('10 Бегларян Аркадий'!$S$2:$S$37,4)</f>
        <v>1</v>
      </c>
      <c r="E41" s="53">
        <f>COUNTIF('10 Бегларян Аркадий'!$S$2:$S$37,3)</f>
        <v>1</v>
      </c>
      <c r="F41" s="53">
        <f>COUNTIF('10 Бегларян Аркадий'!$S$2:$S$37,1)</f>
        <v>5</v>
      </c>
      <c r="G41" s="53"/>
      <c r="H41" s="53"/>
      <c r="I41" s="53"/>
      <c r="J41" s="53"/>
      <c r="K41" s="53"/>
      <c r="L41" s="57">
        <f t="shared" si="0"/>
        <v>42</v>
      </c>
      <c r="M41" s="54" t="s">
        <v>13</v>
      </c>
    </row>
    <row r="42" spans="1:13">
      <c r="A42" s="51">
        <v>16</v>
      </c>
      <c r="B42" s="52" t="s">
        <v>122</v>
      </c>
      <c r="C42" s="53">
        <f>COUNTIF('07 Аванесова Изабелла'!$S$2:$S$37,6)+2*COUNTIF('07 Аванесова Изабелла'!$S$2:$S$37,12)</f>
        <v>3</v>
      </c>
      <c r="D42" s="53">
        <f>COUNTIF('07 Аванесова Изабелла'!$S$2:$S$37,4)</f>
        <v>3</v>
      </c>
      <c r="E42" s="53">
        <f>COUNTIF('07 Аванесова Изабелла'!$S$2:$S$37,3)</f>
        <v>1</v>
      </c>
      <c r="F42" s="53">
        <f>COUNTIF('07 Аванесова Изабелла'!$S$2:$S$37,1)</f>
        <v>8</v>
      </c>
      <c r="G42" s="53"/>
      <c r="H42" s="53"/>
      <c r="I42" s="53"/>
      <c r="J42" s="53"/>
      <c r="K42" s="53"/>
      <c r="L42" s="57">
        <f t="shared" si="0"/>
        <v>41</v>
      </c>
      <c r="M42" s="54" t="s">
        <v>13</v>
      </c>
    </row>
    <row r="43" spans="1:13">
      <c r="A43" s="51">
        <v>17</v>
      </c>
      <c r="B43" s="52" t="s">
        <v>241</v>
      </c>
      <c r="C43" s="53">
        <f>COUNTIF('15 Тарасевич Максим'!$S$2:$S$37,6)+2*COUNTIF('15 Тарасевич Максим'!$S$2:$S$37,12)</f>
        <v>2</v>
      </c>
      <c r="D43" s="53">
        <f>COUNTIF('15 Тарасевич Максим'!$S$2:$S$37,4)</f>
        <v>2</v>
      </c>
      <c r="E43" s="53">
        <f>COUNTIF('15 Тарасевич Максим'!$S$2:$S$37,3)</f>
        <v>0</v>
      </c>
      <c r="F43" s="53">
        <f>COUNTIF('15 Тарасевич Максим'!$S$2:$S$37,1)</f>
        <v>12</v>
      </c>
      <c r="G43" s="53"/>
      <c r="H43" s="53"/>
      <c r="I43" s="53"/>
      <c r="J43" s="53"/>
      <c r="K43" s="53"/>
      <c r="L43" s="57">
        <f t="shared" si="0"/>
        <v>32</v>
      </c>
      <c r="M43" s="54" t="s">
        <v>13</v>
      </c>
    </row>
    <row r="44" spans="1:13">
      <c r="A44" s="51">
        <v>18</v>
      </c>
      <c r="B44" s="55" t="s">
        <v>18</v>
      </c>
      <c r="C44" s="53">
        <f>COUNTIF('12 Иванов Евгений'!$S$2:$S$37,6)+2*COUNTIF('12 Иванов Евгений'!$S$2:$S$37,12)</f>
        <v>3</v>
      </c>
      <c r="D44" s="53">
        <f>COUNTIF('12 Иванов Евгений'!$S$2:$S$37,4)</f>
        <v>2</v>
      </c>
      <c r="E44" s="53">
        <f>COUNTIF('12 Иванов Евгений'!$S$2:$S$37,3)</f>
        <v>0</v>
      </c>
      <c r="F44" s="53">
        <f>COUNTIF('12 Иванов Евгений'!$S$2:$S$37,1)</f>
        <v>5</v>
      </c>
      <c r="G44" s="53"/>
      <c r="H44" s="53"/>
      <c r="I44" s="53"/>
      <c r="J44" s="53"/>
      <c r="K44" s="53"/>
      <c r="L44" s="57">
        <f t="shared" si="0"/>
        <v>31</v>
      </c>
      <c r="M44" s="54" t="s">
        <v>13</v>
      </c>
    </row>
    <row r="45" spans="1:13">
      <c r="A45" s="51">
        <v>19</v>
      </c>
      <c r="B45" s="52" t="s">
        <v>120</v>
      </c>
      <c r="C45" s="53">
        <f>COUNTIF('03 Бегларян Римма'!$S$2:$S$37,6)+2*COUNTIF('03 Бегларян Римма'!$S$2:$S$37,12)</f>
        <v>2</v>
      </c>
      <c r="D45" s="53">
        <f>COUNTIF('03 Бегларян Римма'!$S$2:$S$37,4)</f>
        <v>2</v>
      </c>
      <c r="E45" s="53">
        <f>COUNTIF('03 Бегларян Римма'!$S$2:$S$37,3)</f>
        <v>2</v>
      </c>
      <c r="F45" s="53">
        <f>COUNTIF('03 Бегларян Римма'!$S$2:$S$37,1)</f>
        <v>5</v>
      </c>
      <c r="G45" s="53"/>
      <c r="H45" s="53"/>
      <c r="I45" s="53"/>
      <c r="J45" s="53"/>
      <c r="K45" s="53"/>
      <c r="L45" s="57">
        <f t="shared" si="0"/>
        <v>31</v>
      </c>
      <c r="M45" s="54" t="s">
        <v>13</v>
      </c>
    </row>
    <row r="46" spans="1:1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10"/>
      <c r="M46" s="8"/>
    </row>
    <row r="47" spans="1:13" ht="18">
      <c r="A47" s="40" t="s">
        <v>133</v>
      </c>
      <c r="B47" s="40"/>
      <c r="C47" s="41"/>
      <c r="D47" s="41"/>
      <c r="E47" s="42"/>
      <c r="F47" s="41"/>
      <c r="G47" s="41"/>
      <c r="H47" s="41"/>
      <c r="I47" s="41"/>
      <c r="J47" s="41"/>
      <c r="K47" s="41"/>
      <c r="L47" s="41"/>
      <c r="M47" s="43" t="s">
        <v>14</v>
      </c>
    </row>
    <row r="48" spans="1: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6">
      <c r="A49" s="44"/>
      <c r="B49" s="45" t="s">
        <v>15</v>
      </c>
      <c r="C49" s="46">
        <v>6</v>
      </c>
      <c r="D49" s="46">
        <v>4</v>
      </c>
      <c r="E49" s="46">
        <v>3</v>
      </c>
      <c r="F49" s="46">
        <v>1</v>
      </c>
      <c r="G49" s="46"/>
      <c r="H49" s="46"/>
      <c r="I49" s="46"/>
      <c r="J49" s="46"/>
      <c r="K49" s="46"/>
      <c r="L49" s="46" t="s">
        <v>16</v>
      </c>
      <c r="M49" s="46" t="s">
        <v>27</v>
      </c>
    </row>
    <row r="50" spans="1:16">
      <c r="A50" s="47">
        <v>1</v>
      </c>
      <c r="B50" s="48" t="s">
        <v>18</v>
      </c>
      <c r="C50" s="49">
        <f>COUNTIF('12 Иванов Евгений'!$S$38:$S$52,6)+2*COUNTIF('12 Иванов Евгений'!$S$38:$S$52,12)</f>
        <v>3</v>
      </c>
      <c r="D50" s="49">
        <f>COUNTIF('12 Иванов Евгений'!$S$38:$S$52,4)</f>
        <v>1</v>
      </c>
      <c r="E50" s="49">
        <f>COUNTIF('12 Иванов Евгений'!$S$38:$S$52,3)</f>
        <v>0</v>
      </c>
      <c r="F50" s="49">
        <f>COUNTIF('12 Иванов Евгений'!$S$38:$S$52,1)</f>
        <v>4</v>
      </c>
      <c r="G50" s="49"/>
      <c r="H50" s="49"/>
      <c r="I50" s="49"/>
      <c r="J50" s="49"/>
      <c r="K50" s="49"/>
      <c r="L50" s="56">
        <f>6*C50+4*D50+3*E50+1*F50</f>
        <v>26</v>
      </c>
      <c r="M50" s="50" t="s">
        <v>13</v>
      </c>
    </row>
    <row r="51" spans="1:16">
      <c r="A51" s="51">
        <v>2</v>
      </c>
      <c r="B51" s="52" t="s">
        <v>124</v>
      </c>
      <c r="C51" s="53">
        <f>COUNTIF('08 Щербич Николай'!$S$38:$S$52,6)+2*COUNTIF('08 Щербич Николай'!$S$38:$S$52,12)</f>
        <v>3</v>
      </c>
      <c r="D51" s="53">
        <f>COUNTIF('08 Щербич Николай'!$S$38:$S$52,4)</f>
        <v>1</v>
      </c>
      <c r="E51" s="53">
        <f>COUNTIF('08 Щербич Николай'!$S$38:$S$52,3)</f>
        <v>0</v>
      </c>
      <c r="F51" s="53">
        <f>COUNTIF('08 Щербич Николай'!$S$38:$S$52,1)</f>
        <v>3</v>
      </c>
      <c r="G51" s="53"/>
      <c r="H51" s="53"/>
      <c r="I51" s="53"/>
      <c r="J51" s="53"/>
      <c r="K51" s="53"/>
      <c r="L51" s="57">
        <f>6*C51+4*D51+3*E51+1*F51</f>
        <v>25</v>
      </c>
      <c r="M51" s="54" t="s">
        <v>13</v>
      </c>
    </row>
    <row r="52" spans="1:16">
      <c r="A52" s="51">
        <v>3</v>
      </c>
      <c r="B52" s="55" t="s">
        <v>234</v>
      </c>
      <c r="C52" s="53">
        <f>COUNTIF('13 Гусаков Сергей'!$S$38:$S$52,6)+2*COUNTIF('13 Гусаков Сергей'!$S$38:$S$52,12)</f>
        <v>3</v>
      </c>
      <c r="D52" s="53">
        <f>COUNTIF('13 Гусаков Сергей'!$S$38:$S$52,4)</f>
        <v>1</v>
      </c>
      <c r="E52" s="53">
        <f>COUNTIF('13 Гусаков Сергей'!$S$38:$S$52,3)</f>
        <v>0</v>
      </c>
      <c r="F52" s="53">
        <f>COUNTIF('13 Гусаков Сергей'!$S$38:$S$52,1)</f>
        <v>3</v>
      </c>
      <c r="G52" s="53"/>
      <c r="H52" s="53"/>
      <c r="I52" s="53"/>
      <c r="J52" s="53"/>
      <c r="K52" s="53"/>
      <c r="L52" s="57">
        <f>6*C52+4*D52+3*E52+1*F52</f>
        <v>25</v>
      </c>
      <c r="M52" s="54" t="s">
        <v>13</v>
      </c>
    </row>
    <row r="53" spans="1:16">
      <c r="A53" s="51">
        <v>4</v>
      </c>
      <c r="B53" s="55" t="s">
        <v>123</v>
      </c>
      <c r="C53" s="53">
        <f>COUNTIF('01 Акиловский Руслан'!$S$38:$S$52,6)+2*COUNTIF('01 Акиловский Руслан'!$S$38:$S$52,12)</f>
        <v>3</v>
      </c>
      <c r="D53" s="53">
        <f>COUNTIF('01 Акиловский Руслан'!$S$38:$S$52,4)</f>
        <v>0</v>
      </c>
      <c r="E53" s="53">
        <f>COUNTIF('01 Акиловский Руслан'!$S$38:$S$52,3)</f>
        <v>0</v>
      </c>
      <c r="F53" s="53">
        <f>COUNTIF('01 Акиловский Руслан'!$S$38:$S$52,1)</f>
        <v>4</v>
      </c>
      <c r="G53" s="53"/>
      <c r="H53" s="53"/>
      <c r="I53" s="53"/>
      <c r="J53" s="53"/>
      <c r="K53" s="53"/>
      <c r="L53" s="57">
        <f>6*C53+4*D53+3*E53+1*F53</f>
        <v>22</v>
      </c>
      <c r="M53" s="54" t="s">
        <v>13</v>
      </c>
    </row>
    <row r="54" spans="1:16">
      <c r="A54" s="51">
        <v>5</v>
      </c>
      <c r="B54" s="52" t="s">
        <v>20</v>
      </c>
      <c r="C54" s="53">
        <f>COUNTIF('02 Бегларян Гайк'!$S$38:$S$52,6)+2*COUNTIF('02 Бегларян Гайк'!$S$38:$S$52,12)</f>
        <v>2</v>
      </c>
      <c r="D54" s="53">
        <f>COUNTIF('02 Бегларян Гайк'!$S$38:$S$52,4)</f>
        <v>1</v>
      </c>
      <c r="E54" s="53">
        <f>COUNTIF('02 Бегларян Гайк'!$S$38:$S$52,3)</f>
        <v>0</v>
      </c>
      <c r="F54" s="53">
        <f>COUNTIF('02 Бегларян Гайк'!$S$38:$S$52,1)</f>
        <v>5</v>
      </c>
      <c r="G54" s="53"/>
      <c r="H54" s="53"/>
      <c r="I54" s="53"/>
      <c r="J54" s="53"/>
      <c r="K54" s="53"/>
      <c r="L54" s="57">
        <f>6*C54+4*D54+3*E54+1*F54</f>
        <v>21</v>
      </c>
      <c r="M54" s="54" t="s">
        <v>13</v>
      </c>
    </row>
    <row r="55" spans="1:16">
      <c r="A55" s="51">
        <v>6</v>
      </c>
      <c r="B55" s="52" t="s">
        <v>213</v>
      </c>
      <c r="C55" s="53">
        <f>COUNTIF('04 Кулиев Бегенч'!$S$38:$S$52,6)+2*COUNTIF('04 Кулиев Бегенч'!$S$38:$S$52,12)</f>
        <v>2</v>
      </c>
      <c r="D55" s="53">
        <f>COUNTIF('04 Кулиев Бегенч'!$S$38:$S$52,4)</f>
        <v>0</v>
      </c>
      <c r="E55" s="53">
        <f>COUNTIF('04 Кулиев Бегенч'!$S$38:$S$52,3)</f>
        <v>0</v>
      </c>
      <c r="F55" s="53">
        <f>COUNTIF('04 Кулиев Бегенч'!$S$38:$S$52,1)</f>
        <v>7</v>
      </c>
      <c r="G55" s="53"/>
      <c r="H55" s="53"/>
      <c r="I55" s="53"/>
      <c r="J55" s="53"/>
      <c r="K55" s="53"/>
      <c r="L55" s="57">
        <f>6*C55+4*D55+3*E55+1*F55</f>
        <v>19</v>
      </c>
      <c r="M55" s="54" t="s">
        <v>13</v>
      </c>
    </row>
    <row r="56" spans="1:16">
      <c r="A56" s="51">
        <v>7</v>
      </c>
      <c r="B56" s="52" t="s">
        <v>244</v>
      </c>
      <c r="C56" s="53">
        <f>COUNTIF('16 Назарян Виталий'!$S$38:$S$52,6)+2*COUNTIF('16 Назарян Виталий'!$S$38:$S$52,12)</f>
        <v>1</v>
      </c>
      <c r="D56" s="53">
        <f>COUNTIF('16 Назарян Виталий'!$S$38:$S$52,4)</f>
        <v>2</v>
      </c>
      <c r="E56" s="53">
        <f>COUNTIF('16 Назарян Виталий'!$S$38:$S$52,3)</f>
        <v>0</v>
      </c>
      <c r="F56" s="53">
        <f>COUNTIF('16 Назарян Виталий'!$S$38:$S$52,1)</f>
        <v>4</v>
      </c>
      <c r="G56" s="53"/>
      <c r="H56" s="53"/>
      <c r="I56" s="53"/>
      <c r="J56" s="53"/>
      <c r="K56" s="53"/>
      <c r="L56" s="57">
        <f>6*C56+4*D56+3*E56+1*F56</f>
        <v>18</v>
      </c>
      <c r="M56" s="54" t="s">
        <v>13</v>
      </c>
    </row>
    <row r="57" spans="1:16">
      <c r="A57" s="51">
        <v>8</v>
      </c>
      <c r="B57" s="52" t="s">
        <v>128</v>
      </c>
      <c r="C57" s="53">
        <f>COUNTIF('09 Жук Роман'!$S$38:$S$52,6)+2*COUNTIF('09 Жук Роман'!$S$38:$S$52,12)</f>
        <v>1</v>
      </c>
      <c r="D57" s="53">
        <f>COUNTIF('09 Жук Роман'!$S$38:$S$52,4)</f>
        <v>1</v>
      </c>
      <c r="E57" s="53">
        <f>COUNTIF('09 Жук Роман'!$S$38:$S$52,3)</f>
        <v>1</v>
      </c>
      <c r="F57" s="53">
        <f>COUNTIF('09 Жук Роман'!$S$38:$S$52,1)</f>
        <v>5</v>
      </c>
      <c r="G57" s="53"/>
      <c r="H57" s="53"/>
      <c r="I57" s="53"/>
      <c r="J57" s="53"/>
      <c r="K57" s="53"/>
      <c r="L57" s="57">
        <f>6*C57+4*D57+3*E57+1*F57</f>
        <v>18</v>
      </c>
      <c r="M57" s="54" t="s">
        <v>13</v>
      </c>
    </row>
    <row r="58" spans="1:16">
      <c r="A58" s="51">
        <v>9</v>
      </c>
      <c r="B58" s="52" t="s">
        <v>121</v>
      </c>
      <c r="C58" s="53">
        <f>COUNTIF('10 Бегларян Аркадий'!$S$38:$S$52,6)+2*COUNTIF('10 Бегларян Аркадий'!$S$38:$S$52,12)</f>
        <v>2</v>
      </c>
      <c r="D58" s="53">
        <f>COUNTIF('10 Бегларян Аркадий'!$S$38:$S$52,4)</f>
        <v>0</v>
      </c>
      <c r="E58" s="53">
        <f>COUNTIF('10 Бегларян Аркадий'!$S$38:$S$52,3)</f>
        <v>0</v>
      </c>
      <c r="F58" s="53">
        <f>COUNTIF('10 Бегларян Аркадий'!$S$38:$S$52,1)</f>
        <v>5</v>
      </c>
      <c r="G58" s="53"/>
      <c r="H58" s="53"/>
      <c r="I58" s="53"/>
      <c r="J58" s="53"/>
      <c r="K58" s="53"/>
      <c r="L58" s="57">
        <f>6*C58+4*D58+3*E58+1*F58</f>
        <v>17</v>
      </c>
      <c r="M58" s="54" t="s">
        <v>13</v>
      </c>
      <c r="O58" s="139"/>
      <c r="P58" s="139"/>
    </row>
    <row r="59" spans="1:16">
      <c r="A59" s="51">
        <v>10</v>
      </c>
      <c r="B59" s="52" t="s">
        <v>245</v>
      </c>
      <c r="C59" s="53">
        <f>COUNTIF('17 Назарян Вадим'!$S$38:$S$52,6)+2*COUNTIF('17 Назарян Вадим'!$S$38:$S$52,12)</f>
        <v>2</v>
      </c>
      <c r="D59" s="53">
        <f>COUNTIF('17 Назарян Вадим'!$S$38:$S$52,4)</f>
        <v>0</v>
      </c>
      <c r="E59" s="53">
        <f>COUNTIF('17 Назарян Вадим'!$S$38:$S$52,3)</f>
        <v>0</v>
      </c>
      <c r="F59" s="53">
        <f>COUNTIF('17 Назарян Вадим'!$S$38:$S$52,1)</f>
        <v>4</v>
      </c>
      <c r="G59" s="53"/>
      <c r="H59" s="53"/>
      <c r="I59" s="53"/>
      <c r="J59" s="53"/>
      <c r="K59" s="53"/>
      <c r="L59" s="57">
        <f>6*C59+4*D59+3*E59+1*F59</f>
        <v>16</v>
      </c>
      <c r="M59" s="54" t="s">
        <v>13</v>
      </c>
      <c r="O59" s="139"/>
      <c r="P59" s="139"/>
    </row>
    <row r="60" spans="1:16">
      <c r="A60" s="51">
        <v>11</v>
      </c>
      <c r="B60" s="52" t="s">
        <v>237</v>
      </c>
      <c r="C60" s="53">
        <f>COUNTIF('14 Рижницын Андрей'!$S$38:$S$52,6)+2*COUNTIF('14 Рижницын Андрей'!$S$38:$S$52,12)</f>
        <v>1</v>
      </c>
      <c r="D60" s="53">
        <f>COUNTIF('14 Рижницын Андрей'!$S$38:$S$52,4)</f>
        <v>1</v>
      </c>
      <c r="E60" s="53">
        <f>COUNTIF('14 Рижницын Андрей'!$S$38:$S$52,3)</f>
        <v>0</v>
      </c>
      <c r="F60" s="53">
        <f>COUNTIF('14 Рижницын Андрей'!$S$38:$S$52,1)</f>
        <v>6</v>
      </c>
      <c r="G60" s="53"/>
      <c r="H60" s="53"/>
      <c r="I60" s="53"/>
      <c r="J60" s="53"/>
      <c r="K60" s="53"/>
      <c r="L60" s="57">
        <f>6*C60+4*D60+3*E60+1*F60</f>
        <v>16</v>
      </c>
      <c r="M60" s="54" t="s">
        <v>13</v>
      </c>
      <c r="O60" s="139"/>
      <c r="P60" s="139"/>
    </row>
    <row r="61" spans="1:16">
      <c r="A61" s="51">
        <v>12</v>
      </c>
      <c r="B61" s="55" t="s">
        <v>17</v>
      </c>
      <c r="C61" s="53">
        <f>COUNTIF('06 Иванов Андрей'!$S$38:$S$52,6)+2*COUNTIF('06 Иванов Андрей'!$S$38:$S$52,12)</f>
        <v>1</v>
      </c>
      <c r="D61" s="53">
        <f>COUNTIF('06 Иванов Андрей'!$S$38:$S$52,4)</f>
        <v>1</v>
      </c>
      <c r="E61" s="53">
        <f>COUNTIF('06 Иванов Андрей'!$S$38:$S$52,3)</f>
        <v>0</v>
      </c>
      <c r="F61" s="53">
        <f>COUNTIF('06 Иванов Андрей'!$S$38:$S$52,1)</f>
        <v>4</v>
      </c>
      <c r="G61" s="53"/>
      <c r="H61" s="53"/>
      <c r="I61" s="53"/>
      <c r="J61" s="53"/>
      <c r="K61" s="53"/>
      <c r="L61" s="57">
        <f>6*C61+4*D61+3*E61+1*F61</f>
        <v>14</v>
      </c>
      <c r="M61" s="54" t="s">
        <v>13</v>
      </c>
      <c r="O61" s="139"/>
      <c r="P61" s="139"/>
    </row>
    <row r="62" spans="1:16">
      <c r="A62" s="51">
        <v>13</v>
      </c>
      <c r="B62" s="52" t="s">
        <v>228</v>
      </c>
      <c r="C62" s="53">
        <f>COUNTIF('11 Демчихин Александр'!$S$38:$S$52,6)+2*COUNTIF('11 Демчихин Александр'!$S$38:$S$52,12)</f>
        <v>0</v>
      </c>
      <c r="D62" s="53">
        <f>COUNTIF('11 Демчихин Александр'!$S$38:$S$52,4)</f>
        <v>1</v>
      </c>
      <c r="E62" s="53">
        <f>COUNTIF('11 Демчихин Александр'!$S$38:$S$52,3)</f>
        <v>1</v>
      </c>
      <c r="F62" s="53">
        <f>COUNTIF('11 Демчихин Александр'!$S$38:$S$52,1)</f>
        <v>5</v>
      </c>
      <c r="G62" s="53"/>
      <c r="H62" s="53"/>
      <c r="I62" s="53"/>
      <c r="J62" s="53"/>
      <c r="K62" s="53"/>
      <c r="L62" s="57">
        <f>6*C62+4*D62+3*E62+1*F62</f>
        <v>12</v>
      </c>
      <c r="M62" s="54" t="s">
        <v>13</v>
      </c>
      <c r="O62" s="139"/>
      <c r="P62" s="139"/>
    </row>
    <row r="63" spans="1:16">
      <c r="A63" s="51">
        <v>14</v>
      </c>
      <c r="B63" s="52" t="s">
        <v>247</v>
      </c>
      <c r="C63" s="53">
        <f>COUNTIF('19 Щербич Никита'!$S$38:$S$52,6)+2*COUNTIF('19 Щербич Никита'!$S$38:$S$52,12)</f>
        <v>0</v>
      </c>
      <c r="D63" s="53">
        <f>COUNTIF('19 Щербич Никита'!$S$38:$S$52,4)</f>
        <v>1</v>
      </c>
      <c r="E63" s="53">
        <f>COUNTIF('19 Щербич Никита'!$S$38:$S$52,3)</f>
        <v>0</v>
      </c>
      <c r="F63" s="53">
        <f>COUNTIF('19 Щербич Никита'!$S$38:$S$52,1)</f>
        <v>8</v>
      </c>
      <c r="G63" s="53"/>
      <c r="H63" s="53"/>
      <c r="I63" s="53"/>
      <c r="J63" s="53"/>
      <c r="K63" s="53"/>
      <c r="L63" s="57">
        <f>6*C63+4*D63+3*E63+1*F63</f>
        <v>12</v>
      </c>
      <c r="M63" s="54" t="s">
        <v>13</v>
      </c>
      <c r="O63" s="139"/>
      <c r="P63" s="139"/>
    </row>
    <row r="64" spans="1:16">
      <c r="A64" s="51">
        <v>15</v>
      </c>
      <c r="B64" s="52" t="s">
        <v>246</v>
      </c>
      <c r="C64" s="53">
        <f>COUNTIF('18 Арутюнян Артем'!$S$38:$S$52,6)+2*COUNTIF('18 Арутюнян Артем'!$S$38:$S$52,12)</f>
        <v>0</v>
      </c>
      <c r="D64" s="53">
        <f>COUNTIF('18 Арутюнян Артем'!$S$38:$S$52,4)</f>
        <v>1</v>
      </c>
      <c r="E64" s="53">
        <f>COUNTIF('18 Арутюнян Артем'!$S$38:$S$52,3)</f>
        <v>0</v>
      </c>
      <c r="F64" s="53">
        <f>COUNTIF('18 Арутюнян Артем'!$S$38:$S$52,1)</f>
        <v>6</v>
      </c>
      <c r="G64" s="53"/>
      <c r="H64" s="53"/>
      <c r="I64" s="53"/>
      <c r="J64" s="53"/>
      <c r="K64" s="53"/>
      <c r="L64" s="57">
        <f>6*C64+4*D64+3*E64+1*F64</f>
        <v>10</v>
      </c>
      <c r="M64" s="54" t="s">
        <v>13</v>
      </c>
      <c r="O64" s="139"/>
      <c r="P64" s="139"/>
    </row>
    <row r="65" spans="1:16">
      <c r="A65" s="51">
        <v>16</v>
      </c>
      <c r="B65" s="52" t="s">
        <v>120</v>
      </c>
      <c r="C65" s="53">
        <f>COUNTIF('03 Бегларян Римма'!$S$38:$S$52,6)+2*COUNTIF('03 Бегларян Римма'!$S$38:$S$52,12)</f>
        <v>0</v>
      </c>
      <c r="D65" s="53">
        <f>COUNTIF('03 Бегларян Римма'!$S$38:$S$52,4)</f>
        <v>1</v>
      </c>
      <c r="E65" s="53">
        <f>COUNTIF('03 Бегларян Римма'!$S$38:$S$52,3)</f>
        <v>0</v>
      </c>
      <c r="F65" s="53">
        <f>COUNTIF('03 Бегларян Римма'!$S$38:$S$52,1)</f>
        <v>3</v>
      </c>
      <c r="G65" s="53"/>
      <c r="H65" s="53"/>
      <c r="I65" s="53"/>
      <c r="J65" s="53"/>
      <c r="K65" s="53"/>
      <c r="L65" s="57">
        <f>6*C65+4*D65+3*E65+1*F65</f>
        <v>7</v>
      </c>
      <c r="M65" s="54" t="s">
        <v>13</v>
      </c>
      <c r="O65" s="139"/>
      <c r="P65" s="139"/>
    </row>
    <row r="66" spans="1:16">
      <c r="A66" s="51">
        <v>17</v>
      </c>
      <c r="B66" s="52" t="s">
        <v>122</v>
      </c>
      <c r="C66" s="53">
        <f>COUNTIF('07 Аванесова Изабелла'!$S$38:$S$52,6)+2*COUNTIF('07 Аванесова Изабелла'!$S$38:$S$52,12)</f>
        <v>0</v>
      </c>
      <c r="D66" s="53">
        <f>COUNTIF('07 Аванесова Изабелла'!$S$38:$S$52,4)</f>
        <v>1</v>
      </c>
      <c r="E66" s="53">
        <f>COUNTIF('07 Аванесова Изабелла'!$S$38:$S$52,3)</f>
        <v>0</v>
      </c>
      <c r="F66" s="53">
        <f>COUNTIF('07 Аванесова Изабелла'!$S$38:$S$52,1)</f>
        <v>3</v>
      </c>
      <c r="G66" s="53"/>
      <c r="H66" s="53"/>
      <c r="I66" s="53"/>
      <c r="J66" s="53"/>
      <c r="K66" s="53"/>
      <c r="L66" s="57">
        <f>6*C66+4*D66+3*E66+1*F66</f>
        <v>7</v>
      </c>
      <c r="M66" s="54" t="s">
        <v>13</v>
      </c>
      <c r="O66" s="139"/>
      <c r="P66" s="139"/>
    </row>
    <row r="67" spans="1:16">
      <c r="A67" s="51">
        <v>18</v>
      </c>
      <c r="B67" s="52" t="s">
        <v>241</v>
      </c>
      <c r="C67" s="53">
        <f>COUNTIF('15 Тарасевич Максим'!$S$38:$S$52,6)+2*COUNTIF('15 Тарасевич Максим'!$S$38:$S$52,12)</f>
        <v>0</v>
      </c>
      <c r="D67" s="53">
        <f>COUNTIF('15 Тарасевич Максим'!$S$38:$S$52,4)</f>
        <v>0</v>
      </c>
      <c r="E67" s="53">
        <f>COUNTIF('15 Тарасевич Максим'!$S$38:$S$52,3)</f>
        <v>0</v>
      </c>
      <c r="F67" s="53">
        <f>COUNTIF('15 Тарасевич Максим'!$S$38:$S$52,1)</f>
        <v>7</v>
      </c>
      <c r="G67" s="53"/>
      <c r="H67" s="53"/>
      <c r="I67" s="53"/>
      <c r="J67" s="53"/>
      <c r="K67" s="53"/>
      <c r="L67" s="57">
        <f>6*C67+4*D67+3*E67+1*F67</f>
        <v>7</v>
      </c>
      <c r="M67" s="54" t="s">
        <v>13</v>
      </c>
      <c r="O67" s="139"/>
      <c r="P67" s="139"/>
    </row>
    <row r="68" spans="1:16">
      <c r="A68" s="51">
        <v>19</v>
      </c>
      <c r="B68" s="52" t="s">
        <v>214</v>
      </c>
      <c r="C68" s="53">
        <f>COUNTIF('05 Бикулов Камал'!$S$38:$S$52,6)+2*COUNTIF('05 Бикулов Камал'!$S$38:$S$52,12)</f>
        <v>0</v>
      </c>
      <c r="D68" s="53">
        <f>COUNTIF('05 Бикулов Камал'!$S$38:$S$52,4)</f>
        <v>0</v>
      </c>
      <c r="E68" s="53">
        <f>COUNTIF('05 Бикулов Камал'!$S$38:$S$52,3)</f>
        <v>1</v>
      </c>
      <c r="F68" s="53">
        <f>COUNTIF('05 Бикулов Камал'!$S$38:$S$52,1)</f>
        <v>1</v>
      </c>
      <c r="G68" s="53"/>
      <c r="H68" s="53"/>
      <c r="I68" s="53"/>
      <c r="J68" s="53"/>
      <c r="K68" s="53"/>
      <c r="L68" s="57">
        <f>6*C68+4*D68+3*E68+1*F68</f>
        <v>4</v>
      </c>
      <c r="M68" s="54" t="s">
        <v>13</v>
      </c>
    </row>
  </sheetData>
  <sortState ref="B4:M22">
    <sortCondition descending="1" ref="L4:L22"/>
    <sortCondition descending="1" ref="M4:M22"/>
    <sortCondition descending="1" ref="C4:C22"/>
    <sortCondition descending="1" ref="D4:D22"/>
    <sortCondition descending="1" ref="E4:E22"/>
  </sortState>
  <mergeCells count="3">
    <mergeCell ref="U3:V3"/>
    <mergeCell ref="S3:T3"/>
    <mergeCell ref="Q3:R3"/>
  </mergeCells>
  <phoneticPr fontId="4" type="noConversion"/>
  <pageMargins left="0.75" right="0.75" top="1" bottom="1" header="0.5" footer="0.5"/>
  <pageSetup paperSize="9" orientation="portrait" horizontalDpi="180" verticalDpi="18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0"/>
      <c r="F3" s="73" t="s">
        <v>214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6</v>
      </c>
      <c r="T3">
        <f t="shared" ref="T3:T52" si="0">IF(S3&gt;0,1,0)*N3</f>
        <v>2</v>
      </c>
      <c r="U3">
        <f t="shared" ref="U3:U52" si="1">IF(S3&gt;5,1,0)*N3</f>
        <v>2</v>
      </c>
      <c r="V3">
        <f>IF(S3=0,1,0)*N3*'Результаты матчей'!Q3</f>
        <v>0</v>
      </c>
      <c r="W3">
        <f>IF(S3&lt;6,1,0)*N3*'Результаты матчей'!Q3</f>
        <v>0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1</v>
      </c>
      <c r="T4">
        <f t="shared" si="0"/>
        <v>3</v>
      </c>
      <c r="U4">
        <f t="shared" si="1"/>
        <v>0</v>
      </c>
      <c r="V4">
        <f>IF(S4=0,1,0)*N4*'Результаты матчей'!Q4</f>
        <v>0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6</v>
      </c>
      <c r="T5">
        <f t="shared" si="0"/>
        <v>4</v>
      </c>
      <c r="U5">
        <f t="shared" si="1"/>
        <v>4</v>
      </c>
      <c r="V5">
        <f>IF(S5=0,1,0)*N5*'Результаты матчей'!Q5</f>
        <v>0</v>
      </c>
      <c r="W5">
        <f>IF(S5&lt;6,1,0)*N5*'Результаты матчей'!Q5</f>
        <v>0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0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6</v>
      </c>
      <c r="T6">
        <f t="shared" si="0"/>
        <v>5</v>
      </c>
      <c r="U6">
        <f t="shared" si="1"/>
        <v>5</v>
      </c>
      <c r="V6">
        <f>IF(S6=0,1,0)*N6*'Результаты матчей'!Q6</f>
        <v>0</v>
      </c>
      <c r="W6">
        <f>IF(S6&lt;6,1,0)*N6*'Результаты матчей'!Q6</f>
        <v>0</v>
      </c>
      <c r="X6" s="129" t="s">
        <v>91</v>
      </c>
      <c r="Y6" s="87">
        <v>3</v>
      </c>
      <c r="Z6" s="130">
        <v>53</v>
      </c>
      <c r="AA6" s="131">
        <v>3</v>
      </c>
      <c r="AB6" s="58">
        <v>45</v>
      </c>
      <c r="AC6" s="131">
        <v>7</v>
      </c>
      <c r="AD6" s="58">
        <v>8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 t="s">
        <v>13</v>
      </c>
      <c r="Z7" s="130" t="s">
        <v>13</v>
      </c>
      <c r="AA7" s="131" t="s">
        <v>13</v>
      </c>
      <c r="AB7" s="58" t="s">
        <v>13</v>
      </c>
      <c r="AC7" s="131" t="s">
        <v>13</v>
      </c>
      <c r="AD7" s="58" t="s">
        <v>13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1</v>
      </c>
      <c r="K9" s="85" t="s">
        <v>0</v>
      </c>
      <c r="N9">
        <v>8</v>
      </c>
      <c r="O9">
        <f>H13</f>
        <v>2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4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0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IFERROR((AC10*30+AA10*(SUM('Результаты матчей'!Q2:Q52)-8))/(22+SUM('Результаты матчей'!Q2:Q52)),(AC10*30)/30)</f>
        <v>1.4109589041095891</v>
      </c>
      <c r="AA10" s="133">
        <f>IFERROR(SUM(S2:S52)/(SUM('Результаты матчей'!Q2:Q52)-8),"-")</f>
        <v>1.1627906976744187</v>
      </c>
      <c r="AB10" s="134" t="s">
        <v>13</v>
      </c>
      <c r="AC10" s="134">
        <f>53/30</f>
        <v>1.7666666666666666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2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0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3</v>
      </c>
      <c r="P13">
        <f>D18</f>
        <v>1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215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1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3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30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1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1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2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0</v>
      </c>
      <c r="T20">
        <f t="shared" si="0"/>
        <v>0</v>
      </c>
      <c r="U20">
        <f t="shared" si="1"/>
        <v>0</v>
      </c>
      <c r="V20">
        <f>IF(S20=0,1,0)*N20*'Результаты матчей'!Q20</f>
        <v>19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2</v>
      </c>
      <c r="K21" s="85" t="s">
        <v>149</v>
      </c>
      <c r="N21">
        <v>20</v>
      </c>
      <c r="O21">
        <f>H22</f>
        <v>0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0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3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6</v>
      </c>
      <c r="T22">
        <f t="shared" si="0"/>
        <v>21</v>
      </c>
      <c r="U22">
        <f t="shared" si="1"/>
        <v>21</v>
      </c>
      <c r="V22">
        <f>IF(S22=0,1,0)*N22*'Результаты матчей'!Q22</f>
        <v>0</v>
      </c>
      <c r="W22">
        <f>IF(S22&lt;6,1,0)*N22*'Результаты матчей'!Q22</f>
        <v>0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1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1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2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0</v>
      </c>
      <c r="P29">
        <f>D30</f>
        <v>3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3</v>
      </c>
      <c r="E30" s="88" t="s">
        <v>21</v>
      </c>
      <c r="F30" s="9"/>
      <c r="G30" s="86" t="s">
        <v>145</v>
      </c>
      <c r="H30" s="87">
        <v>1</v>
      </c>
      <c r="I30" s="86" t="s">
        <v>13</v>
      </c>
      <c r="J30" s="87">
        <v>4</v>
      </c>
      <c r="K30" s="88" t="s">
        <v>2</v>
      </c>
      <c r="N30">
        <v>29</v>
      </c>
      <c r="O30">
        <f>H29</f>
        <v>2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2</v>
      </c>
      <c r="I31" s="86" t="s">
        <v>13</v>
      </c>
      <c r="J31" s="87">
        <v>0</v>
      </c>
      <c r="K31" s="88" t="s">
        <v>143</v>
      </c>
      <c r="N31">
        <v>30</v>
      </c>
      <c r="O31">
        <f>H30</f>
        <v>1</v>
      </c>
      <c r="P31">
        <f>J30</f>
        <v>4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2</v>
      </c>
      <c r="I32" s="11" t="s">
        <v>13</v>
      </c>
      <c r="J32" s="82">
        <v>3</v>
      </c>
      <c r="K32" s="21" t="s">
        <v>12</v>
      </c>
      <c r="N32">
        <v>31</v>
      </c>
      <c r="O32">
        <f>H31</f>
        <v>2</v>
      </c>
      <c r="P32">
        <f>J31</f>
        <v>0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2</v>
      </c>
      <c r="P33">
        <f>J32</f>
        <v>3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0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216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217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0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0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0</v>
      </c>
      <c r="T39">
        <f t="shared" si="0"/>
        <v>0</v>
      </c>
      <c r="U39">
        <f t="shared" si="1"/>
        <v>0</v>
      </c>
      <c r="V39">
        <f>IF(S39=0,1,0)*N39*'Результаты матчей'!Q39</f>
        <v>38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149">
        <v>1</v>
      </c>
      <c r="C40" s="83" t="s">
        <v>13</v>
      </c>
      <c r="D40" s="149">
        <v>0</v>
      </c>
      <c r="E40" s="85" t="s">
        <v>144</v>
      </c>
      <c r="F40" s="9"/>
      <c r="G40" s="83" t="s">
        <v>10</v>
      </c>
      <c r="H40" s="149">
        <v>0</v>
      </c>
      <c r="I40" s="83" t="s">
        <v>13</v>
      </c>
      <c r="J40" s="149">
        <v>1</v>
      </c>
      <c r="K40" s="85" t="s">
        <v>148</v>
      </c>
      <c r="N40">
        <v>39</v>
      </c>
      <c r="O40">
        <f>B42</f>
        <v>1</v>
      </c>
      <c r="P40">
        <f>D42</f>
        <v>0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150">
        <v>0</v>
      </c>
      <c r="C41" s="86" t="s">
        <v>13</v>
      </c>
      <c r="D41" s="150">
        <v>1</v>
      </c>
      <c r="E41" s="88" t="s">
        <v>145</v>
      </c>
      <c r="F41" s="9"/>
      <c r="G41" s="86" t="s">
        <v>2</v>
      </c>
      <c r="H41" s="150">
        <v>0</v>
      </c>
      <c r="I41" s="86" t="s">
        <v>13</v>
      </c>
      <c r="J41" s="150">
        <v>1</v>
      </c>
      <c r="K41" s="88" t="s">
        <v>142</v>
      </c>
      <c r="N41">
        <v>40</v>
      </c>
      <c r="O41">
        <f>H40</f>
        <v>0</v>
      </c>
      <c r="P41">
        <f>J40</f>
        <v>1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0</v>
      </c>
      <c r="T41">
        <f t="shared" si="0"/>
        <v>0</v>
      </c>
      <c r="U41">
        <f t="shared" si="1"/>
        <v>0</v>
      </c>
      <c r="V41">
        <f>IF(S41=0,1,0)*N41*'Результаты матчей'!Q41</f>
        <v>40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151">
        <v>1</v>
      </c>
      <c r="C42" s="11" t="s">
        <v>13</v>
      </c>
      <c r="D42" s="151">
        <v>0</v>
      </c>
      <c r="E42" s="21" t="s">
        <v>1</v>
      </c>
      <c r="F42" s="2"/>
      <c r="G42" s="11" t="s">
        <v>151</v>
      </c>
      <c r="H42" s="151">
        <v>1</v>
      </c>
      <c r="I42" s="11" t="s">
        <v>13</v>
      </c>
      <c r="J42" s="151">
        <v>0</v>
      </c>
      <c r="K42" s="21" t="s">
        <v>67</v>
      </c>
      <c r="N42">
        <v>41</v>
      </c>
      <c r="O42">
        <f>H41</f>
        <v>0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0</v>
      </c>
      <c r="T42">
        <f t="shared" si="0"/>
        <v>0</v>
      </c>
      <c r="U42">
        <f t="shared" si="1"/>
        <v>0</v>
      </c>
      <c r="V42">
        <f>IF(S42=0,1,0)*N42*'Результаты матчей'!Q42</f>
        <v>41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0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149">
        <v>0</v>
      </c>
      <c r="C44" s="83" t="s">
        <v>13</v>
      </c>
      <c r="D44" s="149">
        <v>1</v>
      </c>
      <c r="E44" s="85" t="s">
        <v>12</v>
      </c>
      <c r="F44" s="9"/>
      <c r="G44" s="83" t="s">
        <v>21</v>
      </c>
      <c r="H44" s="149">
        <v>1</v>
      </c>
      <c r="I44" s="83" t="s">
        <v>13</v>
      </c>
      <c r="J44" s="149">
        <v>0</v>
      </c>
      <c r="K44" s="85" t="s">
        <v>152</v>
      </c>
      <c r="N44">
        <v>43</v>
      </c>
      <c r="O44">
        <f>B44</f>
        <v>0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0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0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3</v>
      </c>
      <c r="T48">
        <f t="shared" si="0"/>
        <v>47</v>
      </c>
      <c r="U48">
        <f t="shared" si="1"/>
        <v>0</v>
      </c>
      <c r="V48">
        <f>IF(S48=0,1,0)*N48*'Результаты матчей'!Q48</f>
        <v>0</v>
      </c>
      <c r="W48">
        <f>IF(S48&lt;6,1,0)*N48*'Результаты матчей'!Q48</f>
        <v>47</v>
      </c>
    </row>
    <row r="49" spans="1:23">
      <c r="A49" s="11" t="s">
        <v>144</v>
      </c>
      <c r="B49" s="82">
        <v>0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0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0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0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0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149">
        <v>0</v>
      </c>
      <c r="C56" s="83" t="s">
        <v>13</v>
      </c>
      <c r="D56" s="149">
        <v>1</v>
      </c>
      <c r="E56" s="85" t="s">
        <v>141</v>
      </c>
      <c r="F56" s="9"/>
      <c r="G56" s="83" t="s">
        <v>2</v>
      </c>
      <c r="H56" s="149">
        <v>1</v>
      </c>
      <c r="I56" s="83" t="s">
        <v>13</v>
      </c>
      <c r="J56" s="149">
        <v>0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149">
        <v>0</v>
      </c>
      <c r="E61" s="83" t="s">
        <v>1</v>
      </c>
      <c r="F61" s="83" t="s">
        <v>13</v>
      </c>
      <c r="G61" s="85" t="s">
        <v>10</v>
      </c>
      <c r="H61" s="149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10</v>
      </c>
      <c r="G64" s="114"/>
    </row>
  </sheetData>
  <mergeCells count="11">
    <mergeCell ref="X17:Z29"/>
    <mergeCell ref="AB17:AD29"/>
    <mergeCell ref="X30:Z31"/>
    <mergeCell ref="AB30:AD31"/>
    <mergeCell ref="X15:Z16"/>
    <mergeCell ref="AB15:AD16"/>
    <mergeCell ref="X2:X3"/>
    <mergeCell ref="Y2:Z2"/>
    <mergeCell ref="AA2:AB2"/>
    <mergeCell ref="AC2:AD2"/>
    <mergeCell ref="X9:Y9"/>
  </mergeCells>
  <conditionalFormatting sqref="X30:Z31">
    <cfRule type="containsText" dxfId="29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8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17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0</v>
      </c>
      <c r="T3">
        <f t="shared" ref="T3:T52" si="0">IF(S3&gt;0,1,0)*N3</f>
        <v>0</v>
      </c>
      <c r="U3">
        <f t="shared" ref="U3:U52" si="1">IF(S3&gt;5,1,0)*N3</f>
        <v>0</v>
      </c>
      <c r="V3">
        <f>IF(S3=0,1,0)*N3*'Результаты матчей'!Q3</f>
        <v>2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2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9</v>
      </c>
      <c r="Z4" s="126">
        <v>24</v>
      </c>
      <c r="AA4" s="127">
        <v>9</v>
      </c>
      <c r="AB4" s="128">
        <v>20</v>
      </c>
      <c r="AC4" s="127">
        <v>7</v>
      </c>
      <c r="AD4" s="128">
        <v>4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2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10</v>
      </c>
      <c r="Z5" s="130">
        <v>64</v>
      </c>
      <c r="AA5" s="131">
        <v>10</v>
      </c>
      <c r="AB5" s="58">
        <v>45</v>
      </c>
      <c r="AC5" s="131">
        <v>8</v>
      </c>
      <c r="AD5" s="58">
        <v>19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2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>
        <v>2</v>
      </c>
      <c r="Z6" s="130">
        <v>55</v>
      </c>
      <c r="AA6" s="131">
        <v>1</v>
      </c>
      <c r="AB6" s="58">
        <v>53</v>
      </c>
      <c r="AC6" s="131">
        <v>13</v>
      </c>
      <c r="AD6" s="58">
        <v>2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4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2</v>
      </c>
      <c r="Z7" s="130">
        <v>104</v>
      </c>
      <c r="AA7" s="131">
        <v>1</v>
      </c>
      <c r="AB7" s="58">
        <v>71</v>
      </c>
      <c r="AC7" s="131">
        <v>5</v>
      </c>
      <c r="AD7" s="58">
        <v>33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4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1</v>
      </c>
      <c r="K9" s="85" t="s">
        <v>0</v>
      </c>
      <c r="N9">
        <v>8</v>
      </c>
      <c r="O9">
        <f>H13</f>
        <v>2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4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2</v>
      </c>
      <c r="K10" s="88" t="s">
        <v>142</v>
      </c>
      <c r="N10">
        <v>9</v>
      </c>
      <c r="O10">
        <f>H14</f>
        <v>1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6</v>
      </c>
      <c r="T10">
        <f t="shared" si="0"/>
        <v>9</v>
      </c>
      <c r="U10">
        <f t="shared" si="1"/>
        <v>9</v>
      </c>
      <c r="V10">
        <f>IF(S10=0,1,0)*N10*'Результаты матчей'!Q10</f>
        <v>0</v>
      </c>
      <c r="W10">
        <f>IF(S10&lt;6,1,0)*N10*'Результаты матчей'!Q10</f>
        <v>0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1.2904564315352698</v>
      </c>
      <c r="AA10" s="133">
        <f>IFERROR(SUM(S2:S52)/SUM('Результаты матчей'!Q2:Q52),"-")</f>
        <v>1.2549019607843137</v>
      </c>
      <c r="AB10" s="134">
        <f>104/64</f>
        <v>1.625</v>
      </c>
      <c r="AC10" s="134">
        <f>55/31</f>
        <v>1.7741935483870968</v>
      </c>
      <c r="AD10" s="134">
        <f>64/64</f>
        <v>1</v>
      </c>
      <c r="AE10" s="134">
        <f>24/31</f>
        <v>0.77419354838709675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2</v>
      </c>
      <c r="K11" s="21" t="s">
        <v>68</v>
      </c>
      <c r="N11">
        <v>10</v>
      </c>
      <c r="O11">
        <f>H15</f>
        <v>0</v>
      </c>
      <c r="P11">
        <f>J15</f>
        <v>0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2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66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2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0</v>
      </c>
      <c r="I15" s="11" t="s">
        <v>13</v>
      </c>
      <c r="J15" s="82">
        <v>0</v>
      </c>
      <c r="K15" s="21" t="s">
        <v>11</v>
      </c>
      <c r="N15">
        <v>14</v>
      </c>
      <c r="O15">
        <f>H18</f>
        <v>0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3</v>
      </c>
      <c r="P17">
        <f>D21</f>
        <v>2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3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14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3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3</v>
      </c>
      <c r="C21" s="83" t="s">
        <v>13</v>
      </c>
      <c r="D21" s="84">
        <v>2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3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3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3</v>
      </c>
      <c r="K22" s="88" t="s">
        <v>66</v>
      </c>
      <c r="N22">
        <v>21</v>
      </c>
      <c r="O22">
        <f>H23</f>
        <v>3</v>
      </c>
      <c r="P22">
        <f>J23</f>
        <v>2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2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1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6</v>
      </c>
      <c r="T24">
        <f t="shared" si="0"/>
        <v>23</v>
      </c>
      <c r="U24">
        <f t="shared" si="1"/>
        <v>23</v>
      </c>
      <c r="V24">
        <f>IF(S24=0,1,0)*N24*'Результаты матчей'!Q24</f>
        <v>0</v>
      </c>
      <c r="W24">
        <f>IF(S24&lt;6,1,0)*N24*'Результаты матчей'!Q24</f>
        <v>0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0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6</v>
      </c>
      <c r="T25">
        <f t="shared" si="0"/>
        <v>24</v>
      </c>
      <c r="U25">
        <f t="shared" si="1"/>
        <v>24</v>
      </c>
      <c r="V25">
        <f>IF(S25=0,1,0)*N25*'Результаты матчей'!Q25</f>
        <v>0</v>
      </c>
      <c r="W25">
        <f>IF(S25&lt;6,1,0)*N25*'Результаты матчей'!Q25</f>
        <v>0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1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1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0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1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3</v>
      </c>
      <c r="T27">
        <f t="shared" si="0"/>
        <v>26</v>
      </c>
      <c r="U27">
        <f t="shared" si="1"/>
        <v>0</v>
      </c>
      <c r="V27">
        <f>IF(S27=0,1,0)*N27*'Результаты матчей'!Q27</f>
        <v>0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3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3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1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3</v>
      </c>
      <c r="T29">
        <f t="shared" si="0"/>
        <v>28</v>
      </c>
      <c r="U29">
        <f t="shared" si="1"/>
        <v>0</v>
      </c>
      <c r="V29">
        <f>IF(S29=0,1,0)*N29*'Результаты матчей'!Q29</f>
        <v>0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1</v>
      </c>
      <c r="I30" s="86" t="s">
        <v>13</v>
      </c>
      <c r="J30" s="87">
        <v>4</v>
      </c>
      <c r="K30" s="88" t="s">
        <v>2</v>
      </c>
      <c r="N30">
        <v>29</v>
      </c>
      <c r="O30">
        <f>H29</f>
        <v>2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2</v>
      </c>
      <c r="K31" s="88" t="s">
        <v>143</v>
      </c>
      <c r="N31">
        <v>30</v>
      </c>
      <c r="O31">
        <f>H30</f>
        <v>1</v>
      </c>
      <c r="P31">
        <f>J30</f>
        <v>4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1</v>
      </c>
      <c r="K32" s="21" t="s">
        <v>12</v>
      </c>
      <c r="N32">
        <v>31</v>
      </c>
      <c r="O32">
        <f>H31</f>
        <v>1</v>
      </c>
      <c r="P32">
        <f>J31</f>
        <v>2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1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0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218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219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6</v>
      </c>
      <c r="T38">
        <f t="shared" si="0"/>
        <v>37</v>
      </c>
      <c r="U38">
        <f t="shared" si="1"/>
        <v>37</v>
      </c>
      <c r="V38">
        <f>IF(S38=0,1,0)*N38*'Результаты матчей'!Q38</f>
        <v>0</v>
      </c>
      <c r="W38">
        <f>IF(S38&lt;6,1,0)*N38*'Результаты матчей'!Q38</f>
        <v>0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4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1</v>
      </c>
      <c r="K42" s="21" t="s">
        <v>67</v>
      </c>
      <c r="N42">
        <v>41</v>
      </c>
      <c r="O42">
        <f>H41</f>
        <v>2</v>
      </c>
      <c r="P42">
        <f>J41</f>
        <v>0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1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0</v>
      </c>
      <c r="E44" s="85" t="s">
        <v>12</v>
      </c>
      <c r="F44" s="9"/>
      <c r="G44" s="83" t="s">
        <v>21</v>
      </c>
      <c r="H44" s="84">
        <v>3</v>
      </c>
      <c r="I44" s="83" t="s">
        <v>13</v>
      </c>
      <c r="J44" s="84">
        <v>1</v>
      </c>
      <c r="K44" s="85" t="s">
        <v>152</v>
      </c>
      <c r="N44">
        <v>43</v>
      </c>
      <c r="O44">
        <f>B44</f>
        <v>1</v>
      </c>
      <c r="P44">
        <f>D44</f>
        <v>0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1</v>
      </c>
      <c r="T44">
        <f t="shared" si="0"/>
        <v>43</v>
      </c>
      <c r="U44">
        <f t="shared" si="1"/>
        <v>0</v>
      </c>
      <c r="V44">
        <f>IF(S44=0,1,0)*N44*'Результаты матчей'!Q44</f>
        <v>0</v>
      </c>
      <c r="W44">
        <f>IF(S44&lt;6,1,0)*N44*'Результаты матчей'!Q44</f>
        <v>43</v>
      </c>
    </row>
    <row r="45" spans="1:24">
      <c r="N45">
        <v>44</v>
      </c>
      <c r="O45">
        <f>H44</f>
        <v>3</v>
      </c>
      <c r="P45">
        <f>J44</f>
        <v>1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2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2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3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2</v>
      </c>
      <c r="P51">
        <f>J56</f>
        <v>1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3</v>
      </c>
      <c r="E56" s="85" t="s">
        <v>141</v>
      </c>
      <c r="F56" s="9"/>
      <c r="G56" s="83" t="s">
        <v>2</v>
      </c>
      <c r="H56" s="84">
        <v>2</v>
      </c>
      <c r="I56" s="83" t="s">
        <v>13</v>
      </c>
      <c r="J56" s="84">
        <v>1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68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27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6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122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1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4</v>
      </c>
      <c r="T4">
        <f t="shared" si="0"/>
        <v>3</v>
      </c>
      <c r="U4">
        <f t="shared" si="1"/>
        <v>0</v>
      </c>
      <c r="V4">
        <f>IF(S4=0,1,0)*N4*'Результаты матчей'!Q4</f>
        <v>0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2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4</v>
      </c>
      <c r="Z6" s="130">
        <v>51.6</v>
      </c>
      <c r="AA6" s="131">
        <v>7</v>
      </c>
      <c r="AB6" s="58">
        <v>31</v>
      </c>
      <c r="AC6" s="131">
        <v>3</v>
      </c>
      <c r="AD6" s="58">
        <v>12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1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>
        <v>8</v>
      </c>
      <c r="Z7" s="130">
        <v>87</v>
      </c>
      <c r="AA7" s="131">
        <v>9</v>
      </c>
      <c r="AB7" s="58">
        <v>58</v>
      </c>
      <c r="AC7" s="131">
        <v>7</v>
      </c>
      <c r="AD7" s="58">
        <v>29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1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IFERROR((AC10*31+AB10*64+AA10*SUM('Результаты матчей'!Q2:Q52))/(31+64+SUM('Результаты матчей'!Q2:Q52)),(AC10*31+AB10*64)/(31+64))</f>
        <v>1.2191780821917808</v>
      </c>
      <c r="AA10" s="133">
        <f>IFERROR(SUM(S2:S52)/SUM('Результаты матчей'!Q2:Q52),"-")</f>
        <v>0.94117647058823528</v>
      </c>
      <c r="AB10" s="134">
        <f>87/64</f>
        <v>1.359375</v>
      </c>
      <c r="AC10" s="134">
        <f>43/31</f>
        <v>1.3870967741935485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2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220</v>
      </c>
      <c r="Z13" s="26"/>
      <c r="AA13" s="27"/>
      <c r="AB13" s="27"/>
    </row>
    <row r="14" spans="1:31">
      <c r="A14" s="86" t="s">
        <v>144</v>
      </c>
      <c r="B14" s="87">
        <v>1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1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3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15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2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0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2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3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6</v>
      </c>
      <c r="T22">
        <f t="shared" si="0"/>
        <v>21</v>
      </c>
      <c r="U22">
        <f t="shared" si="1"/>
        <v>21</v>
      </c>
      <c r="V22">
        <f>IF(S22=0,1,0)*N22*'Результаты матчей'!Q22</f>
        <v>0</v>
      </c>
      <c r="W22">
        <f>IF(S22&lt;6,1,0)*N22*'Результаты матчей'!Q22</f>
        <v>0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3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2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3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0</v>
      </c>
      <c r="I25" s="83" t="s">
        <v>13</v>
      </c>
      <c r="J25" s="84">
        <v>0</v>
      </c>
      <c r="K25" s="85" t="s">
        <v>140</v>
      </c>
      <c r="N25">
        <v>24</v>
      </c>
      <c r="O25">
        <f>B27</f>
        <v>2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2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2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0</v>
      </c>
      <c r="P26">
        <f>J25</f>
        <v>0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2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3</v>
      </c>
      <c r="T27">
        <f t="shared" si="0"/>
        <v>26</v>
      </c>
      <c r="U27">
        <f t="shared" si="1"/>
        <v>0</v>
      </c>
      <c r="V27">
        <f>IF(S27=0,1,0)*N27*'Результаты матчей'!Q27</f>
        <v>0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2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2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0</v>
      </c>
      <c r="K29" s="85" t="s">
        <v>144</v>
      </c>
      <c r="N29">
        <v>28</v>
      </c>
      <c r="O29">
        <f>B30</f>
        <v>0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2</v>
      </c>
      <c r="K30" s="88" t="s">
        <v>2</v>
      </c>
      <c r="N30">
        <v>29</v>
      </c>
      <c r="O30">
        <f>H29</f>
        <v>1</v>
      </c>
      <c r="P30">
        <f>J29</f>
        <v>0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2</v>
      </c>
      <c r="K31" s="88" t="s">
        <v>143</v>
      </c>
      <c r="N31">
        <v>30</v>
      </c>
      <c r="O31">
        <f>H30</f>
        <v>0</v>
      </c>
      <c r="P31">
        <f>J30</f>
        <v>2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2</v>
      </c>
      <c r="I32" s="11" t="s">
        <v>13</v>
      </c>
      <c r="J32" s="82">
        <v>3</v>
      </c>
      <c r="K32" s="21" t="s">
        <v>12</v>
      </c>
      <c r="N32">
        <v>31</v>
      </c>
      <c r="O32">
        <f>H31</f>
        <v>1</v>
      </c>
      <c r="P32">
        <f>J31</f>
        <v>2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2</v>
      </c>
      <c r="P33">
        <f>J32</f>
        <v>3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2</v>
      </c>
      <c r="C34" s="83" t="s">
        <v>13</v>
      </c>
      <c r="D34" s="84">
        <v>2</v>
      </c>
      <c r="E34" s="85" t="s">
        <v>150</v>
      </c>
      <c r="F34" s="9"/>
      <c r="G34" s="83" t="s">
        <v>11</v>
      </c>
      <c r="H34" s="84">
        <v>0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2</v>
      </c>
      <c r="P34">
        <f>D34</f>
        <v>2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221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0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222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6</v>
      </c>
      <c r="T37">
        <f t="shared" si="0"/>
        <v>36</v>
      </c>
      <c r="U37">
        <f t="shared" si="1"/>
        <v>36</v>
      </c>
      <c r="V37">
        <f>IF(S37=0,1,0)*N37*'Результаты матчей'!Q37</f>
        <v>0</v>
      </c>
      <c r="W37">
        <f>IF(S37&lt;6,1,0)*N37*'Результаты матчей'!Q37</f>
        <v>0</v>
      </c>
    </row>
    <row r="38" spans="1:24" ht="12.75" customHeight="1">
      <c r="N38">
        <v>37</v>
      </c>
      <c r="O38">
        <f>B40</f>
        <v>1</v>
      </c>
      <c r="P38">
        <f>D40</f>
        <v>2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4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2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3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3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2</v>
      </c>
      <c r="P42">
        <f>J41</f>
        <v>0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1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2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3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2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3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2</v>
      </c>
      <c r="P51">
        <f>J56</f>
        <v>1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2</v>
      </c>
      <c r="I56" s="83" t="s">
        <v>13</v>
      </c>
      <c r="J56" s="84">
        <v>1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25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4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1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4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124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1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6</v>
      </c>
      <c r="T4">
        <f t="shared" si="0"/>
        <v>3</v>
      </c>
      <c r="U4">
        <f t="shared" si="1"/>
        <v>3</v>
      </c>
      <c r="V4">
        <f>IF(S4=0,1,0)*N4*'Результаты матчей'!Q4</f>
        <v>0</v>
      </c>
      <c r="W4">
        <f>IF(S4&lt;6,1,0)*N4*'Результаты матчей'!Q4</f>
        <v>0</v>
      </c>
      <c r="X4" s="124" t="s">
        <v>89</v>
      </c>
      <c r="Y4" s="125">
        <v>7</v>
      </c>
      <c r="Z4" s="126">
        <v>33</v>
      </c>
      <c r="AA4" s="127">
        <v>7</v>
      </c>
      <c r="AB4" s="128">
        <v>31</v>
      </c>
      <c r="AC4" s="127">
        <v>9</v>
      </c>
      <c r="AD4" s="128">
        <v>2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9</v>
      </c>
      <c r="Z5" s="130">
        <v>69</v>
      </c>
      <c r="AA5" s="131">
        <v>12</v>
      </c>
      <c r="AB5" s="58">
        <v>43</v>
      </c>
      <c r="AC5" s="131">
        <v>5</v>
      </c>
      <c r="AD5" s="58">
        <v>26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2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>
        <v>7</v>
      </c>
      <c r="Z6" s="130">
        <v>44</v>
      </c>
      <c r="AA6" s="131">
        <v>9</v>
      </c>
      <c r="AB6" s="58">
        <v>27</v>
      </c>
      <c r="AC6" s="131">
        <v>1</v>
      </c>
      <c r="AD6" s="58">
        <v>17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1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6</v>
      </c>
      <c r="T7">
        <f t="shared" si="0"/>
        <v>6</v>
      </c>
      <c r="U7">
        <f t="shared" si="1"/>
        <v>6</v>
      </c>
      <c r="V7">
        <f>IF(S7=0,1,0)*N7*'Результаты матчей'!Q7</f>
        <v>0</v>
      </c>
      <c r="W7">
        <f>IF(S7&lt;6,1,0)*N7*'Результаты матчей'!Q7</f>
        <v>0</v>
      </c>
      <c r="X7" s="129" t="s">
        <v>159</v>
      </c>
      <c r="Y7" s="87">
        <v>10</v>
      </c>
      <c r="Z7" s="130">
        <v>73</v>
      </c>
      <c r="AA7" s="131">
        <v>13</v>
      </c>
      <c r="AB7" s="58">
        <v>46</v>
      </c>
      <c r="AC7" s="131">
        <v>8</v>
      </c>
      <c r="AD7" s="58">
        <v>27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1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2</v>
      </c>
      <c r="K9" s="85" t="s">
        <v>0</v>
      </c>
      <c r="N9">
        <v>8</v>
      </c>
      <c r="O9">
        <f>H13</f>
        <v>3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1</v>
      </c>
      <c r="P10">
        <f>J14</f>
        <v>3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1.2282157676348548</v>
      </c>
      <c r="AA10" s="133">
        <f>IFERROR(SUM(S2:S52)/SUM('Результаты матчей'!Q2:Q52),"-")</f>
        <v>1.5098039215686274</v>
      </c>
      <c r="AB10" s="134">
        <f>73/64</f>
        <v>1.140625</v>
      </c>
      <c r="AC10" s="134">
        <f>44/31</f>
        <v>1.4193548387096775</v>
      </c>
      <c r="AD10" s="134">
        <f>69/64</f>
        <v>1.078125</v>
      </c>
      <c r="AE10" s="134">
        <f>33/31</f>
        <v>1.064516129032258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0</v>
      </c>
      <c r="P11">
        <f>J15</f>
        <v>2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6</v>
      </c>
      <c r="T11">
        <f t="shared" si="0"/>
        <v>10</v>
      </c>
      <c r="U11">
        <f t="shared" si="1"/>
        <v>10</v>
      </c>
      <c r="V11">
        <f>IF(S11=0,1,0)*N11*'Результаты матчей'!Q11</f>
        <v>0</v>
      </c>
      <c r="W11">
        <f>IF(S11&lt;6,1,0)*N11*'Результаты матчей'!Q11</f>
        <v>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2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1</v>
      </c>
      <c r="T12">
        <f t="shared" si="0"/>
        <v>11</v>
      </c>
      <c r="U12">
        <f t="shared" si="1"/>
        <v>0</v>
      </c>
      <c r="V12">
        <f>IF(S12=0,1,0)*N12*'Результаты матчей'!Q12</f>
        <v>0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2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3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1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3</v>
      </c>
      <c r="K14" s="88" t="s">
        <v>149</v>
      </c>
      <c r="N14">
        <v>13</v>
      </c>
      <c r="O14">
        <f>H17</f>
        <v>2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0</v>
      </c>
      <c r="I15" s="11" t="s">
        <v>13</v>
      </c>
      <c r="J15" s="82">
        <v>2</v>
      </c>
      <c r="K15" s="21" t="s">
        <v>11</v>
      </c>
      <c r="N15">
        <v>14</v>
      </c>
      <c r="O15">
        <f>H18</f>
        <v>0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4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2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3</v>
      </c>
      <c r="P17">
        <f>D21</f>
        <v>2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2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4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4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4</v>
      </c>
      <c r="P19">
        <f>D23</f>
        <v>0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3</v>
      </c>
      <c r="C21" s="83" t="s">
        <v>13</v>
      </c>
      <c r="D21" s="84">
        <v>2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2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4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1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2</v>
      </c>
      <c r="P24">
        <f>D26</f>
        <v>2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3</v>
      </c>
      <c r="T24">
        <f t="shared" si="0"/>
        <v>23</v>
      </c>
      <c r="U24">
        <f t="shared" si="1"/>
        <v>0</v>
      </c>
      <c r="V24">
        <f>IF(S24=0,1,0)*N24*'Результаты матчей'!Q24</f>
        <v>0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1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3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3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2</v>
      </c>
      <c r="C26" s="86" t="s">
        <v>13</v>
      </c>
      <c r="D26" s="87">
        <v>2</v>
      </c>
      <c r="E26" s="88" t="s">
        <v>151</v>
      </c>
      <c r="F26" s="9"/>
      <c r="G26" s="86" t="s">
        <v>0</v>
      </c>
      <c r="H26" s="87">
        <v>2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3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3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2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3</v>
      </c>
      <c r="T27">
        <f t="shared" si="0"/>
        <v>26</v>
      </c>
      <c r="U27">
        <f t="shared" si="1"/>
        <v>0</v>
      </c>
      <c r="V27">
        <f>IF(S27=0,1,0)*N27*'Результаты матчей'!Q27</f>
        <v>0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2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2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3</v>
      </c>
      <c r="K29" s="85" t="s">
        <v>144</v>
      </c>
      <c r="N29">
        <v>28</v>
      </c>
      <c r="O29">
        <f>B30</f>
        <v>1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3</v>
      </c>
      <c r="T29">
        <f t="shared" si="0"/>
        <v>28</v>
      </c>
      <c r="U29">
        <f t="shared" si="1"/>
        <v>0</v>
      </c>
      <c r="V29">
        <f>IF(S29=0,1,0)*N29*'Результаты матчей'!Q29</f>
        <v>0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1</v>
      </c>
      <c r="P30">
        <f>J29</f>
        <v>3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1</v>
      </c>
      <c r="T30">
        <f t="shared" si="0"/>
        <v>29</v>
      </c>
      <c r="U30">
        <f t="shared" si="1"/>
        <v>0</v>
      </c>
      <c r="V30">
        <f>IF(S30=0,1,0)*N30*'Результаты матчей'!Q30</f>
        <v>0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с набранными баллами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2</v>
      </c>
      <c r="I31" s="86" t="s">
        <v>13</v>
      </c>
      <c r="J31" s="87">
        <v>3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2</v>
      </c>
      <c r="P32">
        <f>J31</f>
        <v>3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223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207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2</v>
      </c>
      <c r="P38">
        <f>D40</f>
        <v>0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2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0</v>
      </c>
      <c r="T39">
        <f t="shared" si="0"/>
        <v>0</v>
      </c>
      <c r="U39">
        <f t="shared" si="1"/>
        <v>0</v>
      </c>
      <c r="V39">
        <f>IF(S39=0,1,0)*N39*'Результаты матчей'!Q39</f>
        <v>38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2</v>
      </c>
      <c r="C40" s="83" t="s">
        <v>13</v>
      </c>
      <c r="D40" s="84">
        <v>0</v>
      </c>
      <c r="E40" s="85" t="s">
        <v>144</v>
      </c>
      <c r="F40" s="9"/>
      <c r="G40" s="83" t="s">
        <v>10</v>
      </c>
      <c r="H40" s="84">
        <v>1</v>
      </c>
      <c r="I40" s="83" t="s">
        <v>13</v>
      </c>
      <c r="J40" s="84">
        <v>2</v>
      </c>
      <c r="K40" s="85" t="s">
        <v>148</v>
      </c>
      <c r="N40">
        <v>39</v>
      </c>
      <c r="O40">
        <f>B42</f>
        <v>0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6</v>
      </c>
      <c r="T40">
        <f t="shared" si="0"/>
        <v>39</v>
      </c>
      <c r="U40">
        <f t="shared" si="1"/>
        <v>39</v>
      </c>
      <c r="V40">
        <f>IF(S40=0,1,0)*N40*'Результаты матчей'!Q40</f>
        <v>0</v>
      </c>
      <c r="W40">
        <f>IF(S40&lt;6,1,0)*N40*'Результаты матчей'!Q40</f>
        <v>0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2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1</v>
      </c>
      <c r="P41">
        <f>J40</f>
        <v>2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0</v>
      </c>
      <c r="T41">
        <f t="shared" si="0"/>
        <v>0</v>
      </c>
      <c r="U41">
        <f t="shared" si="1"/>
        <v>0</v>
      </c>
      <c r="V41">
        <f>IF(S41=0,1,0)*N41*'Результаты матчей'!Q41</f>
        <v>40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0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1</v>
      </c>
      <c r="K42" s="21" t="s">
        <v>67</v>
      </c>
      <c r="N42">
        <v>41</v>
      </c>
      <c r="O42">
        <f>H41</f>
        <v>2</v>
      </c>
      <c r="P42">
        <f>J41</f>
        <v>0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1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0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2</v>
      </c>
      <c r="K44" s="85" t="s">
        <v>152</v>
      </c>
      <c r="N44">
        <v>43</v>
      </c>
      <c r="O44">
        <f>B44</f>
        <v>0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2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6</v>
      </c>
      <c r="T45">
        <f t="shared" si="0"/>
        <v>44</v>
      </c>
      <c r="U45">
        <f t="shared" si="1"/>
        <v>44</v>
      </c>
      <c r="V45">
        <f>IF(S45=0,1,0)*N45*'Результаты матчей'!Q45</f>
        <v>0</v>
      </c>
      <c r="W45">
        <f>IF(S45&lt;6,1,0)*N45*'Результаты матчей'!Q45</f>
        <v>0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0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0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1</v>
      </c>
      <c r="T47">
        <f t="shared" si="0"/>
        <v>46</v>
      </c>
      <c r="U47">
        <f t="shared" si="1"/>
        <v>0</v>
      </c>
      <c r="V47">
        <f>IF(S47=0,1,0)*N47*'Результаты матчей'!Q47</f>
        <v>0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6</v>
      </c>
      <c r="T48">
        <f t="shared" si="0"/>
        <v>47</v>
      </c>
      <c r="U48">
        <f t="shared" si="1"/>
        <v>47</v>
      </c>
      <c r="V48">
        <f>IF(S48=0,1,0)*N48*'Результаты матчей'!Q48</f>
        <v>0</v>
      </c>
      <c r="W48">
        <f>IF(S48&lt;6,1,0)*N48*'Результаты матчей'!Q48</f>
        <v>0</v>
      </c>
    </row>
    <row r="49" spans="1:23">
      <c r="A49" s="11" t="s">
        <v>144</v>
      </c>
      <c r="B49" s="82">
        <v>0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0</v>
      </c>
      <c r="K49" s="21" t="s">
        <v>67</v>
      </c>
      <c r="N49">
        <v>48</v>
      </c>
      <c r="O49">
        <f>H51</f>
        <v>1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0"/>
        <v>0</v>
      </c>
      <c r="U49">
        <f t="shared" si="1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1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2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4</v>
      </c>
      <c r="T52">
        <f t="shared" si="0"/>
        <v>51</v>
      </c>
      <c r="U52">
        <f t="shared" si="1"/>
        <v>0</v>
      </c>
      <c r="V52">
        <f>IF(S52=0,1,0)*N52*'Результаты матчей'!Q52</f>
        <v>0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2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23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2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1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4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128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3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1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6</v>
      </c>
      <c r="T4">
        <f t="shared" si="0"/>
        <v>3</v>
      </c>
      <c r="U4">
        <f t="shared" si="1"/>
        <v>3</v>
      </c>
      <c r="V4">
        <f>IF(S4=0,1,0)*N4*'Результаты матчей'!Q4</f>
        <v>0</v>
      </c>
      <c r="W4">
        <f>IF(S4&lt;6,1,0)*N4*'Результаты матчей'!Q4</f>
        <v>0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3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1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4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12</v>
      </c>
      <c r="Z7" s="130">
        <v>72</v>
      </c>
      <c r="AA7" s="131">
        <v>12</v>
      </c>
      <c r="AB7" s="58">
        <v>48</v>
      </c>
      <c r="AC7" s="131">
        <v>10</v>
      </c>
      <c r="AD7" s="58">
        <v>24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4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1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3</v>
      </c>
      <c r="K9" s="85" t="s">
        <v>0</v>
      </c>
      <c r="N9">
        <v>8</v>
      </c>
      <c r="O9">
        <f>H13</f>
        <v>1</v>
      </c>
      <c r="P9">
        <f>J13</f>
        <v>2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0</v>
      </c>
      <c r="T9">
        <f t="shared" si="0"/>
        <v>0</v>
      </c>
      <c r="U9">
        <f t="shared" si="1"/>
        <v>0</v>
      </c>
      <c r="V9">
        <f>IF(S9=0,1,0)*N9*'Результаты матчей'!Q9</f>
        <v>8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1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6</v>
      </c>
      <c r="T10">
        <f t="shared" si="0"/>
        <v>9</v>
      </c>
      <c r="U10">
        <f t="shared" si="1"/>
        <v>9</v>
      </c>
      <c r="V10">
        <f>IF(S10=0,1,0)*N10*'Результаты матчей'!Q10</f>
        <v>0</v>
      </c>
      <c r="W10">
        <f>IF(S10&lt;6,1,0)*N10*'Результаты матчей'!Q10</f>
        <v>0</v>
      </c>
      <c r="X10" s="124"/>
      <c r="Y10" s="124" t="s">
        <v>92</v>
      </c>
      <c r="Z10" s="132">
        <f>IFERROR((AB10*64+AA10*SUM('Результаты матчей'!Q2:Q52))/(64+SUM('Результаты матчей'!Q2:Q52)),(AB10*64)/64)</f>
        <v>1.3130434782608695</v>
      </c>
      <c r="AA10" s="133">
        <f>IFERROR(SUM(S2:S52)/SUM('Результаты матчей'!Q2:Q52),"-")</f>
        <v>1.5490196078431373</v>
      </c>
      <c r="AB10" s="134">
        <f>72/64</f>
        <v>1.125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0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1</v>
      </c>
      <c r="T11">
        <f t="shared" si="0"/>
        <v>10</v>
      </c>
      <c r="U11">
        <f t="shared" si="1"/>
        <v>0</v>
      </c>
      <c r="V11">
        <f>IF(S11=0,1,0)*N11*'Результаты матчей'!Q11</f>
        <v>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3</v>
      </c>
      <c r="E13" s="85" t="s">
        <v>66</v>
      </c>
      <c r="F13" s="11"/>
      <c r="G13" s="83" t="s">
        <v>12</v>
      </c>
      <c r="H13" s="84">
        <v>1</v>
      </c>
      <c r="I13" s="83" t="s">
        <v>13</v>
      </c>
      <c r="J13" s="84">
        <v>2</v>
      </c>
      <c r="K13" s="85" t="s">
        <v>147</v>
      </c>
      <c r="N13">
        <v>12</v>
      </c>
      <c r="O13">
        <f>B18</f>
        <v>3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224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1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4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0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0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3</v>
      </c>
      <c r="T15">
        <f t="shared" si="0"/>
        <v>14</v>
      </c>
      <c r="U15">
        <f t="shared" si="1"/>
        <v>0</v>
      </c>
      <c r="V15">
        <f>IF(S15=0,1,0)*N15*'Результаты матчей'!Q15</f>
        <v>0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3</v>
      </c>
      <c r="P17">
        <f>D21</f>
        <v>2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11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0</v>
      </c>
      <c r="K18" s="88" t="s">
        <v>0</v>
      </c>
      <c r="N18">
        <v>17</v>
      </c>
      <c r="O18">
        <f>B22</f>
        <v>1</v>
      </c>
      <c r="P18">
        <f>D22</f>
        <v>3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4</v>
      </c>
      <c r="T18">
        <f t="shared" si="0"/>
        <v>17</v>
      </c>
      <c r="U18">
        <f t="shared" si="1"/>
        <v>0</v>
      </c>
      <c r="V18">
        <f>IF(S18=0,1,0)*N18*'Результаты матчей'!Q18</f>
        <v>0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3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3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1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3</v>
      </c>
      <c r="C21" s="83" t="s">
        <v>13</v>
      </c>
      <c r="D21" s="84">
        <v>2</v>
      </c>
      <c r="E21" s="85" t="s">
        <v>141</v>
      </c>
      <c r="F21" s="9"/>
      <c r="G21" s="83" t="s">
        <v>11</v>
      </c>
      <c r="H21" s="84">
        <v>3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2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6</v>
      </c>
      <c r="T21">
        <f t="shared" si="0"/>
        <v>20</v>
      </c>
      <c r="U21">
        <f t="shared" si="1"/>
        <v>20</v>
      </c>
      <c r="V21">
        <f>IF(S21=0,1,0)*N21*'Результаты матчей'!Q21</f>
        <v>0</v>
      </c>
      <c r="W21">
        <f>IF(S21&lt;6,1,0)*N21*'Результаты матчей'!Q21</f>
        <v>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3</v>
      </c>
      <c r="E22" s="88" t="s">
        <v>145</v>
      </c>
      <c r="F22" s="9"/>
      <c r="G22" s="86" t="s">
        <v>147</v>
      </c>
      <c r="H22" s="87">
        <v>2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1</v>
      </c>
      <c r="P22">
        <f>J23</f>
        <v>2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0</v>
      </c>
      <c r="T22">
        <f t="shared" si="0"/>
        <v>0</v>
      </c>
      <c r="U22">
        <f t="shared" si="1"/>
        <v>0</v>
      </c>
      <c r="V22">
        <f>IF(S22=0,1,0)*N22*'Результаты матчей'!Q22</f>
        <v>21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3</v>
      </c>
      <c r="E23" s="21" t="s">
        <v>144</v>
      </c>
      <c r="F23" s="2"/>
      <c r="G23" s="11" t="s">
        <v>12</v>
      </c>
      <c r="H23" s="82">
        <v>1</v>
      </c>
      <c r="I23" s="11" t="s">
        <v>13</v>
      </c>
      <c r="J23" s="82">
        <v>2</v>
      </c>
      <c r="K23" s="21" t="s">
        <v>143</v>
      </c>
      <c r="N23">
        <v>22</v>
      </c>
      <c r="O23">
        <f>B25</f>
        <v>3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6</v>
      </c>
      <c r="T23">
        <f t="shared" si="0"/>
        <v>22</v>
      </c>
      <c r="U23">
        <f t="shared" si="1"/>
        <v>22</v>
      </c>
      <c r="V23">
        <f>IF(S23=0,1,0)*N23*'Результаты матчей'!Q23</f>
        <v>0</v>
      </c>
      <c r="W23">
        <f>IF(S23&lt;6,1,0)*N23*'Результаты матчей'!Q23</f>
        <v>0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3</v>
      </c>
      <c r="T24">
        <f t="shared" si="0"/>
        <v>23</v>
      </c>
      <c r="U24">
        <f t="shared" si="1"/>
        <v>0</v>
      </c>
      <c r="V24">
        <f>IF(S24=0,1,0)*N24*'Результаты матчей'!Q24</f>
        <v>0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3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2</v>
      </c>
      <c r="I25" s="83" t="s">
        <v>13</v>
      </c>
      <c r="J25" s="84">
        <v>2</v>
      </c>
      <c r="K25" s="85" t="s">
        <v>140</v>
      </c>
      <c r="N25">
        <v>24</v>
      </c>
      <c r="O25">
        <f>B27</f>
        <v>2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2</v>
      </c>
      <c r="P26">
        <f>J25</f>
        <v>2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2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1</v>
      </c>
      <c r="T28">
        <f t="shared" si="0"/>
        <v>27</v>
      </c>
      <c r="U28">
        <f t="shared" si="1"/>
        <v>0</v>
      </c>
      <c r="V28">
        <f>IF(S28=0,1,0)*N28*'Результаты матчей'!Q28</f>
        <v>0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2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3</v>
      </c>
      <c r="K29" s="85" t="s">
        <v>144</v>
      </c>
      <c r="N29">
        <v>28</v>
      </c>
      <c r="O29">
        <f>B30</f>
        <v>1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1</v>
      </c>
      <c r="I30" s="86" t="s">
        <v>13</v>
      </c>
      <c r="J30" s="87">
        <v>4</v>
      </c>
      <c r="K30" s="88" t="s">
        <v>2</v>
      </c>
      <c r="N30">
        <v>29</v>
      </c>
      <c r="O30">
        <f>H29</f>
        <v>1</v>
      </c>
      <c r="P30">
        <f>J29</f>
        <v>3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1</v>
      </c>
      <c r="T30">
        <f t="shared" si="0"/>
        <v>29</v>
      </c>
      <c r="U30">
        <f t="shared" si="1"/>
        <v>0</v>
      </c>
      <c r="V30">
        <f>IF(S30=0,1,0)*N30*'Результаты матчей'!Q30</f>
        <v>0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1</v>
      </c>
      <c r="P31">
        <f>J30</f>
        <v>4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2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1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2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0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224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3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225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3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1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0</v>
      </c>
      <c r="P38">
        <f>D40</f>
        <v>2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4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2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1</v>
      </c>
      <c r="K40" s="85" t="s">
        <v>148</v>
      </c>
      <c r="N40">
        <v>39</v>
      </c>
      <c r="O40">
        <f>B42</f>
        <v>3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1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6</v>
      </c>
      <c r="T41">
        <f t="shared" si="0"/>
        <v>40</v>
      </c>
      <c r="U41">
        <f t="shared" si="1"/>
        <v>40</v>
      </c>
      <c r="V41">
        <f>IF(S41=0,1,0)*N41*'Результаты матчей'!Q41</f>
        <v>0</v>
      </c>
      <c r="W41">
        <f>IF(S41&lt;6,1,0)*N41*'Результаты матчей'!Q41</f>
        <v>0</v>
      </c>
    </row>
    <row r="42" spans="1:24" ht="12.75" customHeight="1">
      <c r="A42" s="11" t="s">
        <v>66</v>
      </c>
      <c r="B42" s="82">
        <v>3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2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2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2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1</v>
      </c>
      <c r="T44">
        <f t="shared" si="0"/>
        <v>43</v>
      </c>
      <c r="U44">
        <f t="shared" si="1"/>
        <v>0</v>
      </c>
      <c r="V44">
        <f>IF(S44=0,1,0)*N44*'Результаты матчей'!Q44</f>
        <v>0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2</v>
      </c>
      <c r="P46">
        <f>D49</f>
        <v>3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2</v>
      </c>
      <c r="P47">
        <f>J49</f>
        <v>3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3</v>
      </c>
      <c r="T48">
        <f t="shared" si="0"/>
        <v>47</v>
      </c>
      <c r="U48">
        <f t="shared" si="1"/>
        <v>0</v>
      </c>
      <c r="V48">
        <f>IF(S48=0,1,0)*N48*'Результаты матчей'!Q48</f>
        <v>0</v>
      </c>
      <c r="W48">
        <f>IF(S48&lt;6,1,0)*N48*'Результаты матчей'!Q48</f>
        <v>47</v>
      </c>
    </row>
    <row r="49" spans="1:23">
      <c r="A49" s="11" t="s">
        <v>144</v>
      </c>
      <c r="B49" s="82">
        <v>2</v>
      </c>
      <c r="C49" s="11" t="s">
        <v>13</v>
      </c>
      <c r="D49" s="82">
        <v>3</v>
      </c>
      <c r="E49" s="21" t="s">
        <v>1</v>
      </c>
      <c r="F49" s="2"/>
      <c r="G49" s="11" t="s">
        <v>141</v>
      </c>
      <c r="H49" s="82">
        <v>2</v>
      </c>
      <c r="I49" s="11" t="s">
        <v>13</v>
      </c>
      <c r="J49" s="82">
        <v>3</v>
      </c>
      <c r="K49" s="21" t="s">
        <v>67</v>
      </c>
      <c r="N49">
        <v>48</v>
      </c>
      <c r="O49">
        <f>H51</f>
        <v>2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2</v>
      </c>
      <c r="P52">
        <f>H61</f>
        <v>3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2</v>
      </c>
      <c r="E61" s="83" t="s">
        <v>1</v>
      </c>
      <c r="F61" s="83" t="s">
        <v>13</v>
      </c>
      <c r="G61" s="85" t="s">
        <v>10</v>
      </c>
      <c r="H61" s="84">
        <v>3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11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21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0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1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121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6</v>
      </c>
      <c r="T3">
        <f t="shared" ref="T3:T52" si="0">IF(S3&gt;0,1,0)*N3</f>
        <v>2</v>
      </c>
      <c r="U3">
        <f t="shared" ref="U3:U52" si="1">IF(S3&gt;5,1,0)*N3</f>
        <v>2</v>
      </c>
      <c r="V3">
        <f>IF(S3=0,1,0)*N3*'Результаты матчей'!Q3</f>
        <v>0</v>
      </c>
      <c r="W3">
        <f>IF(S3&lt;6,1,0)*N3*'Результаты матчей'!Q3</f>
        <v>0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0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1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6</v>
      </c>
      <c r="T7">
        <f t="shared" si="0"/>
        <v>6</v>
      </c>
      <c r="U7">
        <f t="shared" si="1"/>
        <v>6</v>
      </c>
      <c r="V7">
        <f>IF(S7=0,1,0)*N7*'Результаты матчей'!Q7</f>
        <v>0</v>
      </c>
      <c r="W7">
        <f>IF(S7&lt;6,1,0)*N7*'Результаты матчей'!Q7</f>
        <v>0</v>
      </c>
      <c r="X7" s="129" t="s">
        <v>159</v>
      </c>
      <c r="Y7" s="87">
        <v>4</v>
      </c>
      <c r="Z7" s="130">
        <v>103</v>
      </c>
      <c r="AA7" s="131">
        <v>4</v>
      </c>
      <c r="AB7" s="58">
        <v>65</v>
      </c>
      <c r="AC7" s="131">
        <v>1</v>
      </c>
      <c r="AD7" s="58">
        <v>38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3</v>
      </c>
      <c r="C9" s="83" t="s">
        <v>13</v>
      </c>
      <c r="D9" s="84">
        <v>1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1</v>
      </c>
      <c r="K9" s="85" t="s">
        <v>0</v>
      </c>
      <c r="N9">
        <v>8</v>
      </c>
      <c r="O9">
        <f>H13</f>
        <v>3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0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0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IFERROR((AB10*64+AA10*SUM('Результаты матчей'!Q2:Q52))/(64+SUM('Результаты матчей'!Q2:Q52)),(AB10*64)/64)</f>
        <v>1.4086956521739131</v>
      </c>
      <c r="AA10" s="133">
        <f>IFERROR(SUM(S2:S52)/SUM('Результаты матчей'!Q2:Q52),"-")</f>
        <v>1.1568627450980393</v>
      </c>
      <c r="AB10" s="134">
        <f>103/64</f>
        <v>1.609375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226</v>
      </c>
      <c r="Z13" s="26"/>
      <c r="AA13" s="27"/>
      <c r="AB13" s="27"/>
    </row>
    <row r="14" spans="1:31">
      <c r="A14" s="86" t="s">
        <v>144</v>
      </c>
      <c r="B14" s="87">
        <v>1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1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4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2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12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1</v>
      </c>
      <c r="K19" s="21" t="s">
        <v>140</v>
      </c>
      <c r="N19">
        <v>18</v>
      </c>
      <c r="O19">
        <f>B23</f>
        <v>2</v>
      </c>
      <c r="P19">
        <f>D23</f>
        <v>0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0</v>
      </c>
      <c r="T20">
        <f t="shared" si="0"/>
        <v>0</v>
      </c>
      <c r="U20">
        <f t="shared" si="1"/>
        <v>0</v>
      </c>
      <c r="V20">
        <f>IF(S20=0,1,0)*N20*'Результаты матчей'!Q20</f>
        <v>19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2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0</v>
      </c>
      <c r="I25" s="83" t="s">
        <v>13</v>
      </c>
      <c r="J25" s="84">
        <v>0</v>
      </c>
      <c r="K25" s="85" t="s">
        <v>140</v>
      </c>
      <c r="N25">
        <v>24</v>
      </c>
      <c r="O25">
        <f>B27</f>
        <v>2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0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0</v>
      </c>
      <c r="P26">
        <f>J25</f>
        <v>0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0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0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1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1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0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226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1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0</v>
      </c>
      <c r="P35">
        <f>D35</f>
        <v>1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227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6</v>
      </c>
      <c r="T37">
        <f t="shared" si="0"/>
        <v>36</v>
      </c>
      <c r="U37">
        <f t="shared" si="1"/>
        <v>36</v>
      </c>
      <c r="V37">
        <f>IF(S37=0,1,0)*N37*'Результаты матчей'!Q37</f>
        <v>0</v>
      </c>
      <c r="W37">
        <f>IF(S37&lt;6,1,0)*N37*'Результаты матчей'!Q37</f>
        <v>0</v>
      </c>
    </row>
    <row r="38" spans="1:24" ht="12.75" customHeight="1">
      <c r="N38">
        <v>37</v>
      </c>
      <c r="O38">
        <f>B40</f>
        <v>0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1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6</v>
      </c>
      <c r="T39">
        <f t="shared" si="0"/>
        <v>38</v>
      </c>
      <c r="U39">
        <f t="shared" si="1"/>
        <v>38</v>
      </c>
      <c r="V39">
        <f>IF(S39=0,1,0)*N39*'Результаты матчей'!Q39</f>
        <v>0</v>
      </c>
      <c r="W39">
        <f>IF(S39&lt;6,1,0)*N39*'Результаты матчей'!Q39</f>
        <v>0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0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6</v>
      </c>
      <c r="T40">
        <f t="shared" si="0"/>
        <v>39</v>
      </c>
      <c r="U40">
        <f t="shared" si="1"/>
        <v>39</v>
      </c>
      <c r="V40">
        <f>IF(S40=0,1,0)*N40*'Результаты матчей'!Q40</f>
        <v>0</v>
      </c>
      <c r="W40">
        <f>IF(S40&lt;6,1,0)*N40*'Результаты матчей'!Q40</f>
        <v>0</v>
      </c>
    </row>
    <row r="41" spans="1:24" ht="12.75" customHeight="1">
      <c r="A41" s="86" t="s">
        <v>141</v>
      </c>
      <c r="B41" s="87">
        <v>1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0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0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0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0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0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0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3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0</v>
      </c>
      <c r="E51" s="85" t="s">
        <v>11</v>
      </c>
      <c r="F51" s="9"/>
      <c r="G51" s="83" t="s">
        <v>10</v>
      </c>
      <c r="H51" s="84">
        <v>3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0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0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0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0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9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18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228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6</v>
      </c>
      <c r="T3">
        <f t="shared" ref="T3:T52" si="0">IF(S3&gt;0,1,0)*N3</f>
        <v>2</v>
      </c>
      <c r="U3">
        <f t="shared" ref="U3:U52" si="1">IF(S3&gt;5,1,0)*N3</f>
        <v>2</v>
      </c>
      <c r="V3">
        <f>IF(S3=0,1,0)*N3*'Результаты матчей'!Q3</f>
        <v>0</v>
      </c>
      <c r="W3">
        <f>IF(S3&lt;6,1,0)*N3*'Результаты матчей'!Q3</f>
        <v>0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141" t="s">
        <v>36</v>
      </c>
      <c r="G4" s="4"/>
      <c r="H4" s="1"/>
      <c r="N4">
        <v>3</v>
      </c>
      <c r="O4">
        <f>H10</f>
        <v>0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1</v>
      </c>
      <c r="Z4" s="126">
        <v>52</v>
      </c>
      <c r="AA4" s="127">
        <v>1</v>
      </c>
      <c r="AB4" s="128">
        <v>44</v>
      </c>
      <c r="AC4" s="127">
        <v>2</v>
      </c>
      <c r="AD4" s="128">
        <v>8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2</v>
      </c>
      <c r="Z5" s="130">
        <v>100.8</v>
      </c>
      <c r="AA5" s="131">
        <v>8</v>
      </c>
      <c r="AB5" s="58">
        <v>52</v>
      </c>
      <c r="AC5" s="131">
        <v>1</v>
      </c>
      <c r="AD5" s="58">
        <v>32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9</v>
      </c>
      <c r="Z6" s="130">
        <v>42</v>
      </c>
      <c r="AA6" s="131">
        <v>6</v>
      </c>
      <c r="AB6" s="58">
        <v>32</v>
      </c>
      <c r="AC6" s="131">
        <v>5</v>
      </c>
      <c r="AD6" s="58">
        <v>10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2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>
        <v>13</v>
      </c>
      <c r="Z7" s="130">
        <v>72</v>
      </c>
      <c r="AA7" s="131">
        <v>11</v>
      </c>
      <c r="AB7" s="58">
        <v>54</v>
      </c>
      <c r="AC7" s="131">
        <v>12</v>
      </c>
      <c r="AD7" s="58">
        <v>18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4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1</v>
      </c>
      <c r="K9" s="85" t="s">
        <v>0</v>
      </c>
      <c r="N9">
        <v>8</v>
      </c>
      <c r="O9">
        <f>H13</f>
        <v>3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0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1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6</v>
      </c>
      <c r="T10">
        <f t="shared" si="0"/>
        <v>9</v>
      </c>
      <c r="U10">
        <f t="shared" si="1"/>
        <v>9</v>
      </c>
      <c r="V10">
        <f>IF(S10=0,1,0)*N10*'Результаты матчей'!Q10</f>
        <v>0</v>
      </c>
      <c r="W10">
        <f>IF(S10&lt;6,1,0)*N10*'Результаты матчей'!Q10</f>
        <v>0</v>
      </c>
      <c r="X10" s="124"/>
      <c r="Y10" s="124" t="s">
        <v>92</v>
      </c>
      <c r="Z10" s="132">
        <f>IFERROR((AE10*31+AD10*64+AC10*31+AB10*63+AA10*SUM('Результаты матчей'!Q2:Q52))/(31+64+31+63+SUM('Результаты матчей'!Q2:Q52)),(AE10*31+AD10*64+AC10*31+AB10*63)/(31+64+31+63))</f>
        <v>1.3333333333333333</v>
      </c>
      <c r="AA10" s="133">
        <f>IFERROR(SUM(S2:S52)/SUM('Результаты матчей'!Q2:Q52),"-")</f>
        <v>1.3725490196078431</v>
      </c>
      <c r="AB10" s="134">
        <f>72/63</f>
        <v>1.1428571428571428</v>
      </c>
      <c r="AC10" s="134">
        <f>42/31</f>
        <v>1.3548387096774193</v>
      </c>
      <c r="AD10" s="134">
        <f>84/64</f>
        <v>1.3125</v>
      </c>
      <c r="AE10" s="134">
        <f>52/31</f>
        <v>1.6774193548387097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1</v>
      </c>
      <c r="P11">
        <f>J15</f>
        <v>0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229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2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2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0</v>
      </c>
      <c r="K15" s="21" t="s">
        <v>11</v>
      </c>
      <c r="N15">
        <v>14</v>
      </c>
      <c r="O15">
        <f>H18</f>
        <v>0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4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3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1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3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22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4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3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1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3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2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6</v>
      </c>
      <c r="T21">
        <f t="shared" si="0"/>
        <v>20</v>
      </c>
      <c r="U21">
        <f t="shared" si="1"/>
        <v>20</v>
      </c>
      <c r="V21">
        <f>IF(S21=0,1,0)*N21*'Результаты матчей'!Q21</f>
        <v>0</v>
      </c>
      <c r="W21">
        <f>IF(S21&lt;6,1,0)*N21*'Результаты матчей'!Q21</f>
        <v>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2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4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4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3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4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3</v>
      </c>
      <c r="T24">
        <f t="shared" si="0"/>
        <v>23</v>
      </c>
      <c r="U24">
        <f t="shared" si="1"/>
        <v>0</v>
      </c>
      <c r="V24">
        <f>IF(S24=0,1,0)*N24*'Результаты матчей'!Q24</f>
        <v>0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0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0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0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1</v>
      </c>
      <c r="T28">
        <f t="shared" si="0"/>
        <v>27</v>
      </c>
      <c r="U28">
        <f t="shared" si="1"/>
        <v>0</v>
      </c>
      <c r="V28">
        <f>IF(S28=0,1,0)*N28*'Результаты матчей'!Q28</f>
        <v>0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0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0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1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3</v>
      </c>
      <c r="T29">
        <f t="shared" si="0"/>
        <v>28</v>
      </c>
      <c r="U29">
        <f t="shared" si="1"/>
        <v>0</v>
      </c>
      <c r="V29">
        <f>IF(S29=0,1,0)*N29*'Результаты матчей'!Q29</f>
        <v>0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0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6</v>
      </c>
      <c r="T30">
        <f t="shared" si="0"/>
        <v>29</v>
      </c>
      <c r="U30">
        <f t="shared" si="1"/>
        <v>29</v>
      </c>
      <c r="V30">
        <f>IF(S30=0,1,0)*N30*'Результаты матчей'!Q30</f>
        <v>0</v>
      </c>
      <c r="W30">
        <f>IF(S30&lt;6,1,0)*N30*'Результаты матчей'!Q30</f>
        <v>0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0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3</v>
      </c>
      <c r="K32" s="21" t="s">
        <v>12</v>
      </c>
      <c r="N32">
        <v>31</v>
      </c>
      <c r="O32">
        <f>H31</f>
        <v>1</v>
      </c>
      <c r="P32">
        <f>J31</f>
        <v>0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3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3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4</v>
      </c>
      <c r="T34">
        <f t="shared" si="0"/>
        <v>33</v>
      </c>
      <c r="U34">
        <f t="shared" si="1"/>
        <v>0</v>
      </c>
      <c r="V34">
        <f>IF(S34=0,1,0)*N34*'Результаты матчей'!Q34</f>
        <v>0</v>
      </c>
      <c r="W34">
        <f>IF(S34&lt;6,1,0)*N34*'Результаты матчей'!Q34</f>
        <v>33</v>
      </c>
      <c r="X34" s="27" t="s">
        <v>230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1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4</v>
      </c>
      <c r="K35" s="88" t="s">
        <v>67</v>
      </c>
      <c r="N35">
        <v>34</v>
      </c>
      <c r="O35">
        <f>B35</f>
        <v>1</v>
      </c>
      <c r="P35">
        <f>D35</f>
        <v>1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3</v>
      </c>
      <c r="T35">
        <f t="shared" si="0"/>
        <v>34</v>
      </c>
      <c r="U35">
        <f t="shared" si="1"/>
        <v>0</v>
      </c>
      <c r="V35">
        <f>IF(S35=0,1,0)*N35*'Результаты матчей'!Q35</f>
        <v>0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3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231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4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1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0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3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3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10</v>
      </c>
      <c r="I41" s="86" t="s">
        <v>13</v>
      </c>
      <c r="J41" s="87">
        <v>8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10</v>
      </c>
      <c r="P42">
        <f>J41</f>
        <v>8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0</v>
      </c>
      <c r="I44" s="83" t="s">
        <v>13</v>
      </c>
      <c r="J44" s="84">
        <v>1</v>
      </c>
      <c r="K44" s="85" t="s">
        <v>152</v>
      </c>
      <c r="N44">
        <v>43</v>
      </c>
      <c r="O44">
        <f>B44</f>
        <v>1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0</v>
      </c>
      <c r="P45">
        <f>J44</f>
        <v>1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4</v>
      </c>
      <c r="T45">
        <f t="shared" si="0"/>
        <v>44</v>
      </c>
      <c r="U45">
        <f t="shared" si="1"/>
        <v>0</v>
      </c>
      <c r="V45">
        <f>IF(S45=0,1,0)*N45*'Результаты матчей'!Q45</f>
        <v>0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0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2</v>
      </c>
      <c r="P47">
        <f>J49</f>
        <v>4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3</v>
      </c>
      <c r="T48">
        <f t="shared" si="0"/>
        <v>47</v>
      </c>
      <c r="U48">
        <f t="shared" si="1"/>
        <v>0</v>
      </c>
      <c r="V48">
        <f>IF(S48=0,1,0)*N48*'Результаты матчей'!Q48</f>
        <v>0</v>
      </c>
      <c r="W48">
        <f>IF(S48&lt;6,1,0)*N48*'Результаты матчей'!Q48</f>
        <v>47</v>
      </c>
    </row>
    <row r="49" spans="1:23">
      <c r="A49" s="11" t="s">
        <v>144</v>
      </c>
      <c r="B49" s="82">
        <v>0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2</v>
      </c>
      <c r="I49" s="11" t="s">
        <v>13</v>
      </c>
      <c r="J49" s="82">
        <v>4</v>
      </c>
      <c r="K49" s="21" t="s">
        <v>67</v>
      </c>
      <c r="N49">
        <v>48</v>
      </c>
      <c r="O49">
        <f>H51</f>
        <v>2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1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1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7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16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0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0</v>
      </c>
      <c r="T2">
        <f>IF(S2&gt;0,1,0)*N2</f>
        <v>0</v>
      </c>
      <c r="U2">
        <f>IF(S2&gt;5,1,0)*N2</f>
        <v>0</v>
      </c>
      <c r="V2">
        <f>IF(S2=0,1,0)*N2*'Результаты матчей'!Q2</f>
        <v>1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18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0" t="s">
        <v>88</v>
      </c>
      <c r="Z3" s="140" t="s">
        <v>16</v>
      </c>
      <c r="AA3" s="140" t="s">
        <v>88</v>
      </c>
      <c r="AB3" s="140" t="s">
        <v>16</v>
      </c>
      <c r="AC3" s="140" t="s">
        <v>88</v>
      </c>
      <c r="AD3" s="140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0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2</v>
      </c>
      <c r="Z4" s="126">
        <v>47</v>
      </c>
      <c r="AA4" s="127">
        <v>8</v>
      </c>
      <c r="AB4" s="128">
        <v>27</v>
      </c>
      <c r="AC4" s="127">
        <v>1</v>
      </c>
      <c r="AD4" s="128">
        <v>20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3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4</v>
      </c>
      <c r="Z5" s="130">
        <v>85</v>
      </c>
      <c r="AA5" s="131">
        <v>2</v>
      </c>
      <c r="AB5" s="58">
        <v>62</v>
      </c>
      <c r="AC5" s="131">
        <v>6</v>
      </c>
      <c r="AD5" s="58">
        <v>23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3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>
        <v>6</v>
      </c>
      <c r="Z6" s="130">
        <v>45</v>
      </c>
      <c r="AA6" s="131">
        <v>5</v>
      </c>
      <c r="AB6" s="58">
        <v>39</v>
      </c>
      <c r="AC6" s="131">
        <v>9</v>
      </c>
      <c r="AD6" s="58">
        <v>6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1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>
        <v>14</v>
      </c>
      <c r="Z7" s="130">
        <v>67</v>
      </c>
      <c r="AA7" s="131">
        <v>8</v>
      </c>
      <c r="AB7" s="58">
        <v>59</v>
      </c>
      <c r="AC7" s="131">
        <v>14</v>
      </c>
      <c r="AD7" s="58">
        <v>8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0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2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0</v>
      </c>
      <c r="T9">
        <f t="shared" si="0"/>
        <v>0</v>
      </c>
      <c r="U9">
        <f t="shared" si="1"/>
        <v>0</v>
      </c>
      <c r="V9">
        <f>IF(S9=0,1,0)*N9*'Результаты матчей'!Q9</f>
        <v>8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0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1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1.2489626556016598</v>
      </c>
      <c r="AA10" s="133">
        <f>IFERROR(SUM(S2:S52)/SUM('Результаты матчей'!Q2:Q52),"-")</f>
        <v>1.1176470588235294</v>
      </c>
      <c r="AB10" s="134">
        <f>67/64</f>
        <v>1.046875</v>
      </c>
      <c r="AC10" s="134">
        <f>45/31</f>
        <v>1.4516129032258065</v>
      </c>
      <c r="AD10" s="134">
        <f>85/64</f>
        <v>1.328125</v>
      </c>
      <c r="AE10" s="134">
        <f>47/31</f>
        <v>1.5161290322580645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3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3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2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1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1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4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6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3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1</v>
      </c>
      <c r="K19" s="21" t="s">
        <v>140</v>
      </c>
      <c r="N19">
        <v>18</v>
      </c>
      <c r="O19">
        <f>B23</f>
        <v>3</v>
      </c>
      <c r="P19">
        <f>D23</f>
        <v>0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3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1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3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2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3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2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1</v>
      </c>
      <c r="P22">
        <f>J23</f>
        <v>2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0</v>
      </c>
      <c r="T22">
        <f t="shared" si="0"/>
        <v>0</v>
      </c>
      <c r="U22">
        <f t="shared" si="1"/>
        <v>0</v>
      </c>
      <c r="V22">
        <f>IF(S22=0,1,0)*N22*'Результаты матчей'!Q22</f>
        <v>21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3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1</v>
      </c>
      <c r="I23" s="11" t="s">
        <v>13</v>
      </c>
      <c r="J23" s="82">
        <v>2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1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6</v>
      </c>
      <c r="T24">
        <f t="shared" si="0"/>
        <v>23</v>
      </c>
      <c r="U24">
        <f t="shared" si="1"/>
        <v>23</v>
      </c>
      <c r="V24">
        <f>IF(S24=0,1,0)*N24*'Результаты матчей'!Q24</f>
        <v>0</v>
      </c>
      <c r="W24">
        <f>IF(S24&lt;6,1,0)*N24*'Результаты матчей'!Q24</f>
        <v>0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2</v>
      </c>
      <c r="I25" s="83" t="s">
        <v>13</v>
      </c>
      <c r="J25" s="84">
        <v>2</v>
      </c>
      <c r="K25" s="85" t="s">
        <v>140</v>
      </c>
      <c r="N25">
        <v>24</v>
      </c>
      <c r="O25">
        <f>B27</f>
        <v>0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6</v>
      </c>
      <c r="T25">
        <f t="shared" si="0"/>
        <v>24</v>
      </c>
      <c r="U25">
        <f t="shared" si="1"/>
        <v>24</v>
      </c>
      <c r="V25">
        <f>IF(S25=0,1,0)*N25*'Результаты матчей'!Q25</f>
        <v>0</v>
      </c>
      <c r="W25">
        <f>IF(S25&lt;6,1,0)*N25*'Результаты матчей'!Q25</f>
        <v>0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1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3</v>
      </c>
      <c r="K26" s="88" t="s">
        <v>10</v>
      </c>
      <c r="N26">
        <v>25</v>
      </c>
      <c r="O26">
        <f>H25</f>
        <v>2</v>
      </c>
      <c r="P26">
        <f>J25</f>
        <v>2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0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3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2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2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3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1</v>
      </c>
      <c r="P29">
        <f>D30</f>
        <v>3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3</v>
      </c>
      <c r="E30" s="88" t="s">
        <v>21</v>
      </c>
      <c r="F30" s="9"/>
      <c r="G30" s="86" t="s">
        <v>145</v>
      </c>
      <c r="H30" s="87">
        <v>1</v>
      </c>
      <c r="I30" s="86" t="s">
        <v>13</v>
      </c>
      <c r="J30" s="87">
        <v>4</v>
      </c>
      <c r="K30" s="88" t="s">
        <v>2</v>
      </c>
      <c r="N30">
        <v>29</v>
      </c>
      <c r="O30">
        <f>H29</f>
        <v>3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2</v>
      </c>
      <c r="I31" s="86" t="s">
        <v>13</v>
      </c>
      <c r="J31" s="87">
        <v>3</v>
      </c>
      <c r="K31" s="88" t="s">
        <v>143</v>
      </c>
      <c r="N31">
        <v>30</v>
      </c>
      <c r="O31">
        <f>H30</f>
        <v>1</v>
      </c>
      <c r="P31">
        <f>J30</f>
        <v>4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3</v>
      </c>
      <c r="K32" s="21" t="s">
        <v>12</v>
      </c>
      <c r="N32">
        <v>31</v>
      </c>
      <c r="O32">
        <f>H31</f>
        <v>2</v>
      </c>
      <c r="P32">
        <f>J31</f>
        <v>3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3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3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3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232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3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0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233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3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6</v>
      </c>
      <c r="T38">
        <f t="shared" si="0"/>
        <v>37</v>
      </c>
      <c r="U38">
        <f t="shared" si="1"/>
        <v>37</v>
      </c>
      <c r="V38">
        <f>IF(S38=0,1,0)*N38*'Результаты матчей'!Q38</f>
        <v>0</v>
      </c>
      <c r="W38">
        <f>IF(S38&lt;6,1,0)*N38*'Результаты матчей'!Q38</f>
        <v>0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1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6</v>
      </c>
      <c r="T39">
        <f t="shared" si="0"/>
        <v>38</v>
      </c>
      <c r="U39">
        <f t="shared" si="1"/>
        <v>38</v>
      </c>
      <c r="V39">
        <f>IF(S39=0,1,0)*N39*'Результаты матчей'!Q39</f>
        <v>0</v>
      </c>
      <c r="W39">
        <f>IF(S39&lt;6,1,0)*N39*'Результаты матчей'!Q39</f>
        <v>0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4</v>
      </c>
      <c r="I40" s="83" t="s">
        <v>13</v>
      </c>
      <c r="J40" s="84">
        <v>1</v>
      </c>
      <c r="K40" s="85" t="s">
        <v>148</v>
      </c>
      <c r="N40">
        <v>39</v>
      </c>
      <c r="O40">
        <f>B42</f>
        <v>0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1</v>
      </c>
      <c r="T40">
        <f t="shared" si="0"/>
        <v>39</v>
      </c>
      <c r="U40">
        <f t="shared" si="1"/>
        <v>0</v>
      </c>
      <c r="V40">
        <f>IF(S40=0,1,0)*N40*'Результаты матчей'!Q40</f>
        <v>0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1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4</v>
      </c>
      <c r="P41">
        <f>J40</f>
        <v>1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0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0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0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2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2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6</v>
      </c>
      <c r="T46">
        <f t="shared" si="0"/>
        <v>45</v>
      </c>
      <c r="U46">
        <f t="shared" si="1"/>
        <v>45</v>
      </c>
      <c r="V46">
        <f>IF(S46=0,1,0)*N46*'Результаты матчей'!Q46</f>
        <v>0</v>
      </c>
      <c r="W46">
        <f>IF(S46&lt;6,1,0)*N46*'Результаты матчей'!Q46</f>
        <v>0</v>
      </c>
    </row>
    <row r="47" spans="1:24">
      <c r="N47">
        <v>46</v>
      </c>
      <c r="O47">
        <f>H49</f>
        <v>0</v>
      </c>
      <c r="P47">
        <f>J49</f>
        <v>1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0</v>
      </c>
      <c r="I49" s="11" t="s">
        <v>13</v>
      </c>
      <c r="J49" s="82">
        <v>1</v>
      </c>
      <c r="K49" s="21" t="s">
        <v>67</v>
      </c>
      <c r="N49">
        <v>48</v>
      </c>
      <c r="O49">
        <f>H51</f>
        <v>3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4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3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3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3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68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5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14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1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4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234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2" t="s">
        <v>88</v>
      </c>
      <c r="Z3" s="142" t="s">
        <v>16</v>
      </c>
      <c r="AA3" s="142" t="s">
        <v>88</v>
      </c>
      <c r="AB3" s="142" t="s">
        <v>16</v>
      </c>
      <c r="AC3" s="142" t="s">
        <v>88</v>
      </c>
      <c r="AD3" s="142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5</v>
      </c>
      <c r="Z4" s="126">
        <v>41</v>
      </c>
      <c r="AA4" s="127">
        <v>5</v>
      </c>
      <c r="AB4" s="128">
        <v>33</v>
      </c>
      <c r="AC4" s="127">
        <v>4</v>
      </c>
      <c r="AD4" s="128">
        <v>8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6</v>
      </c>
      <c r="T5">
        <f t="shared" si="0"/>
        <v>4</v>
      </c>
      <c r="U5">
        <f t="shared" si="1"/>
        <v>4</v>
      </c>
      <c r="V5">
        <f>IF(S5=0,1,0)*N5*'Результаты матчей'!Q5</f>
        <v>0</v>
      </c>
      <c r="W5">
        <f>IF(S5&lt;6,1,0)*N5*'Результаты матчей'!Q5</f>
        <v>0</v>
      </c>
      <c r="X5" s="129" t="s">
        <v>90</v>
      </c>
      <c r="Y5" s="87">
        <v>5</v>
      </c>
      <c r="Z5" s="130">
        <v>77</v>
      </c>
      <c r="AA5" s="131">
        <v>4</v>
      </c>
      <c r="AB5" s="58">
        <v>60</v>
      </c>
      <c r="AC5" s="131">
        <v>11</v>
      </c>
      <c r="AD5" s="58">
        <v>17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3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1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11</v>
      </c>
      <c r="Z6" s="130">
        <v>31</v>
      </c>
      <c r="AA6" s="131">
        <v>11</v>
      </c>
      <c r="AB6" s="58">
        <v>23</v>
      </c>
      <c r="AC6" s="131">
        <v>8</v>
      </c>
      <c r="AD6" s="58">
        <v>8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2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>
        <v>9</v>
      </c>
      <c r="Z7" s="130">
        <v>74</v>
      </c>
      <c r="AA7" s="131">
        <v>7</v>
      </c>
      <c r="AB7" s="58">
        <v>59</v>
      </c>
      <c r="AC7" s="131">
        <v>13</v>
      </c>
      <c r="AD7" s="58">
        <v>15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1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1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6</v>
      </c>
      <c r="T9">
        <f t="shared" si="0"/>
        <v>8</v>
      </c>
      <c r="U9">
        <f t="shared" si="1"/>
        <v>8</v>
      </c>
      <c r="V9">
        <f>IF(S9=0,1,0)*N9*'Результаты матчей'!Q9</f>
        <v>0</v>
      </c>
      <c r="W9">
        <f>IF(S9&lt;6,1,0)*N9*'Результаты матчей'!Q9</f>
        <v>0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0</v>
      </c>
      <c r="P10">
        <f>J14</f>
        <v>0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3</v>
      </c>
      <c r="T10">
        <f t="shared" si="0"/>
        <v>9</v>
      </c>
      <c r="U10">
        <f t="shared" si="1"/>
        <v>0</v>
      </c>
      <c r="V10">
        <f>IF(S10=0,1,0)*N10*'Результаты матчей'!Q10</f>
        <v>0</v>
      </c>
      <c r="W10">
        <f>IF(S10&lt;6,1,0)*N10*'Результаты матчей'!Q10</f>
        <v>9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1.2904564315352698</v>
      </c>
      <c r="AA10" s="133">
        <f>IFERROR(SUM(S2:S52)/SUM('Результаты матчей'!Q2:Q52),"-")</f>
        <v>1.7254901960784315</v>
      </c>
      <c r="AB10" s="134">
        <f>74/64</f>
        <v>1.15625</v>
      </c>
      <c r="AC10" s="134">
        <f>31/31</f>
        <v>1</v>
      </c>
      <c r="AD10" s="134">
        <f>77/64</f>
        <v>1.203125</v>
      </c>
      <c r="AE10" s="134">
        <f>41/31</f>
        <v>1.3225806451612903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2</v>
      </c>
      <c r="P11">
        <f>J15</f>
        <v>2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4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1</v>
      </c>
      <c r="T12">
        <f t="shared" si="0"/>
        <v>11</v>
      </c>
      <c r="U12">
        <f t="shared" si="1"/>
        <v>0</v>
      </c>
      <c r="V12">
        <f>IF(S12=0,1,0)*N12*'Результаты матчей'!Q12</f>
        <v>0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3</v>
      </c>
      <c r="E13" s="85" t="s">
        <v>66</v>
      </c>
      <c r="F13" s="11"/>
      <c r="G13" s="83" t="s">
        <v>12</v>
      </c>
      <c r="H13" s="84">
        <v>1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3</v>
      </c>
      <c r="P13">
        <f>D18</f>
        <v>3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3</v>
      </c>
      <c r="T13">
        <f t="shared" si="0"/>
        <v>12</v>
      </c>
      <c r="U13">
        <f t="shared" si="1"/>
        <v>0</v>
      </c>
      <c r="V13">
        <f>IF(S13=0,1,0)*N13*'Результаты матчей'!Q13</f>
        <v>0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2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0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2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4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2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4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3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1</v>
      </c>
      <c r="P18">
        <f>D22</f>
        <v>2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1</v>
      </c>
      <c r="T18">
        <f t="shared" si="0"/>
        <v>17</v>
      </c>
      <c r="U18">
        <f t="shared" si="1"/>
        <v>0</v>
      </c>
      <c r="V18">
        <f>IF(S18=0,1,0)*N18*'Результаты матчей'!Q18</f>
        <v>0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1</v>
      </c>
      <c r="P19">
        <f>D23</f>
        <v>2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6</v>
      </c>
      <c r="T20">
        <f t="shared" si="0"/>
        <v>19</v>
      </c>
      <c r="U20">
        <f t="shared" si="1"/>
        <v>19</v>
      </c>
      <c r="V20">
        <f>IF(S20=0,1,0)*N20*'Результаты матчей'!Q20</f>
        <v>0</v>
      </c>
      <c r="W20">
        <f>IF(S20&lt;6,1,0)*N20*'Результаты матчей'!Q20</f>
        <v>0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2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2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1</v>
      </c>
      <c r="C23" s="11" t="s">
        <v>13</v>
      </c>
      <c r="D23" s="82">
        <v>2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2</v>
      </c>
      <c r="P23">
        <f>D25</f>
        <v>2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0</v>
      </c>
      <c r="T23">
        <f t="shared" si="0"/>
        <v>0</v>
      </c>
      <c r="U23">
        <f t="shared" si="1"/>
        <v>0</v>
      </c>
      <c r="V23">
        <f>IF(S23=0,1,0)*N23*'Результаты матчей'!Q23</f>
        <v>22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2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2</v>
      </c>
      <c r="E25" s="85" t="s">
        <v>148</v>
      </c>
      <c r="F25" s="9"/>
      <c r="G25" s="83" t="s">
        <v>139</v>
      </c>
      <c r="H25" s="84">
        <v>2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1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2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1</v>
      </c>
      <c r="K26" s="88" t="s">
        <v>10</v>
      </c>
      <c r="N26">
        <v>25</v>
      </c>
      <c r="O26">
        <f>H25</f>
        <v>2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1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3</v>
      </c>
      <c r="T27">
        <f t="shared" si="0"/>
        <v>26</v>
      </c>
      <c r="U27">
        <f t="shared" si="1"/>
        <v>0</v>
      </c>
      <c r="V27">
        <f>IF(S27=0,1,0)*N27*'Результаты матчей'!Q27</f>
        <v>0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1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1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0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1</v>
      </c>
      <c r="K32" s="21" t="s">
        <v>12</v>
      </c>
      <c r="N32">
        <v>31</v>
      </c>
      <c r="O32">
        <f>H31</f>
        <v>1</v>
      </c>
      <c r="P32">
        <f>J31</f>
        <v>0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1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3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3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1</v>
      </c>
      <c r="T34">
        <f t="shared" si="0"/>
        <v>33</v>
      </c>
      <c r="U34">
        <f t="shared" si="1"/>
        <v>0</v>
      </c>
      <c r="V34">
        <f>IF(S34=0,1,0)*N34*'Результаты матчей'!Q34</f>
        <v>0</v>
      </c>
      <c r="W34">
        <f>IF(S34&lt;6,1,0)*N34*'Результаты матчей'!Q34</f>
        <v>33</v>
      </c>
      <c r="X34" s="27" t="s">
        <v>235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236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6</v>
      </c>
      <c r="T37">
        <f t="shared" si="0"/>
        <v>36</v>
      </c>
      <c r="U37">
        <f t="shared" si="1"/>
        <v>36</v>
      </c>
      <c r="V37">
        <f>IF(S37=0,1,0)*N37*'Результаты матчей'!Q37</f>
        <v>0</v>
      </c>
      <c r="W37">
        <f>IF(S37&lt;6,1,0)*N37*'Результаты матчей'!Q37</f>
        <v>0</v>
      </c>
    </row>
    <row r="38" spans="1:24" ht="12.75" customHeight="1">
      <c r="N38">
        <v>37</v>
      </c>
      <c r="O38">
        <f>B40</f>
        <v>1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6</v>
      </c>
      <c r="T38">
        <f t="shared" si="0"/>
        <v>37</v>
      </c>
      <c r="U38">
        <f t="shared" si="1"/>
        <v>37</v>
      </c>
      <c r="V38">
        <f>IF(S38=0,1,0)*N38*'Результаты матчей'!Q38</f>
        <v>0</v>
      </c>
      <c r="W38">
        <f>IF(S38&lt;6,1,0)*N38*'Результаты матчей'!Q38</f>
        <v>0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4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0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0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0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0</v>
      </c>
      <c r="T41">
        <f t="shared" si="0"/>
        <v>0</v>
      </c>
      <c r="U41">
        <f t="shared" si="1"/>
        <v>0</v>
      </c>
      <c r="V41">
        <f>IF(S41=0,1,0)*N41*'Результаты матчей'!Q41</f>
        <v>40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0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0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1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0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6</v>
      </c>
      <c r="T46">
        <f t="shared" si="0"/>
        <v>45</v>
      </c>
      <c r="U46">
        <f t="shared" si="1"/>
        <v>45</v>
      </c>
      <c r="V46">
        <f>IF(S46=0,1,0)*N46*'Результаты матчей'!Q46</f>
        <v>0</v>
      </c>
      <c r="W46">
        <f>IF(S46&lt;6,1,0)*N46*'Результаты матчей'!Q46</f>
        <v>0</v>
      </c>
    </row>
    <row r="47" spans="1:24">
      <c r="N47">
        <v>46</v>
      </c>
      <c r="O47">
        <f>H49</f>
        <v>0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6</v>
      </c>
      <c r="T48">
        <f t="shared" si="0"/>
        <v>47</v>
      </c>
      <c r="U48">
        <f t="shared" si="1"/>
        <v>47</v>
      </c>
      <c r="V48">
        <f>IF(S48=0,1,0)*N48*'Результаты матчей'!Q48</f>
        <v>0</v>
      </c>
      <c r="W48">
        <f>IF(S48&lt;6,1,0)*N48*'Результаты матчей'!Q48</f>
        <v>0</v>
      </c>
    </row>
    <row r="49" spans="1:23">
      <c r="A49" s="11" t="s">
        <v>144</v>
      </c>
      <c r="B49" s="82">
        <v>1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0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2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0"/>
        <v>0</v>
      </c>
      <c r="U49">
        <f t="shared" si="1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2</v>
      </c>
      <c r="K51" s="85" t="s">
        <v>152</v>
      </c>
      <c r="N51">
        <v>50</v>
      </c>
      <c r="O51">
        <f>H56</f>
        <v>1</v>
      </c>
      <c r="P51">
        <f>J56</f>
        <v>1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1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3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12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237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3" t="s">
        <v>88</v>
      </c>
      <c r="Z3" s="143" t="s">
        <v>16</v>
      </c>
      <c r="AA3" s="143" t="s">
        <v>88</v>
      </c>
      <c r="AB3" s="143" t="s">
        <v>16</v>
      </c>
      <c r="AC3" s="143" t="s">
        <v>88</v>
      </c>
      <c r="AD3" s="143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3</v>
      </c>
      <c r="Z4" s="126">
        <v>45</v>
      </c>
      <c r="AA4" s="127">
        <v>3</v>
      </c>
      <c r="AB4" s="128">
        <v>37</v>
      </c>
      <c r="AC4" s="127">
        <v>3</v>
      </c>
      <c r="AD4" s="128">
        <v>8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3</v>
      </c>
      <c r="Z5" s="130">
        <v>100.8</v>
      </c>
      <c r="AA5" s="131">
        <v>7</v>
      </c>
      <c r="AB5" s="58">
        <v>54</v>
      </c>
      <c r="AC5" s="131">
        <v>3</v>
      </c>
      <c r="AD5" s="58">
        <v>30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1</v>
      </c>
      <c r="Z6" s="130">
        <v>70.8</v>
      </c>
      <c r="AA6" s="131">
        <v>2</v>
      </c>
      <c r="AB6" s="58">
        <v>47</v>
      </c>
      <c r="AC6" s="131">
        <v>4</v>
      </c>
      <c r="AD6" s="58">
        <v>12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3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7</v>
      </c>
      <c r="Z7" s="130">
        <v>90</v>
      </c>
      <c r="AA7" s="131">
        <v>10</v>
      </c>
      <c r="AB7" s="58">
        <v>55</v>
      </c>
      <c r="AC7" s="131">
        <v>3</v>
      </c>
      <c r="AD7" s="58">
        <v>35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3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0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1.4149377593360997</v>
      </c>
      <c r="AA10" s="133">
        <f>IFERROR(SUM(S2:S52)/SUM('Результаты матчей'!Q2:Q52),"-")</f>
        <v>1.2352941176470589</v>
      </c>
      <c r="AB10" s="134">
        <f>90/64</f>
        <v>1.40625</v>
      </c>
      <c r="AC10" s="134">
        <f>59/31</f>
        <v>1.903225806451613</v>
      </c>
      <c r="AD10" s="134">
        <f>84/64</f>
        <v>1.3125</v>
      </c>
      <c r="AE10" s="134">
        <f>45/31</f>
        <v>1.4516129032258065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1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238</v>
      </c>
      <c r="Z13" s="26"/>
      <c r="AA13" s="27"/>
      <c r="AB13" s="27"/>
    </row>
    <row r="14" spans="1:31">
      <c r="A14" s="86" t="s">
        <v>144</v>
      </c>
      <c r="B14" s="87">
        <v>3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1</v>
      </c>
      <c r="P14">
        <f>J17</f>
        <v>2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6</v>
      </c>
      <c r="T14">
        <f t="shared" si="0"/>
        <v>13</v>
      </c>
      <c r="U14">
        <f t="shared" si="1"/>
        <v>13</v>
      </c>
      <c r="V14">
        <f>IF(S14=0,1,0)*N14*'Результаты матчей'!Q14</f>
        <v>0</v>
      </c>
      <c r="W14">
        <f>IF(S14&lt;6,1,0)*N14*'Результаты матчей'!Q14</f>
        <v>0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1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2</v>
      </c>
      <c r="K17" s="85" t="s">
        <v>142</v>
      </c>
      <c r="N17">
        <v>16</v>
      </c>
      <c r="O17">
        <f>B21</f>
        <v>2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1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4</v>
      </c>
      <c r="AC17" s="157"/>
      <c r="AD17" s="157"/>
    </row>
    <row r="18" spans="1:30" ht="12.75" customHeight="1">
      <c r="A18" s="86" t="s">
        <v>1</v>
      </c>
      <c r="B18" s="87">
        <v>1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1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1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3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1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0</v>
      </c>
      <c r="I25" s="83" t="s">
        <v>13</v>
      </c>
      <c r="J25" s="84">
        <v>0</v>
      </c>
      <c r="K25" s="85" t="s">
        <v>140</v>
      </c>
      <c r="N25">
        <v>24</v>
      </c>
      <c r="O25">
        <f>B27</f>
        <v>1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3</v>
      </c>
      <c r="T25">
        <f t="shared" si="0"/>
        <v>24</v>
      </c>
      <c r="U25">
        <f t="shared" si="1"/>
        <v>0</v>
      </c>
      <c r="V25">
        <f>IF(S25=0,1,0)*N25*'Результаты матчей'!Q25</f>
        <v>0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1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0</v>
      </c>
      <c r="P26">
        <f>J25</f>
        <v>0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1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1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1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4</v>
      </c>
      <c r="T30">
        <f t="shared" si="0"/>
        <v>29</v>
      </c>
      <c r="U30">
        <f t="shared" si="1"/>
        <v>0</v>
      </c>
      <c r="V30">
        <f>IF(S30=0,1,0)*N30*'Результаты матчей'!Q30</f>
        <v>0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1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1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3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0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239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3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240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0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1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1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1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4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1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2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0</v>
      </c>
      <c r="C44" s="83" t="s">
        <v>13</v>
      </c>
      <c r="D44" s="84">
        <v>0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0</v>
      </c>
      <c r="P44">
        <f>D44</f>
        <v>0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2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6</v>
      </c>
      <c r="T48">
        <f t="shared" si="0"/>
        <v>47</v>
      </c>
      <c r="U48">
        <f t="shared" si="1"/>
        <v>47</v>
      </c>
      <c r="V48">
        <f>IF(S48=0,1,0)*N48*'Результаты матчей'!Q48</f>
        <v>0</v>
      </c>
      <c r="W48">
        <f>IF(S48&lt;6,1,0)*N48*'Результаты матчей'!Q48</f>
        <v>0</v>
      </c>
    </row>
    <row r="49" spans="1:23">
      <c r="A49" s="11" t="s">
        <v>144</v>
      </c>
      <c r="B49" s="82">
        <v>2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10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1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10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4" max="18" width="9.140625" hidden="1" customWidth="1"/>
  </cols>
  <sheetData>
    <row r="1" spans="1:18" ht="18">
      <c r="A1" s="40" t="s">
        <v>130</v>
      </c>
      <c r="B1" s="40"/>
      <c r="C1" s="67"/>
      <c r="D1" s="67"/>
      <c r="E1" s="68"/>
      <c r="F1" s="67"/>
      <c r="G1" s="68"/>
      <c r="H1" s="67"/>
      <c r="I1" s="67"/>
      <c r="J1" s="67"/>
      <c r="K1" s="69" t="s">
        <v>19</v>
      </c>
      <c r="N1" t="s">
        <v>71</v>
      </c>
      <c r="O1" t="s">
        <v>72</v>
      </c>
      <c r="P1" t="s">
        <v>75</v>
      </c>
      <c r="Q1" t="s">
        <v>76</v>
      </c>
      <c r="R1" s="23" t="s">
        <v>16</v>
      </c>
    </row>
    <row r="2" spans="1:18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1</v>
      </c>
      <c r="Q2" s="23">
        <f>IF(B9="",0,1)</f>
        <v>1</v>
      </c>
      <c r="R2" s="23">
        <f>SUM('01 Акиловский Руслан:19 Щербич Никита'!S2)</f>
        <v>26</v>
      </c>
    </row>
    <row r="3" spans="1:18">
      <c r="A3" s="70"/>
      <c r="B3" s="71"/>
      <c r="C3" s="71"/>
      <c r="D3" s="71"/>
      <c r="E3" s="72"/>
      <c r="F3" s="73" t="s">
        <v>129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1</v>
      </c>
      <c r="Q3">
        <f>IF(H9="",0,1)</f>
        <v>1</v>
      </c>
      <c r="R3">
        <f>SUM('01 Акиловский Руслан:19 Щербич Никита'!S3)</f>
        <v>61</v>
      </c>
    </row>
    <row r="4" spans="1:18">
      <c r="B4" s="1"/>
      <c r="C4" s="1"/>
      <c r="F4" s="7"/>
      <c r="G4" s="4"/>
      <c r="H4" s="1"/>
      <c r="N4">
        <v>3</v>
      </c>
      <c r="O4">
        <f>H10</f>
        <v>2</v>
      </c>
      <c r="P4">
        <f>J10</f>
        <v>1</v>
      </c>
      <c r="Q4">
        <f t="shared" ref="Q4:Q5" si="0">IF(H10="",0,1)</f>
        <v>1</v>
      </c>
      <c r="R4">
        <f>SUM('01 Акиловский Руслан:19 Щербич Никита'!S4)</f>
        <v>34</v>
      </c>
    </row>
    <row r="5" spans="1:18">
      <c r="B5" s="1"/>
      <c r="C5" s="1"/>
      <c r="F5" s="7"/>
      <c r="G5" s="4"/>
      <c r="H5" s="1"/>
      <c r="N5">
        <v>4</v>
      </c>
      <c r="O5">
        <f>H11</f>
        <v>1</v>
      </c>
      <c r="P5">
        <f>J11</f>
        <v>1</v>
      </c>
      <c r="Q5">
        <f t="shared" si="0"/>
        <v>1</v>
      </c>
      <c r="R5">
        <f>SUM('01 Акиловский Руслан:19 Щербич Никита'!S5)</f>
        <v>12</v>
      </c>
    </row>
    <row r="6" spans="1:18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0</v>
      </c>
      <c r="P6">
        <f>D13</f>
        <v>1</v>
      </c>
      <c r="Q6">
        <f>IF(B13="",0,1)</f>
        <v>1</v>
      </c>
      <c r="R6">
        <f>SUM('01 Акиловский Руслан:19 Щербич Никита'!S6)</f>
        <v>50</v>
      </c>
    </row>
    <row r="7" spans="1:18">
      <c r="B7" s="1"/>
      <c r="C7" s="1"/>
      <c r="D7" s="1"/>
      <c r="E7" s="4"/>
      <c r="F7" s="1"/>
      <c r="G7" s="4"/>
      <c r="H7" s="1"/>
      <c r="N7">
        <v>6</v>
      </c>
      <c r="O7">
        <f>B14</f>
        <v>1</v>
      </c>
      <c r="P7">
        <f>D14</f>
        <v>0</v>
      </c>
      <c r="Q7">
        <f t="shared" ref="Q7" si="1">IF(B14="",0,1)</f>
        <v>1</v>
      </c>
      <c r="R7">
        <f>SUM('01 Акиловский Руслан:19 Щербич Никита'!S7)</f>
        <v>27</v>
      </c>
    </row>
    <row r="8" spans="1:18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IF(B15="",0,1)</f>
        <v>1</v>
      </c>
      <c r="R8">
        <f>SUM('01 Акиловский Руслан:19 Щербич Никита'!S8)</f>
        <v>70</v>
      </c>
    </row>
    <row r="9" spans="1:18">
      <c r="A9" s="83" t="s">
        <v>10</v>
      </c>
      <c r="B9" s="84">
        <v>2</v>
      </c>
      <c r="C9" s="83" t="s">
        <v>13</v>
      </c>
      <c r="D9" s="84">
        <v>1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1</v>
      </c>
      <c r="K9" s="85" t="s">
        <v>0</v>
      </c>
      <c r="N9">
        <v>8</v>
      </c>
      <c r="O9">
        <f>H13</f>
        <v>1</v>
      </c>
      <c r="P9">
        <f>J13</f>
        <v>0</v>
      </c>
      <c r="Q9">
        <f>IF(H13="",0,1)</f>
        <v>1</v>
      </c>
      <c r="R9">
        <f>SUM('01 Акиловский Руслан:19 Щербич Никита'!S9)</f>
        <v>41</v>
      </c>
    </row>
    <row r="10" spans="1:18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1</v>
      </c>
      <c r="P10">
        <f>J14</f>
        <v>1</v>
      </c>
      <c r="Q10">
        <f>IF(H14="",0,1)</f>
        <v>1</v>
      </c>
      <c r="R10">
        <f>SUM('01 Акиловский Руслан:19 Щербич Никита'!S10)</f>
        <v>30</v>
      </c>
    </row>
    <row r="11" spans="1:18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0</v>
      </c>
      <c r="P11">
        <f>J15</f>
        <v>2</v>
      </c>
      <c r="Q11">
        <f>IF(H15="",0,1)</f>
        <v>1</v>
      </c>
      <c r="R11">
        <f>SUM('01 Акиловский Руслан:19 Щербич Никита'!S11)</f>
        <v>9</v>
      </c>
    </row>
    <row r="12" spans="1:18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0</v>
      </c>
      <c r="P12">
        <f>D17</f>
        <v>2</v>
      </c>
      <c r="Q12">
        <f>IF(B17="",0,1)</f>
        <v>1</v>
      </c>
      <c r="R12">
        <f>SUM('01 Акиловский Руслан:19 Щербич Никита'!S12)</f>
        <v>2</v>
      </c>
    </row>
    <row r="13" spans="1:18">
      <c r="A13" s="83" t="s">
        <v>143</v>
      </c>
      <c r="B13" s="84">
        <v>0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1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1</v>
      </c>
      <c r="P13">
        <f>D18</f>
        <v>1</v>
      </c>
      <c r="Q13">
        <f>IF(B18="",0,1)</f>
        <v>1</v>
      </c>
      <c r="R13">
        <f>SUM('01 Акиловский Руслан:19 Щербич Никита'!S13)</f>
        <v>9</v>
      </c>
    </row>
    <row r="14" spans="1:18">
      <c r="A14" s="86" t="s">
        <v>144</v>
      </c>
      <c r="B14" s="87">
        <v>1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1</v>
      </c>
      <c r="P14">
        <f>J17</f>
        <v>2</v>
      </c>
      <c r="Q14">
        <f>IF(H17="",0,1)</f>
        <v>1</v>
      </c>
      <c r="R14">
        <f>SUM('01 Акиловский Руслан:19 Щербич Никита'!S14)</f>
        <v>6</v>
      </c>
    </row>
    <row r="15" spans="1:18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0</v>
      </c>
      <c r="I15" s="11" t="s">
        <v>13</v>
      </c>
      <c r="J15" s="82">
        <v>2</v>
      </c>
      <c r="K15" s="21" t="s">
        <v>11</v>
      </c>
      <c r="N15">
        <v>14</v>
      </c>
      <c r="O15">
        <f t="shared" ref="O15:O16" si="2">H18</f>
        <v>1</v>
      </c>
      <c r="P15">
        <f t="shared" ref="P15:P16" si="3">J18</f>
        <v>1</v>
      </c>
      <c r="Q15">
        <f>IF(H18="",0,1)</f>
        <v>1</v>
      </c>
      <c r="R15">
        <f>SUM('01 Акиловский Руслан:19 Щербич Никита'!S15)</f>
        <v>21</v>
      </c>
    </row>
    <row r="16" spans="1:18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 t="shared" si="2"/>
        <v>2</v>
      </c>
      <c r="P16">
        <f t="shared" si="3"/>
        <v>0</v>
      </c>
      <c r="Q16">
        <f>IF(H19="",0,1)</f>
        <v>1</v>
      </c>
      <c r="R16">
        <f>SUM('01 Акиловский Руслан:19 Щербич Никита'!S16)</f>
        <v>64</v>
      </c>
    </row>
    <row r="17" spans="1:18">
      <c r="A17" s="83" t="s">
        <v>150</v>
      </c>
      <c r="B17" s="84">
        <v>0</v>
      </c>
      <c r="C17" s="83" t="s">
        <v>13</v>
      </c>
      <c r="D17" s="84">
        <v>2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2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IF(B21="",0,1)</f>
        <v>1</v>
      </c>
      <c r="R17">
        <f>SUM('01 Акиловский Руслан:19 Щербич Никита'!S17)</f>
        <v>77</v>
      </c>
    </row>
    <row r="18" spans="1:18">
      <c r="A18" s="86" t="s">
        <v>1</v>
      </c>
      <c r="B18" s="87">
        <v>1</v>
      </c>
      <c r="C18" s="86" t="s">
        <v>13</v>
      </c>
      <c r="D18" s="87">
        <v>1</v>
      </c>
      <c r="E18" s="88" t="s">
        <v>152</v>
      </c>
      <c r="F18" s="9"/>
      <c r="G18" s="86" t="s">
        <v>139</v>
      </c>
      <c r="H18" s="87">
        <v>1</v>
      </c>
      <c r="I18" s="86" t="s">
        <v>13</v>
      </c>
      <c r="J18" s="87">
        <v>1</v>
      </c>
      <c r="K18" s="88" t="s">
        <v>0</v>
      </c>
      <c r="N18">
        <v>17</v>
      </c>
      <c r="O18">
        <f t="shared" ref="O18:O19" si="4">B22</f>
        <v>0</v>
      </c>
      <c r="P18">
        <f t="shared" ref="P18:P19" si="5">D22</f>
        <v>2</v>
      </c>
      <c r="Q18">
        <f>IF(B22="",0,1)</f>
        <v>1</v>
      </c>
      <c r="R18">
        <f>SUM('01 Акиловский Руслан:19 Щербич Никита'!S18)</f>
        <v>5</v>
      </c>
    </row>
    <row r="19" spans="1:18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 t="shared" si="4"/>
        <v>0</v>
      </c>
      <c r="P19">
        <f t="shared" si="5"/>
        <v>0</v>
      </c>
      <c r="Q19">
        <f>IF(B23="",0,1)</f>
        <v>1</v>
      </c>
      <c r="R19">
        <f>SUM('01 Акиловский Руслан:19 Щербич Никита'!S19)</f>
        <v>0</v>
      </c>
    </row>
    <row r="20" spans="1:18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0</v>
      </c>
      <c r="Q20">
        <f>IF(H21="",0,1)</f>
        <v>1</v>
      </c>
      <c r="R20">
        <f>SUM('01 Акиловский Руслан:19 Щербич Никита'!S20)</f>
        <v>55</v>
      </c>
    </row>
    <row r="21" spans="1:18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0</v>
      </c>
      <c r="K21" s="85" t="s">
        <v>149</v>
      </c>
      <c r="N21">
        <v>20</v>
      </c>
      <c r="O21">
        <f t="shared" ref="O21:O22" si="6">H22</f>
        <v>2</v>
      </c>
      <c r="P21">
        <f t="shared" ref="P21:P22" si="7">J22</f>
        <v>2</v>
      </c>
      <c r="Q21">
        <f>IF(H22="",0,1)</f>
        <v>1</v>
      </c>
      <c r="R21">
        <f>SUM('01 Акиловский Руслан:19 Щербич Никита'!S21)</f>
        <v>39</v>
      </c>
    </row>
    <row r="22" spans="1:18">
      <c r="A22" s="86" t="s">
        <v>146</v>
      </c>
      <c r="B22" s="87">
        <v>0</v>
      </c>
      <c r="C22" s="86" t="s">
        <v>13</v>
      </c>
      <c r="D22" s="87">
        <v>2</v>
      </c>
      <c r="E22" s="88" t="s">
        <v>145</v>
      </c>
      <c r="F22" s="9"/>
      <c r="G22" s="86" t="s">
        <v>147</v>
      </c>
      <c r="H22" s="87">
        <v>2</v>
      </c>
      <c r="I22" s="86" t="s">
        <v>13</v>
      </c>
      <c r="J22" s="87">
        <v>2</v>
      </c>
      <c r="K22" s="88" t="s">
        <v>66</v>
      </c>
      <c r="N22">
        <v>21</v>
      </c>
      <c r="O22">
        <f t="shared" si="6"/>
        <v>3</v>
      </c>
      <c r="P22">
        <f t="shared" si="7"/>
        <v>0</v>
      </c>
      <c r="Q22">
        <f>IF(H23="",0,1)</f>
        <v>1</v>
      </c>
      <c r="R22">
        <f>SUM('01 Акиловский Руслан:19 Щербич Никита'!S22)</f>
        <v>35</v>
      </c>
    </row>
    <row r="23" spans="1:18">
      <c r="A23" s="11" t="s">
        <v>2</v>
      </c>
      <c r="B23" s="82">
        <v>0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3</v>
      </c>
      <c r="P23">
        <f>D25</f>
        <v>0</v>
      </c>
      <c r="Q23">
        <f>IF(B25="",0,1)</f>
        <v>1</v>
      </c>
      <c r="R23">
        <f>SUM('01 Акиловский Руслан:19 Щербич Никита'!S23)</f>
        <v>27</v>
      </c>
    </row>
    <row r="24" spans="1:18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 t="shared" ref="O24:O25" si="8">B26</f>
        <v>1</v>
      </c>
      <c r="P24">
        <f t="shared" ref="P24:P25" si="9">D26</f>
        <v>1</v>
      </c>
      <c r="Q24">
        <f>IF(B26="",0,1)</f>
        <v>1</v>
      </c>
      <c r="R24">
        <f>SUM('01 Акиловский Руслан:19 Щербич Никита'!S24)</f>
        <v>27</v>
      </c>
    </row>
    <row r="25" spans="1:18">
      <c r="A25" s="83" t="s">
        <v>67</v>
      </c>
      <c r="B25" s="84">
        <v>3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0</v>
      </c>
      <c r="I25" s="83" t="s">
        <v>13</v>
      </c>
      <c r="J25" s="84">
        <v>1</v>
      </c>
      <c r="K25" s="85" t="s">
        <v>140</v>
      </c>
      <c r="N25">
        <v>24</v>
      </c>
      <c r="O25">
        <f t="shared" si="8"/>
        <v>0</v>
      </c>
      <c r="P25">
        <f t="shared" si="9"/>
        <v>0</v>
      </c>
      <c r="Q25">
        <f>IF(B27="",0,1)</f>
        <v>1</v>
      </c>
      <c r="R25">
        <f>SUM('01 Акиловский Руслан:19 Щербич Никита'!S25)</f>
        <v>21</v>
      </c>
    </row>
    <row r="26" spans="1:18">
      <c r="A26" s="86" t="s">
        <v>152</v>
      </c>
      <c r="B26" s="87">
        <v>1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0</v>
      </c>
      <c r="I26" s="86" t="s">
        <v>13</v>
      </c>
      <c r="J26" s="87">
        <v>0</v>
      </c>
      <c r="K26" s="88" t="s">
        <v>10</v>
      </c>
      <c r="N26">
        <v>25</v>
      </c>
      <c r="O26">
        <f>H25</f>
        <v>0</v>
      </c>
      <c r="P26">
        <f>J25</f>
        <v>1</v>
      </c>
      <c r="Q26">
        <f>IF(H25="",0,1)</f>
        <v>1</v>
      </c>
      <c r="R26">
        <f>SUM('01 Акиловский Руслан:19 Щербич Никита'!S26)</f>
        <v>8</v>
      </c>
    </row>
    <row r="27" spans="1:18">
      <c r="A27" s="11" t="s">
        <v>1</v>
      </c>
      <c r="B27" s="82">
        <v>0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0</v>
      </c>
      <c r="P27">
        <f>J26</f>
        <v>0</v>
      </c>
      <c r="Q27">
        <f>IF(H26="",0,1)</f>
        <v>1</v>
      </c>
      <c r="R27">
        <f>SUM('01 Акиловский Руслан:19 Щербич Никита'!S27)</f>
        <v>15</v>
      </c>
    </row>
    <row r="28" spans="1:18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0</v>
      </c>
      <c r="P28">
        <f>D29</f>
        <v>3</v>
      </c>
      <c r="Q28">
        <f>IF(B29="",0,1)</f>
        <v>1</v>
      </c>
      <c r="R28">
        <f>SUM('01 Акиловский Руслан:19 Щербич Никита'!S28)</f>
        <v>5</v>
      </c>
    </row>
    <row r="29" spans="1:18">
      <c r="A29" s="83" t="s">
        <v>68</v>
      </c>
      <c r="B29" s="84">
        <v>0</v>
      </c>
      <c r="C29" s="83" t="s">
        <v>13</v>
      </c>
      <c r="D29" s="84">
        <v>3</v>
      </c>
      <c r="E29" s="85" t="s">
        <v>141</v>
      </c>
      <c r="F29" s="9"/>
      <c r="G29" s="83" t="s">
        <v>146</v>
      </c>
      <c r="H29" s="84">
        <v>0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0</v>
      </c>
      <c r="P29">
        <f>D30</f>
        <v>0</v>
      </c>
      <c r="Q29">
        <f>IF(B30="",0,1)</f>
        <v>1</v>
      </c>
      <c r="R29">
        <f>SUM('01 Акиловский Руслан:19 Щербич Никита'!S29)</f>
        <v>12</v>
      </c>
    </row>
    <row r="30" spans="1:18">
      <c r="A30" s="86" t="s">
        <v>142</v>
      </c>
      <c r="B30" s="87">
        <v>0</v>
      </c>
      <c r="C30" s="86" t="s">
        <v>13</v>
      </c>
      <c r="D30" s="87">
        <v>0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1</v>
      </c>
      <c r="K30" s="88" t="s">
        <v>2</v>
      </c>
      <c r="N30">
        <v>29</v>
      </c>
      <c r="O30">
        <f>H29</f>
        <v>0</v>
      </c>
      <c r="P30">
        <f>J29</f>
        <v>1</v>
      </c>
      <c r="Q30">
        <f>IF(H29="",0,1)</f>
        <v>1</v>
      </c>
      <c r="R30">
        <f>SUM('01 Акиловский Руслан:19 Щербич Никита'!S30)</f>
        <v>23</v>
      </c>
    </row>
    <row r="31" spans="1:18">
      <c r="A31" s="86"/>
      <c r="B31" s="87"/>
      <c r="C31" s="86"/>
      <c r="D31" s="87"/>
      <c r="E31" s="88"/>
      <c r="F31" s="2"/>
      <c r="G31" s="86" t="s">
        <v>147</v>
      </c>
      <c r="H31" s="87">
        <v>0</v>
      </c>
      <c r="I31" s="86" t="s">
        <v>13</v>
      </c>
      <c r="J31" s="87">
        <v>2</v>
      </c>
      <c r="K31" s="88" t="s">
        <v>143</v>
      </c>
      <c r="N31">
        <v>30</v>
      </c>
      <c r="O31">
        <f t="shared" ref="O31:O33" si="10">H30</f>
        <v>0</v>
      </c>
      <c r="P31">
        <f t="shared" ref="P31:P33" si="11">J30</f>
        <v>1</v>
      </c>
      <c r="Q31">
        <f>IF(H30="",0,1)</f>
        <v>1</v>
      </c>
      <c r="R31">
        <f>SUM('01 Акиловский Руслан:19 Щербич Никита'!S31)</f>
        <v>34</v>
      </c>
    </row>
    <row r="32" spans="1:18">
      <c r="A32" s="11"/>
      <c r="B32" s="82"/>
      <c r="C32" s="11"/>
      <c r="D32" s="82"/>
      <c r="E32" s="21"/>
      <c r="G32" s="11" t="s">
        <v>66</v>
      </c>
      <c r="H32" s="82">
        <v>2</v>
      </c>
      <c r="I32" s="11" t="s">
        <v>13</v>
      </c>
      <c r="J32" s="82">
        <v>1</v>
      </c>
      <c r="K32" s="21" t="s">
        <v>12</v>
      </c>
      <c r="N32">
        <v>31</v>
      </c>
      <c r="O32">
        <f t="shared" si="10"/>
        <v>0</v>
      </c>
      <c r="P32">
        <f t="shared" si="11"/>
        <v>2</v>
      </c>
      <c r="Q32">
        <f>IF(H31="",0,1)</f>
        <v>1</v>
      </c>
      <c r="R32">
        <f>SUM('01 Акиловский Руслан:19 Щербич Никита'!S32)</f>
        <v>13</v>
      </c>
    </row>
    <row r="33" spans="1:18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 t="shared" si="10"/>
        <v>2</v>
      </c>
      <c r="P33">
        <f t="shared" si="11"/>
        <v>1</v>
      </c>
      <c r="Q33">
        <f>IF(H32="",0,1)</f>
        <v>1</v>
      </c>
      <c r="R33">
        <f>SUM('01 Акиловский Руслан:19 Щербич Никита'!S33)</f>
        <v>4</v>
      </c>
    </row>
    <row r="34" spans="1:18">
      <c r="A34" s="83" t="s">
        <v>152</v>
      </c>
      <c r="B34" s="84">
        <v>2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0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2</v>
      </c>
      <c r="P34">
        <f>D34</f>
        <v>1</v>
      </c>
      <c r="Q34">
        <f>IF(B34="",0,1)</f>
        <v>1</v>
      </c>
      <c r="R34">
        <f>SUM('01 Акиловский Руслан:19 Щербич Никита'!S34)</f>
        <v>8</v>
      </c>
    </row>
    <row r="35" spans="1:18">
      <c r="A35" s="86" t="s">
        <v>151</v>
      </c>
      <c r="B35" s="87">
        <v>3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3</v>
      </c>
      <c r="P35">
        <f>D35</f>
        <v>3</v>
      </c>
      <c r="Q35">
        <f>IF(B35="",0,1)</f>
        <v>1</v>
      </c>
      <c r="R35">
        <f>SUM('01 Акиловский Руслан:19 Щербич Никита'!S35)</f>
        <v>3</v>
      </c>
    </row>
    <row r="36" spans="1:18">
      <c r="N36">
        <v>35</v>
      </c>
      <c r="O36">
        <f>H34</f>
        <v>0</v>
      </c>
      <c r="P36">
        <f>J34</f>
        <v>1</v>
      </c>
      <c r="Q36">
        <f>IF(H34="",0,1)</f>
        <v>1</v>
      </c>
      <c r="R36">
        <f>SUM('01 Акиловский Руслан:19 Щербич Никита'!S36)</f>
        <v>0</v>
      </c>
    </row>
    <row r="37" spans="1:18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IF(H35="",0,1)</f>
        <v>1</v>
      </c>
      <c r="R37">
        <f>SUM('01 Акиловский Руслан:19 Щербич Никита'!S37)</f>
        <v>49</v>
      </c>
    </row>
    <row r="38" spans="1:18">
      <c r="N38">
        <v>37</v>
      </c>
      <c r="O38">
        <f>B40</f>
        <v>1</v>
      </c>
      <c r="P38">
        <f>D40</f>
        <v>1</v>
      </c>
      <c r="Q38">
        <f>IF(B40="",0,1)</f>
        <v>1</v>
      </c>
      <c r="R38">
        <f>SUM('01 Акиловский Руслан:19 Щербич Никита'!S38)</f>
        <v>30</v>
      </c>
    </row>
    <row r="39" spans="1:18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 t="shared" ref="O39:O40" si="12">B41</f>
        <v>1</v>
      </c>
      <c r="P39">
        <f t="shared" ref="P39:P40" si="13">D41</f>
        <v>0</v>
      </c>
      <c r="Q39">
        <f>IF(B41="",0,1)</f>
        <v>1</v>
      </c>
      <c r="R39">
        <f>SUM('01 Акиловский Руслан:19 Щербич Никита'!S39)</f>
        <v>50</v>
      </c>
    </row>
    <row r="40" spans="1:18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1</v>
      </c>
      <c r="K40" s="85" t="s">
        <v>148</v>
      </c>
      <c r="N40">
        <v>39</v>
      </c>
      <c r="O40">
        <f t="shared" si="12"/>
        <v>0</v>
      </c>
      <c r="P40">
        <f t="shared" si="13"/>
        <v>1</v>
      </c>
      <c r="Q40">
        <f>IF(B42="",0,1)</f>
        <v>1</v>
      </c>
      <c r="R40">
        <f>SUM('01 Акиловский Руслан:19 Щербич Никита'!S40)</f>
        <v>24</v>
      </c>
    </row>
    <row r="41" spans="1:18">
      <c r="A41" s="86" t="s">
        <v>141</v>
      </c>
      <c r="B41" s="87">
        <v>1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2</v>
      </c>
      <c r="P41">
        <f>J40</f>
        <v>1</v>
      </c>
      <c r="Q41">
        <f>IF(H40="",0,1)</f>
        <v>1</v>
      </c>
      <c r="R41">
        <f>SUM('01 Акиловский Руслан:19 Щербич Никита'!S41)</f>
        <v>23</v>
      </c>
    </row>
    <row r="42" spans="1:18">
      <c r="A42" s="11" t="s">
        <v>66</v>
      </c>
      <c r="B42" s="82">
        <v>0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4</v>
      </c>
      <c r="K42" s="21" t="s">
        <v>67</v>
      </c>
      <c r="N42">
        <v>41</v>
      </c>
      <c r="O42">
        <f t="shared" ref="O42:O43" si="14">H41</f>
        <v>3</v>
      </c>
      <c r="P42">
        <f t="shared" ref="P42:P43" si="15">J41</f>
        <v>0</v>
      </c>
      <c r="Q42">
        <f>IF(H41="",0,1)</f>
        <v>1</v>
      </c>
      <c r="R42">
        <f>SUM('01 Акиловский Руслан:19 Щербич Никита'!S42)</f>
        <v>16</v>
      </c>
    </row>
    <row r="43" spans="1:18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 t="shared" si="14"/>
        <v>0</v>
      </c>
      <c r="P43">
        <f t="shared" si="15"/>
        <v>4</v>
      </c>
      <c r="Q43">
        <f>IF(H42="",0,1)</f>
        <v>1</v>
      </c>
      <c r="R43">
        <f>SUM('01 Акиловский Руслан:19 Щербич Никита'!S43)</f>
        <v>12</v>
      </c>
    </row>
    <row r="44" spans="1:18">
      <c r="A44" s="83" t="s">
        <v>11</v>
      </c>
      <c r="B44" s="84">
        <v>2</v>
      </c>
      <c r="C44" s="83" t="s">
        <v>13</v>
      </c>
      <c r="D44" s="84">
        <v>0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2</v>
      </c>
      <c r="K44" s="85" t="s">
        <v>152</v>
      </c>
      <c r="N44">
        <v>43</v>
      </c>
      <c r="O44">
        <f>B44</f>
        <v>2</v>
      </c>
      <c r="P44">
        <f>D44</f>
        <v>0</v>
      </c>
      <c r="Q44">
        <f>IF(B44="",0,1)</f>
        <v>1</v>
      </c>
      <c r="R44">
        <f>SUM('01 Акиловский Руслан:19 Щербич Никита'!S44)</f>
        <v>5</v>
      </c>
    </row>
    <row r="45" spans="1:18">
      <c r="N45">
        <v>44</v>
      </c>
      <c r="O45">
        <f>H44</f>
        <v>1</v>
      </c>
      <c r="P45">
        <f>J44</f>
        <v>2</v>
      </c>
      <c r="Q45">
        <f>IF(H44="",0,1)</f>
        <v>1</v>
      </c>
      <c r="R45">
        <f>SUM('01 Акиловский Руслан:19 Щербич Никита'!S45)</f>
        <v>16</v>
      </c>
    </row>
    <row r="46" spans="1:18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1</v>
      </c>
      <c r="Q46">
        <f>IF(B49="",0,1)</f>
        <v>1</v>
      </c>
      <c r="R46">
        <f>SUM('01 Акиловский Руслан:19 Щербич Никита'!S46)</f>
        <v>24</v>
      </c>
    </row>
    <row r="47" spans="1:18">
      <c r="N47">
        <v>46</v>
      </c>
      <c r="O47">
        <f>H49</f>
        <v>3</v>
      </c>
      <c r="P47">
        <f>J49</f>
        <v>1</v>
      </c>
      <c r="Q47">
        <f>IF(H49="",0,1)</f>
        <v>1</v>
      </c>
      <c r="R47">
        <f>SUM('01 Акиловский Руслан:19 Щербич Никита'!S47)</f>
        <v>4</v>
      </c>
    </row>
    <row r="48" spans="1:18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IF(B51="",0,1)</f>
        <v>1</v>
      </c>
      <c r="R48">
        <f>SUM('01 Акиловский Руслан:19 Щербич Никита'!S48)</f>
        <v>39</v>
      </c>
    </row>
    <row r="49" spans="1:18">
      <c r="A49" s="11" t="s">
        <v>144</v>
      </c>
      <c r="B49" s="82">
        <v>1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3</v>
      </c>
      <c r="I49" s="11" t="s">
        <v>13</v>
      </c>
      <c r="J49" s="82">
        <v>1</v>
      </c>
      <c r="K49" s="21" t="s">
        <v>67</v>
      </c>
      <c r="N49">
        <v>48</v>
      </c>
      <c r="O49">
        <f>H51</f>
        <v>5</v>
      </c>
      <c r="P49">
        <f>J51</f>
        <v>2</v>
      </c>
      <c r="Q49">
        <f>IF(H51="",0,1)</f>
        <v>1</v>
      </c>
      <c r="R49">
        <f>SUM('01 Акиловский Руслан:19 Щербич Никита'!S49)</f>
        <v>16</v>
      </c>
    </row>
    <row r="50" spans="1:18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0</v>
      </c>
      <c r="Q50">
        <f>IF(B56="",0,1)</f>
        <v>1</v>
      </c>
      <c r="R50">
        <f>SUM('01 Акиловский Руслан:19 Щербич Никита'!S50)</f>
        <v>7</v>
      </c>
    </row>
    <row r="51" spans="1:18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5</v>
      </c>
      <c r="I51" s="83" t="s">
        <v>13</v>
      </c>
      <c r="J51" s="84">
        <v>2</v>
      </c>
      <c r="K51" s="85" t="s">
        <v>152</v>
      </c>
      <c r="N51">
        <v>50</v>
      </c>
      <c r="O51">
        <f>H56</f>
        <v>0</v>
      </c>
      <c r="P51">
        <f>J56</f>
        <v>2</v>
      </c>
      <c r="Q51">
        <f>IF(H56="",0,1)</f>
        <v>1</v>
      </c>
      <c r="R51">
        <f>SUM('01 Акиловский Руслан:19 Щербич Никита'!S51)</f>
        <v>13</v>
      </c>
    </row>
    <row r="52" spans="1:18">
      <c r="N52">
        <v>51</v>
      </c>
      <c r="O52">
        <f>D61</f>
        <v>1</v>
      </c>
      <c r="P52">
        <f>H61</f>
        <v>0</v>
      </c>
      <c r="Q52">
        <f>IF(D61="",0,1)</f>
        <v>1</v>
      </c>
      <c r="R52">
        <f>SUM('01 Акиловский Руслан:19 Щербич Никита'!S52)</f>
        <v>17</v>
      </c>
    </row>
    <row r="53" spans="1:18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18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18">
      <c r="A56" s="83" t="s">
        <v>1</v>
      </c>
      <c r="B56" s="84">
        <v>2</v>
      </c>
      <c r="C56" s="83" t="s">
        <v>13</v>
      </c>
      <c r="D56" s="84">
        <v>0</v>
      </c>
      <c r="E56" s="85" t="s">
        <v>141</v>
      </c>
      <c r="F56" s="9"/>
      <c r="G56" s="83" t="s">
        <v>2</v>
      </c>
      <c r="H56" s="84">
        <v>0</v>
      </c>
      <c r="I56" s="83" t="s">
        <v>13</v>
      </c>
      <c r="J56" s="84">
        <v>2</v>
      </c>
      <c r="K56" s="85" t="s">
        <v>10</v>
      </c>
    </row>
    <row r="58" spans="1:18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18">
      <c r="D60" s="116"/>
      <c r="E60" s="117"/>
      <c r="F60" s="76" t="s">
        <v>158</v>
      </c>
      <c r="G60" s="117"/>
      <c r="H60" s="118"/>
    </row>
    <row r="61" spans="1:18">
      <c r="D61" s="84">
        <v>1</v>
      </c>
      <c r="E61" s="83" t="s">
        <v>1</v>
      </c>
      <c r="F61" s="83" t="s">
        <v>13</v>
      </c>
      <c r="G61" s="85" t="s">
        <v>10</v>
      </c>
      <c r="H61" s="84">
        <v>0</v>
      </c>
    </row>
    <row r="63" spans="1:18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18">
      <c r="E64" s="114"/>
      <c r="F64" s="115" t="s">
        <v>1</v>
      </c>
      <c r="G64" s="114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241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1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3" t="s">
        <v>88</v>
      </c>
      <c r="Z3" s="143" t="s">
        <v>16</v>
      </c>
      <c r="AA3" s="143" t="s">
        <v>88</v>
      </c>
      <c r="AB3" s="143" t="s">
        <v>16</v>
      </c>
      <c r="AC3" s="143" t="s">
        <v>88</v>
      </c>
      <c r="AD3" s="143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1</v>
      </c>
      <c r="T4">
        <f t="shared" si="0"/>
        <v>3</v>
      </c>
      <c r="U4">
        <f t="shared" si="1"/>
        <v>0</v>
      </c>
      <c r="V4">
        <f>IF(S4=0,1,0)*N4*'Результаты матчей'!Q4</f>
        <v>0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5</v>
      </c>
      <c r="Z6" s="130">
        <v>46</v>
      </c>
      <c r="AA6" s="131">
        <v>4</v>
      </c>
      <c r="AB6" s="58">
        <v>40</v>
      </c>
      <c r="AC6" s="131">
        <v>11</v>
      </c>
      <c r="AD6" s="58">
        <v>6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3</v>
      </c>
      <c r="Z7" s="130">
        <v>104</v>
      </c>
      <c r="AA7" s="131">
        <v>3</v>
      </c>
      <c r="AB7" s="58">
        <v>68</v>
      </c>
      <c r="AC7" s="131">
        <v>2</v>
      </c>
      <c r="AD7" s="58">
        <v>36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3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1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IFERROR((AC10*31+AB10*64+AA10*(SUM('Результаты матчей'!Q2:Q52)-1))/(31+63+SUM('Результаты матчей'!Q2:Q52)),(AC10*31+AB10*64)/(31+64))</f>
        <v>1.3034482758620689</v>
      </c>
      <c r="AA10" s="133">
        <f>IFERROR(SUM(S2:S52)/(SUM('Результаты матчей'!Q2:Q52)-1),"-")</f>
        <v>0.78</v>
      </c>
      <c r="AB10" s="134">
        <f>104/64</f>
        <v>1.625</v>
      </c>
      <c r="AC10" s="134">
        <f>46/31</f>
        <v>1.4838709677419355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2</v>
      </c>
      <c r="P11">
        <f>J15</f>
        <v>0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10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2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0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35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2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3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2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2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3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2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2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2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2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1</v>
      </c>
      <c r="T28">
        <f t="shared" si="0"/>
        <v>27</v>
      </c>
      <c r="U28">
        <f t="shared" si="1"/>
        <v>0</v>
      </c>
      <c r="V28">
        <f>IF(S28=0,1,0)*N28*'Результаты матчей'!Q28</f>
        <v>0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2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0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2</v>
      </c>
      <c r="K30" s="88" t="s">
        <v>2</v>
      </c>
      <c r="N30">
        <v>29</v>
      </c>
      <c r="O30">
        <f>H29</f>
        <v>2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2</v>
      </c>
      <c r="K31" s="88" t="s">
        <v>143</v>
      </c>
      <c r="N31">
        <v>30</v>
      </c>
      <c r="O31">
        <f>H30</f>
        <v>0</v>
      </c>
      <c r="P31">
        <f>J30</f>
        <v>2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1</v>
      </c>
      <c r="P32">
        <f>J31</f>
        <v>2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3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3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242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0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243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1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0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149">
        <v>0</v>
      </c>
      <c r="C40" s="83" t="s">
        <v>13</v>
      </c>
      <c r="D40" s="149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0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0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2</v>
      </c>
      <c r="P42">
        <f>J41</f>
        <v>0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1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0</v>
      </c>
      <c r="P47">
        <f>J49</f>
        <v>1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0</v>
      </c>
      <c r="I49" s="11" t="s">
        <v>13</v>
      </c>
      <c r="J49" s="82">
        <v>1</v>
      </c>
      <c r="K49" s="21" t="s">
        <v>67</v>
      </c>
      <c r="N49">
        <v>48</v>
      </c>
      <c r="O49">
        <f>H51</f>
        <v>2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10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9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8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1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244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0</v>
      </c>
      <c r="T3">
        <f t="shared" ref="T3:T52" si="0">IF(S3&gt;0,1,0)*N3</f>
        <v>0</v>
      </c>
      <c r="U3">
        <f t="shared" ref="U3:U52" si="1">IF(S3&gt;5,1,0)*N3</f>
        <v>0</v>
      </c>
      <c r="V3">
        <f>IF(S3=0,1,0)*N3*'Результаты матчей'!Q3</f>
        <v>2</v>
      </c>
      <c r="W3">
        <f>IF(S3&lt;6,1,0)*N3*'Результаты матчей'!Q3</f>
        <v>2</v>
      </c>
      <c r="X3" s="159"/>
      <c r="Y3" s="143" t="s">
        <v>88</v>
      </c>
      <c r="Z3" s="143" t="s">
        <v>16</v>
      </c>
      <c r="AA3" s="143" t="s">
        <v>88</v>
      </c>
      <c r="AB3" s="143" t="s">
        <v>16</v>
      </c>
      <c r="AC3" s="143" t="s">
        <v>88</v>
      </c>
      <c r="AD3" s="143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0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6</v>
      </c>
      <c r="T6">
        <f t="shared" si="0"/>
        <v>5</v>
      </c>
      <c r="U6">
        <f t="shared" si="1"/>
        <v>5</v>
      </c>
      <c r="V6">
        <f>IF(S6=0,1,0)*N6*'Результаты матчей'!Q6</f>
        <v>0</v>
      </c>
      <c r="W6">
        <f>IF(S6&lt;6,1,0)*N6*'Результаты матчей'!Q6</f>
        <v>0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2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 t="s">
        <v>13</v>
      </c>
      <c r="Z7" s="130" t="s">
        <v>13</v>
      </c>
      <c r="AA7" s="131" t="s">
        <v>13</v>
      </c>
      <c r="AB7" s="58" t="s">
        <v>13</v>
      </c>
      <c r="AC7" s="131" t="s">
        <v>13</v>
      </c>
      <c r="AD7" s="58" t="s">
        <v>13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3</v>
      </c>
      <c r="C9" s="83" t="s">
        <v>13</v>
      </c>
      <c r="D9" s="84">
        <v>1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1</v>
      </c>
      <c r="K9" s="85" t="s">
        <v>0</v>
      </c>
      <c r="N9">
        <v>8</v>
      </c>
      <c r="O9">
        <f>H13</f>
        <v>3</v>
      </c>
      <c r="P9">
        <f>J13</f>
        <v>2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4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0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IFERROR((AA10*SUM('Результаты матчей'!Q2:Q52))/(SUM('Результаты матчей'!Q2:Q52)),"-")</f>
        <v>1.5098039215686274</v>
      </c>
      <c r="AA10" s="133">
        <f>IFERROR(SUM(S2:S52)/SUM('Результаты матчей'!Q2:Q52),"-")</f>
        <v>1.5098039215686274</v>
      </c>
      <c r="AB10" s="134" t="s">
        <v>13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2</v>
      </c>
      <c r="P11">
        <f>J15</f>
        <v>2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1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0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2</v>
      </c>
      <c r="K13" s="85" t="s">
        <v>147</v>
      </c>
      <c r="N13">
        <v>12</v>
      </c>
      <c r="O13">
        <f>B18</f>
        <v>2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2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0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2</v>
      </c>
      <c r="K15" s="21" t="s">
        <v>11</v>
      </c>
      <c r="N15">
        <v>14</v>
      </c>
      <c r="O15">
        <f>H18</f>
        <v>1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6</v>
      </c>
      <c r="T15">
        <f t="shared" si="0"/>
        <v>14</v>
      </c>
      <c r="U15">
        <f t="shared" si="1"/>
        <v>14</v>
      </c>
      <c r="V15">
        <f>IF(S15=0,1,0)*N15*'Результаты матчей'!Q15</f>
        <v>0</v>
      </c>
      <c r="W15">
        <f>IF(S15&lt;6,1,0)*N15*'Результаты матчей'!Q15</f>
        <v>0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1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0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14</v>
      </c>
      <c r="AC17" s="157"/>
      <c r="AD17" s="157"/>
    </row>
    <row r="18" spans="1:30" ht="12.75" customHeight="1">
      <c r="A18" s="86" t="s">
        <v>1</v>
      </c>
      <c r="B18" s="87">
        <v>2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1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3</v>
      </c>
      <c r="P18">
        <f>D22</f>
        <v>2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4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3</v>
      </c>
      <c r="C22" s="86" t="s">
        <v>13</v>
      </c>
      <c r="D22" s="87">
        <v>2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3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4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3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3</v>
      </c>
      <c r="T24">
        <f t="shared" si="0"/>
        <v>23</v>
      </c>
      <c r="U24">
        <f t="shared" si="1"/>
        <v>0</v>
      </c>
      <c r="V24">
        <f>IF(S24=0,1,0)*N24*'Результаты матчей'!Q24</f>
        <v>0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3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2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2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0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2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0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0</v>
      </c>
      <c r="K29" s="85" t="s">
        <v>144</v>
      </c>
      <c r="N29">
        <v>28</v>
      </c>
      <c r="O29">
        <f>B30</f>
        <v>0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1</v>
      </c>
      <c r="K30" s="88" t="s">
        <v>2</v>
      </c>
      <c r="N30">
        <v>29</v>
      </c>
      <c r="O30">
        <f>H29</f>
        <v>1</v>
      </c>
      <c r="P30">
        <f>J29</f>
        <v>0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с набранными баллами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0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1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6</v>
      </c>
      <c r="T31">
        <f t="shared" si="0"/>
        <v>30</v>
      </c>
      <c r="U31">
        <f t="shared" si="1"/>
        <v>30</v>
      </c>
      <c r="V31">
        <f>IF(S31=0,1,0)*N31*'Результаты матчей'!Q31</f>
        <v>0</v>
      </c>
      <c r="W31">
        <f>IF(S31&lt;6,1,0)*N31*'Результаты матчей'!Q31</f>
        <v>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3</v>
      </c>
      <c r="I32" s="11" t="s">
        <v>13</v>
      </c>
      <c r="J32" s="82">
        <v>3</v>
      </c>
      <c r="K32" s="21" t="s">
        <v>12</v>
      </c>
      <c r="N32">
        <v>31</v>
      </c>
      <c r="O32">
        <f>H31</f>
        <v>0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3</v>
      </c>
      <c r="P33">
        <f>J32</f>
        <v>3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2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2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1</v>
      </c>
      <c r="T34">
        <f t="shared" si="0"/>
        <v>33</v>
      </c>
      <c r="U34">
        <f t="shared" si="1"/>
        <v>0</v>
      </c>
      <c r="V34">
        <f>IF(S34=0,1,0)*N34*'Результаты матчей'!Q34</f>
        <v>0</v>
      </c>
      <c r="W34">
        <f>IF(S34&lt;6,1,0)*N34*'Результаты матчей'!Q34</f>
        <v>33</v>
      </c>
      <c r="X34" s="27" t="s">
        <v>13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13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4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6</v>
      </c>
      <c r="T38">
        <f t="shared" si="0"/>
        <v>37</v>
      </c>
      <c r="U38">
        <f t="shared" si="1"/>
        <v>37</v>
      </c>
      <c r="V38">
        <f>IF(S38=0,1,0)*N38*'Результаты матчей'!Q38</f>
        <v>0</v>
      </c>
      <c r="W38">
        <f>IF(S38&lt;6,1,0)*N38*'Результаты матчей'!Q38</f>
        <v>0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4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4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0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4</v>
      </c>
      <c r="I41" s="86" t="s">
        <v>13</v>
      </c>
      <c r="J41" s="87">
        <v>2</v>
      </c>
      <c r="K41" s="88" t="s">
        <v>142</v>
      </c>
      <c r="N41">
        <v>40</v>
      </c>
      <c r="O41">
        <f>H40</f>
        <v>4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0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4</v>
      </c>
      <c r="P42">
        <f>J41</f>
        <v>2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2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2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3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3</v>
      </c>
      <c r="K49" s="21" t="s">
        <v>67</v>
      </c>
      <c r="N49">
        <v>48</v>
      </c>
      <c r="O49">
        <f>H51</f>
        <v>1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1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3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2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4</v>
      </c>
      <c r="T52">
        <f t="shared" si="0"/>
        <v>51</v>
      </c>
      <c r="U52">
        <f t="shared" si="1"/>
        <v>0</v>
      </c>
      <c r="V52">
        <f>IF(S52=0,1,0)*N52*'Результаты матчей'!Q52</f>
        <v>0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3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2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11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7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6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245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4" t="s">
        <v>88</v>
      </c>
      <c r="Z3" s="144" t="s">
        <v>16</v>
      </c>
      <c r="AA3" s="144" t="s">
        <v>88</v>
      </c>
      <c r="AB3" s="144" t="s">
        <v>16</v>
      </c>
      <c r="AC3" s="144" t="s">
        <v>88</v>
      </c>
      <c r="AD3" s="144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0</v>
      </c>
      <c r="P4">
        <f>J10</f>
        <v>2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2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0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6</v>
      </c>
      <c r="T6">
        <f t="shared" si="0"/>
        <v>5</v>
      </c>
      <c r="U6">
        <f t="shared" si="1"/>
        <v>5</v>
      </c>
      <c r="V6">
        <f>IF(S6=0,1,0)*N6*'Результаты матчей'!Q6</f>
        <v>0</v>
      </c>
      <c r="W6">
        <f>IF(S6&lt;6,1,0)*N6*'Результаты матчей'!Q6</f>
        <v>0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 t="s">
        <v>13</v>
      </c>
      <c r="Z7" s="130" t="s">
        <v>13</v>
      </c>
      <c r="AA7" s="131" t="s">
        <v>13</v>
      </c>
      <c r="AB7" s="58" t="s">
        <v>13</v>
      </c>
      <c r="AC7" s="131" t="s">
        <v>13</v>
      </c>
      <c r="AD7" s="58" t="s">
        <v>13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4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3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3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0</v>
      </c>
      <c r="I10" s="86" t="s">
        <v>13</v>
      </c>
      <c r="J10" s="87">
        <v>2</v>
      </c>
      <c r="K10" s="88" t="s">
        <v>142</v>
      </c>
      <c r="N10">
        <v>9</v>
      </c>
      <c r="O10">
        <f>H14</f>
        <v>1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IFERROR((AA10*SUM('Результаты матчей'!Q2:Q52))/(SUM('Результаты матчей'!Q2:Q52)),"-")</f>
        <v>1.2549019607843137</v>
      </c>
      <c r="AA10" s="133">
        <f>IFERROR(SUM(S2:S52)/SUM('Результаты матчей'!Q2:Q52),"-")</f>
        <v>1.2549019607843137</v>
      </c>
      <c r="AB10" s="134" t="s">
        <v>13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2</v>
      </c>
      <c r="K11" s="21" t="s">
        <v>68</v>
      </c>
      <c r="N11">
        <v>10</v>
      </c>
      <c r="O11">
        <f>H15</f>
        <v>2</v>
      </c>
      <c r="P11">
        <f>J15</f>
        <v>2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0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3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2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1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7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2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3</v>
      </c>
      <c r="P19">
        <f>D23</f>
        <v>2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1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0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2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0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3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3</v>
      </c>
      <c r="C23" s="11" t="s">
        <v>13</v>
      </c>
      <c r="D23" s="82">
        <v>2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2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2</v>
      </c>
      <c r="K25" s="85" t="s">
        <v>140</v>
      </c>
      <c r="N25">
        <v>24</v>
      </c>
      <c r="O25">
        <f>B27</f>
        <v>1</v>
      </c>
      <c r="P25">
        <f>D27</f>
        <v>2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2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2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2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4</v>
      </c>
      <c r="T26">
        <f t="shared" si="0"/>
        <v>25</v>
      </c>
      <c r="U26">
        <f t="shared" si="1"/>
        <v>0</v>
      </c>
      <c r="V26">
        <f>IF(S26=0,1,0)*N26*'Результаты матчей'!Q26</f>
        <v>0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2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2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3</v>
      </c>
      <c r="T27">
        <f t="shared" si="0"/>
        <v>26</v>
      </c>
      <c r="U27">
        <f t="shared" si="1"/>
        <v>0</v>
      </c>
      <c r="V27">
        <f>IF(S27=0,1,0)*N27*'Результаты матчей'!Q27</f>
        <v>0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1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3</v>
      </c>
      <c r="T29">
        <f t="shared" si="0"/>
        <v>28</v>
      </c>
      <c r="U29">
        <f t="shared" si="1"/>
        <v>0</v>
      </c>
      <c r="V29">
        <f>IF(S29=0,1,0)*N29*'Результаты матчей'!Q29</f>
        <v>0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1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4</v>
      </c>
      <c r="K30" s="88" t="s">
        <v>2</v>
      </c>
      <c r="N30">
        <v>29</v>
      </c>
      <c r="O30">
        <f>H29</f>
        <v>2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2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4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1</v>
      </c>
      <c r="K32" s="21" t="s">
        <v>12</v>
      </c>
      <c r="N32">
        <v>31</v>
      </c>
      <c r="O32">
        <f>H31</f>
        <v>2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1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0</v>
      </c>
      <c r="C34" s="83" t="s">
        <v>13</v>
      </c>
      <c r="D34" s="84">
        <v>2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0</v>
      </c>
      <c r="P34">
        <f>D34</f>
        <v>2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13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3</v>
      </c>
      <c r="K35" s="88" t="s">
        <v>67</v>
      </c>
      <c r="N35">
        <v>34</v>
      </c>
      <c r="O35">
        <f>B35</f>
        <v>0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13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3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4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2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1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6</v>
      </c>
      <c r="T39">
        <f t="shared" si="0"/>
        <v>38</v>
      </c>
      <c r="U39">
        <f t="shared" si="1"/>
        <v>38</v>
      </c>
      <c r="V39">
        <f>IF(S39=0,1,0)*N39*'Результаты матчей'!Q39</f>
        <v>0</v>
      </c>
      <c r="W39">
        <f>IF(S39&lt;6,1,0)*N39*'Результаты матчей'!Q39</f>
        <v>0</v>
      </c>
    </row>
    <row r="40" spans="1:24" ht="12.75" customHeight="1">
      <c r="A40" s="83" t="s">
        <v>0</v>
      </c>
      <c r="B40" s="84">
        <v>2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1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1</v>
      </c>
      <c r="I41" s="86" t="s">
        <v>13</v>
      </c>
      <c r="J41" s="87">
        <v>2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1</v>
      </c>
      <c r="K42" s="21" t="s">
        <v>67</v>
      </c>
      <c r="N42">
        <v>41</v>
      </c>
      <c r="O42">
        <f>H41</f>
        <v>1</v>
      </c>
      <c r="P42">
        <f>J41</f>
        <v>2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0</v>
      </c>
      <c r="T42">
        <f t="shared" si="0"/>
        <v>0</v>
      </c>
      <c r="U42">
        <f t="shared" si="1"/>
        <v>0</v>
      </c>
      <c r="V42">
        <f>IF(S42=0,1,0)*N42*'Результаты матчей'!Q42</f>
        <v>41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1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3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1</v>
      </c>
      <c r="I44" s="83" t="s">
        <v>13</v>
      </c>
      <c r="J44" s="84">
        <v>2</v>
      </c>
      <c r="K44" s="85" t="s">
        <v>152</v>
      </c>
      <c r="N44">
        <v>43</v>
      </c>
      <c r="O44">
        <f>B44</f>
        <v>3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1</v>
      </c>
      <c r="T44">
        <f t="shared" si="0"/>
        <v>43</v>
      </c>
      <c r="U44">
        <f t="shared" si="1"/>
        <v>0</v>
      </c>
      <c r="V44">
        <f>IF(S44=0,1,0)*N44*'Результаты матчей'!Q44</f>
        <v>0</v>
      </c>
      <c r="W44">
        <f>IF(S44&lt;6,1,0)*N44*'Результаты матчей'!Q44</f>
        <v>43</v>
      </c>
    </row>
    <row r="45" spans="1:24">
      <c r="N45">
        <v>44</v>
      </c>
      <c r="O45">
        <f>H44</f>
        <v>1</v>
      </c>
      <c r="P45">
        <f>J44</f>
        <v>2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6</v>
      </c>
      <c r="T45">
        <f t="shared" si="0"/>
        <v>44</v>
      </c>
      <c r="U45">
        <f t="shared" si="1"/>
        <v>44</v>
      </c>
      <c r="V45">
        <f>IF(S45=0,1,0)*N45*'Результаты матчей'!Q45</f>
        <v>0</v>
      </c>
      <c r="W45">
        <f>IF(S45&lt;6,1,0)*N45*'Результаты матчей'!Q45</f>
        <v>0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0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2</v>
      </c>
      <c r="P47">
        <f>J49</f>
        <v>1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1</v>
      </c>
      <c r="T47">
        <f t="shared" si="0"/>
        <v>46</v>
      </c>
      <c r="U47">
        <f t="shared" si="1"/>
        <v>0</v>
      </c>
      <c r="V47">
        <f>IF(S47=0,1,0)*N47*'Результаты матчей'!Q47</f>
        <v>0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0</v>
      </c>
      <c r="P48">
        <f>D51</f>
        <v>2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0</v>
      </c>
      <c r="E49" s="21" t="s">
        <v>1</v>
      </c>
      <c r="F49" s="2"/>
      <c r="G49" s="11" t="s">
        <v>141</v>
      </c>
      <c r="H49" s="82">
        <v>2</v>
      </c>
      <c r="I49" s="11" t="s">
        <v>13</v>
      </c>
      <c r="J49" s="82">
        <v>1</v>
      </c>
      <c r="K49" s="21" t="s">
        <v>67</v>
      </c>
      <c r="N49">
        <v>48</v>
      </c>
      <c r="O49">
        <f>H51</f>
        <v>0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0"/>
        <v>0</v>
      </c>
      <c r="U49">
        <f t="shared" si="1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0</v>
      </c>
      <c r="C51" s="83" t="s">
        <v>13</v>
      </c>
      <c r="D51" s="84">
        <v>2</v>
      </c>
      <c r="E51" s="85" t="s">
        <v>11</v>
      </c>
      <c r="F51" s="9"/>
      <c r="G51" s="83" t="s">
        <v>10</v>
      </c>
      <c r="H51" s="84">
        <v>0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2</v>
      </c>
      <c r="P51">
        <f>J56</f>
        <v>3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3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2</v>
      </c>
      <c r="I56" s="83" t="s">
        <v>13</v>
      </c>
      <c r="J56" s="84">
        <v>3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3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0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5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4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246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4" t="s">
        <v>88</v>
      </c>
      <c r="Z3" s="144" t="s">
        <v>16</v>
      </c>
      <c r="AA3" s="144" t="s">
        <v>88</v>
      </c>
      <c r="AB3" s="144" t="s">
        <v>16</v>
      </c>
      <c r="AC3" s="144" t="s">
        <v>88</v>
      </c>
      <c r="AD3" s="144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2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2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0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 t="s">
        <v>13</v>
      </c>
      <c r="Z7" s="130" t="s">
        <v>13</v>
      </c>
      <c r="AA7" s="131" t="s">
        <v>13</v>
      </c>
      <c r="AB7" s="58" t="s">
        <v>13</v>
      </c>
      <c r="AC7" s="131" t="s">
        <v>13</v>
      </c>
      <c r="AD7" s="58" t="s">
        <v>13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2</v>
      </c>
      <c r="K10" s="88" t="s">
        <v>142</v>
      </c>
      <c r="N10">
        <v>9</v>
      </c>
      <c r="O10">
        <f>H14</f>
        <v>2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3</v>
      </c>
      <c r="T10">
        <f t="shared" si="0"/>
        <v>9</v>
      </c>
      <c r="U10">
        <f t="shared" si="1"/>
        <v>0</v>
      </c>
      <c r="V10">
        <f>IF(S10=0,1,0)*N10*'Результаты матчей'!Q10</f>
        <v>0</v>
      </c>
      <c r="W10">
        <f>IF(S10&lt;6,1,0)*N10*'Результаты матчей'!Q10</f>
        <v>9</v>
      </c>
      <c r="X10" s="124"/>
      <c r="Y10" s="124" t="s">
        <v>92</v>
      </c>
      <c r="Z10" s="132">
        <f>IFERROR((AA10*SUM('Результаты матчей'!Q2:Q52))/(SUM('Результаты матчей'!Q2:Q52)),"-")</f>
        <v>1.1568627450980393</v>
      </c>
      <c r="AA10" s="133">
        <f>IFERROR(SUM(S2:S52)/SUM('Результаты матчей'!Q2:Q52),"-")</f>
        <v>1.1568627450980393</v>
      </c>
      <c r="AB10" s="134" t="s">
        <v>13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1</v>
      </c>
      <c r="P11">
        <f>J15</f>
        <v>2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1</v>
      </c>
      <c r="T11">
        <f t="shared" si="0"/>
        <v>10</v>
      </c>
      <c r="U11">
        <f t="shared" si="1"/>
        <v>0</v>
      </c>
      <c r="V11">
        <f>IF(S11=0,1,0)*N11*'Результаты матчей'!Q11</f>
        <v>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2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1</v>
      </c>
      <c r="P13">
        <f>D18</f>
        <v>1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6</v>
      </c>
      <c r="T13">
        <f t="shared" si="0"/>
        <v>12</v>
      </c>
      <c r="U13">
        <f t="shared" si="1"/>
        <v>12</v>
      </c>
      <c r="V13">
        <f>IF(S13=0,1,0)*N13*'Результаты матчей'!Q13</f>
        <v>0</v>
      </c>
      <c r="W13">
        <f>IF(S13&lt;6,1,0)*N13*'Результаты матчей'!Q13</f>
        <v>0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0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2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2</v>
      </c>
      <c r="K15" s="21" t="s">
        <v>11</v>
      </c>
      <c r="N15">
        <v>14</v>
      </c>
      <c r="O15">
        <f>H18</f>
        <v>2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1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20</v>
      </c>
      <c r="AC17" s="157"/>
      <c r="AD17" s="157"/>
    </row>
    <row r="18" spans="1:30" ht="12.75" customHeight="1">
      <c r="A18" s="86" t="s">
        <v>1</v>
      </c>
      <c r="B18" s="87">
        <v>1</v>
      </c>
      <c r="C18" s="86" t="s">
        <v>13</v>
      </c>
      <c r="D18" s="87">
        <v>1</v>
      </c>
      <c r="E18" s="88" t="s">
        <v>152</v>
      </c>
      <c r="F18" s="9"/>
      <c r="G18" s="86" t="s">
        <v>139</v>
      </c>
      <c r="H18" s="87">
        <v>2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1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4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3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3</v>
      </c>
      <c r="K22" s="88" t="s">
        <v>66</v>
      </c>
      <c r="N22">
        <v>21</v>
      </c>
      <c r="O22">
        <f>H23</f>
        <v>2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3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2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3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2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2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0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0</v>
      </c>
      <c r="P29">
        <f>D30</f>
        <v>3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3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1</v>
      </c>
      <c r="K30" s="88" t="s">
        <v>2</v>
      </c>
      <c r="N30">
        <v>29</v>
      </c>
      <c r="O30">
        <f>H29</f>
        <v>0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1</v>
      </c>
      <c r="T30">
        <f t="shared" si="0"/>
        <v>29</v>
      </c>
      <c r="U30">
        <f t="shared" si="1"/>
        <v>0</v>
      </c>
      <c r="V30">
        <f>IF(S30=0,1,0)*N30*'Результаты матчей'!Q30</f>
        <v>0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0</v>
      </c>
      <c r="I31" s="86" t="s">
        <v>13</v>
      </c>
      <c r="J31" s="87">
        <v>2</v>
      </c>
      <c r="K31" s="88" t="s">
        <v>143</v>
      </c>
      <c r="N31">
        <v>30</v>
      </c>
      <c r="O31">
        <f>H30</f>
        <v>0</v>
      </c>
      <c r="P31">
        <f>J30</f>
        <v>1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6</v>
      </c>
      <c r="T31">
        <f t="shared" si="0"/>
        <v>30</v>
      </c>
      <c r="U31">
        <f t="shared" si="1"/>
        <v>30</v>
      </c>
      <c r="V31">
        <f>IF(S31=0,1,0)*N31*'Результаты матчей'!Q31</f>
        <v>0</v>
      </c>
      <c r="W31">
        <f>IF(S31&lt;6,1,0)*N31*'Результаты матчей'!Q31</f>
        <v>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0</v>
      </c>
      <c r="P32">
        <f>J31</f>
        <v>2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6</v>
      </c>
      <c r="T32">
        <f t="shared" si="0"/>
        <v>31</v>
      </c>
      <c r="U32">
        <f t="shared" si="1"/>
        <v>31</v>
      </c>
      <c r="V32">
        <f>IF(S32=0,1,0)*N32*'Результаты матчей'!Q32</f>
        <v>0</v>
      </c>
      <c r="W32">
        <f>IF(S32&lt;6,1,0)*N32*'Результаты матчей'!Q32</f>
        <v>0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2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2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1</v>
      </c>
      <c r="T34">
        <f t="shared" si="0"/>
        <v>33</v>
      </c>
      <c r="U34">
        <f t="shared" si="1"/>
        <v>0</v>
      </c>
      <c r="V34">
        <f>IF(S34=0,1,0)*N34*'Результаты матчей'!Q34</f>
        <v>0</v>
      </c>
      <c r="W34">
        <f>IF(S34&lt;6,1,0)*N34*'Результаты матчей'!Q34</f>
        <v>33</v>
      </c>
      <c r="X34" s="27" t="s">
        <v>13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3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0</v>
      </c>
      <c r="K35" s="88" t="s">
        <v>67</v>
      </c>
      <c r="N35">
        <v>34</v>
      </c>
      <c r="O35">
        <f>B35</f>
        <v>1</v>
      </c>
      <c r="P35">
        <f>D35</f>
        <v>3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13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0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0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1</v>
      </c>
      <c r="P39">
        <f>D41</f>
        <v>1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0</v>
      </c>
      <c r="T39">
        <f t="shared" si="0"/>
        <v>0</v>
      </c>
      <c r="U39">
        <f t="shared" si="1"/>
        <v>0</v>
      </c>
      <c r="V39">
        <f>IF(S39=0,1,0)*N39*'Результаты матчей'!Q39</f>
        <v>38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0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1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4</v>
      </c>
      <c r="T40">
        <f t="shared" si="0"/>
        <v>39</v>
      </c>
      <c r="U40">
        <f t="shared" si="1"/>
        <v>0</v>
      </c>
      <c r="V40">
        <f>IF(S40=0,1,0)*N40*'Результаты матчей'!Q40</f>
        <v>0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1</v>
      </c>
      <c r="C41" s="86" t="s">
        <v>13</v>
      </c>
      <c r="D41" s="87">
        <v>1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1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2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2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0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1</v>
      </c>
      <c r="K44" s="85" t="s">
        <v>152</v>
      </c>
      <c r="N44">
        <v>43</v>
      </c>
      <c r="O44">
        <f>B44</f>
        <v>0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1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0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1</v>
      </c>
      <c r="T47">
        <f t="shared" si="0"/>
        <v>46</v>
      </c>
      <c r="U47">
        <f t="shared" si="1"/>
        <v>0</v>
      </c>
      <c r="V47">
        <f>IF(S47=0,1,0)*N47*'Результаты матчей'!Q47</f>
        <v>0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0</v>
      </c>
      <c r="K49" s="21" t="s">
        <v>67</v>
      </c>
      <c r="N49">
        <v>48</v>
      </c>
      <c r="O49">
        <f>H51</f>
        <v>1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0"/>
        <v>0</v>
      </c>
      <c r="U49">
        <f t="shared" si="1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1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1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1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3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2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247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44" t="s">
        <v>88</v>
      </c>
      <c r="Z3" s="144" t="s">
        <v>16</v>
      </c>
      <c r="AA3" s="144" t="s">
        <v>88</v>
      </c>
      <c r="AB3" s="144" t="s">
        <v>16</v>
      </c>
      <c r="AC3" s="144" t="s">
        <v>88</v>
      </c>
      <c r="AD3" s="144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2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>
        <v>4</v>
      </c>
      <c r="Z4" s="126">
        <v>44</v>
      </c>
      <c r="AA4" s="127">
        <v>2</v>
      </c>
      <c r="AB4" s="128">
        <v>40</v>
      </c>
      <c r="AC4" s="127">
        <v>7</v>
      </c>
      <c r="AD4" s="128">
        <v>4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6</v>
      </c>
      <c r="Z5" s="130">
        <v>76</v>
      </c>
      <c r="AA5" s="131">
        <v>9</v>
      </c>
      <c r="AB5" s="58">
        <v>48</v>
      </c>
      <c r="AC5" s="131">
        <v>4</v>
      </c>
      <c r="AD5" s="58">
        <v>28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10</v>
      </c>
      <c r="Z6" s="130">
        <v>37</v>
      </c>
      <c r="AA6" s="131">
        <v>8</v>
      </c>
      <c r="AB6" s="58">
        <v>31</v>
      </c>
      <c r="AC6" s="131">
        <v>10</v>
      </c>
      <c r="AD6" s="58">
        <v>6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3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11</v>
      </c>
      <c r="Z7" s="130">
        <v>72</v>
      </c>
      <c r="AA7" s="131">
        <v>15</v>
      </c>
      <c r="AB7" s="58">
        <v>37</v>
      </c>
      <c r="AC7" s="131">
        <v>11</v>
      </c>
      <c r="AD7" s="58">
        <v>23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3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1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6</v>
      </c>
      <c r="T9">
        <f t="shared" si="0"/>
        <v>8</v>
      </c>
      <c r="U9">
        <f t="shared" si="1"/>
        <v>8</v>
      </c>
      <c r="V9">
        <f>IF(S9=0,1,0)*N9*'Результаты матчей'!Q9</f>
        <v>0</v>
      </c>
      <c r="W9">
        <f>IF(S9&lt;6,1,0)*N9*'Результаты матчей'!Q9</f>
        <v>0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2</v>
      </c>
      <c r="K10" s="88" t="s">
        <v>142</v>
      </c>
      <c r="N10">
        <v>9</v>
      </c>
      <c r="O10">
        <f>H14</f>
        <v>1</v>
      </c>
      <c r="P10">
        <f>J14</f>
        <v>3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1.1991701244813278</v>
      </c>
      <c r="AA10" s="133">
        <f>IFERROR(SUM(S2:S52)/SUM('Результаты матчей'!Q2:Q52),"-")</f>
        <v>1.411764705882353</v>
      </c>
      <c r="AB10" s="134">
        <f>60/64</f>
        <v>0.9375</v>
      </c>
      <c r="AC10" s="134">
        <f>37/31</f>
        <v>1.1935483870967742</v>
      </c>
      <c r="AD10" s="134">
        <f>76/64</f>
        <v>1.1875</v>
      </c>
      <c r="AE10" s="134">
        <f>44/31</f>
        <v>1.4193548387096775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2</v>
      </c>
      <c r="P11">
        <f>J15</f>
        <v>0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3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1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4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3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3</v>
      </c>
      <c r="K14" s="88" t="s">
        <v>149</v>
      </c>
      <c r="N14">
        <v>13</v>
      </c>
      <c r="O14">
        <f>H17</f>
        <v>2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0</v>
      </c>
      <c r="K15" s="21" t="s">
        <v>11</v>
      </c>
      <c r="N15">
        <v>14</v>
      </c>
      <c r="O15">
        <f>H18</f>
        <v>1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6</v>
      </c>
      <c r="T15">
        <f t="shared" si="0"/>
        <v>14</v>
      </c>
      <c r="U15">
        <f t="shared" si="1"/>
        <v>14</v>
      </c>
      <c r="V15">
        <f>IF(S15=0,1,0)*N15*'Результаты матчей'!Q15</f>
        <v>0</v>
      </c>
      <c r="W15">
        <f>IF(S15&lt;6,1,0)*N15*'Результаты матчей'!Q15</f>
        <v>0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0"/>
        <v>15</v>
      </c>
      <c r="U16">
        <f t="shared" si="1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3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2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1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4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15</v>
      </c>
      <c r="AC17" s="157"/>
      <c r="AD17" s="157"/>
    </row>
    <row r="18" spans="1:30" ht="12.75" customHeight="1">
      <c r="A18" s="86" t="s">
        <v>1</v>
      </c>
      <c r="B18" s="87">
        <v>4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1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3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3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6</v>
      </c>
      <c r="T20">
        <f t="shared" si="0"/>
        <v>19</v>
      </c>
      <c r="U20">
        <f t="shared" si="1"/>
        <v>19</v>
      </c>
      <c r="V20">
        <f>IF(S20=0,1,0)*N20*'Результаты матчей'!Q20</f>
        <v>0</v>
      </c>
      <c r="W20">
        <f>IF(S20&lt;6,1,0)*N20*'Результаты матчей'!Q20</f>
        <v>0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2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6</v>
      </c>
      <c r="T21">
        <f t="shared" si="0"/>
        <v>20</v>
      </c>
      <c r="U21">
        <f t="shared" si="1"/>
        <v>20</v>
      </c>
      <c r="V21">
        <f>IF(S21=0,1,0)*N21*'Результаты матчей'!Q21</f>
        <v>0</v>
      </c>
      <c r="W21">
        <f>IF(S21&lt;6,1,0)*N21*'Результаты матчей'!Q21</f>
        <v>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3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2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3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6</v>
      </c>
      <c r="T22">
        <f t="shared" si="0"/>
        <v>21</v>
      </c>
      <c r="U22">
        <f t="shared" si="1"/>
        <v>21</v>
      </c>
      <c r="V22">
        <f>IF(S22=0,1,0)*N22*'Результаты матчей'!Q22</f>
        <v>0</v>
      </c>
      <c r="W22">
        <f>IF(S22&lt;6,1,0)*N22*'Результаты матчей'!Q22</f>
        <v>0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3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3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6</v>
      </c>
      <c r="T23">
        <f t="shared" si="0"/>
        <v>22</v>
      </c>
      <c r="U23">
        <f t="shared" si="1"/>
        <v>22</v>
      </c>
      <c r="V23">
        <f>IF(S23=0,1,0)*N23*'Результаты матчей'!Q23</f>
        <v>0</v>
      </c>
      <c r="W23">
        <f>IF(S23&lt;6,1,0)*N23*'Результаты матчей'!Q23</f>
        <v>0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0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3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0</v>
      </c>
      <c r="K25" s="85" t="s">
        <v>140</v>
      </c>
      <c r="N25">
        <v>24</v>
      </c>
      <c r="O25">
        <f>B27</f>
        <v>1</v>
      </c>
      <c r="P25">
        <f>D27</f>
        <v>0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0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0</v>
      </c>
      <c r="I26" s="86" t="s">
        <v>13</v>
      </c>
      <c r="J26" s="87">
        <v>1</v>
      </c>
      <c r="K26" s="88" t="s">
        <v>10</v>
      </c>
      <c r="N26">
        <v>25</v>
      </c>
      <c r="O26">
        <f>H25</f>
        <v>1</v>
      </c>
      <c r="P26">
        <f>J25</f>
        <v>0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0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0</v>
      </c>
      <c r="P27">
        <f>J26</f>
        <v>1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0</v>
      </c>
      <c r="P29">
        <f>D30</f>
        <v>3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3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5</v>
      </c>
      <c r="K30" s="88" t="s">
        <v>2</v>
      </c>
      <c r="N30">
        <v>29</v>
      </c>
      <c r="O30">
        <f>H29</f>
        <v>2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с набранными баллами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3</v>
      </c>
      <c r="I31" s="86" t="s">
        <v>13</v>
      </c>
      <c r="J31" s="87">
        <v>2</v>
      </c>
      <c r="K31" s="88" t="s">
        <v>143</v>
      </c>
      <c r="N31">
        <v>30</v>
      </c>
      <c r="O31">
        <f>H30</f>
        <v>0</v>
      </c>
      <c r="P31">
        <f>J30</f>
        <v>5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0</v>
      </c>
      <c r="K32" s="21" t="s">
        <v>12</v>
      </c>
      <c r="N32">
        <v>31</v>
      </c>
      <c r="O32">
        <f>H31</f>
        <v>3</v>
      </c>
      <c r="P32">
        <f>J31</f>
        <v>2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0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4</v>
      </c>
      <c r="T33">
        <f t="shared" si="0"/>
        <v>32</v>
      </c>
      <c r="U33">
        <f t="shared" si="1"/>
        <v>0</v>
      </c>
      <c r="V33">
        <f>IF(S33=0,1,0)*N33*'Результаты матчей'!Q33</f>
        <v>0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2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2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248</v>
      </c>
    </row>
    <row r="35" spans="1:24" ht="12.75" customHeight="1">
      <c r="A35" s="86" t="s">
        <v>151</v>
      </c>
      <c r="B35" s="87">
        <v>1</v>
      </c>
      <c r="C35" s="86" t="s">
        <v>13</v>
      </c>
      <c r="D35" s="87">
        <v>4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1</v>
      </c>
      <c r="P35">
        <f>D35</f>
        <v>4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249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6</v>
      </c>
      <c r="T37">
        <f t="shared" si="0"/>
        <v>36</v>
      </c>
      <c r="U37">
        <f t="shared" si="1"/>
        <v>36</v>
      </c>
      <c r="V37">
        <f>IF(S37=0,1,0)*N37*'Результаты матчей'!Q37</f>
        <v>0</v>
      </c>
      <c r="W37">
        <f>IF(S37&lt;6,1,0)*N37*'Результаты матчей'!Q37</f>
        <v>0</v>
      </c>
    </row>
    <row r="38" spans="1:24" ht="12.75" customHeight="1">
      <c r="N38">
        <v>37</v>
      </c>
      <c r="O38">
        <f>B40</f>
        <v>0</v>
      </c>
      <c r="P38">
        <f>D40</f>
        <v>2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2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3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3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2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2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1</v>
      </c>
      <c r="T44">
        <f t="shared" si="0"/>
        <v>43</v>
      </c>
      <c r="U44">
        <f t="shared" si="1"/>
        <v>0</v>
      </c>
      <c r="V44">
        <f>IF(S44=0,1,0)*N44*'Результаты матчей'!Q44</f>
        <v>0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0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3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0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151">
        <v>1</v>
      </c>
      <c r="C49" s="11" t="s">
        <v>13</v>
      </c>
      <c r="D49" s="151">
        <v>0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3</v>
      </c>
      <c r="K49" s="21" t="s">
        <v>67</v>
      </c>
      <c r="N49">
        <v>48</v>
      </c>
      <c r="O49">
        <f>H51</f>
        <v>2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3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149">
        <v>0</v>
      </c>
      <c r="C51" s="83" t="s">
        <v>13</v>
      </c>
      <c r="D51" s="149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2</v>
      </c>
      <c r="P51">
        <f>J56</f>
        <v>4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4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3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1</v>
      </c>
      <c r="T52">
        <f t="shared" si="0"/>
        <v>51</v>
      </c>
      <c r="U52">
        <f t="shared" si="1"/>
        <v>0</v>
      </c>
      <c r="V52">
        <f>IF(S52=0,1,0)*N52*'Результаты матчей'!Q52</f>
        <v>0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3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2</v>
      </c>
      <c r="I56" s="83" t="s">
        <v>13</v>
      </c>
      <c r="J56" s="84">
        <v>4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3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2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1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0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1"/>
  <sheetViews>
    <sheetView workbookViewId="0">
      <pane ySplit="3" topLeftCell="A436" activePane="bottomLeft" state="frozen"/>
      <selection pane="bottomLeft" activeCell="A436" sqref="A436"/>
    </sheetView>
  </sheetViews>
  <sheetFormatPr defaultRowHeight="12.75"/>
  <cols>
    <col min="1" max="1" width="34.28515625" style="23" customWidth="1"/>
    <col min="2" max="5" width="11.140625" style="31" customWidth="1"/>
    <col min="6" max="16384" width="9.140625" style="23"/>
  </cols>
  <sheetData>
    <row r="1" spans="1:5" ht="18" customHeight="1">
      <c r="A1" s="40" t="s">
        <v>130</v>
      </c>
      <c r="B1" s="89"/>
      <c r="C1" s="89"/>
      <c r="D1" s="89"/>
      <c r="E1" s="69" t="s">
        <v>112</v>
      </c>
    </row>
    <row r="4" spans="1:5">
      <c r="A4" s="95" t="s">
        <v>137</v>
      </c>
      <c r="B4" s="96"/>
      <c r="C4" s="96"/>
      <c r="D4" s="96"/>
      <c r="E4" s="96"/>
    </row>
    <row r="5" spans="1:5">
      <c r="A5" s="90">
        <v>1</v>
      </c>
      <c r="B5" s="91" t="s">
        <v>108</v>
      </c>
      <c r="C5" s="91" t="s">
        <v>109</v>
      </c>
      <c r="D5" s="91" t="s">
        <v>110</v>
      </c>
      <c r="E5" s="91" t="s">
        <v>111</v>
      </c>
    </row>
    <row r="6" spans="1:5" ht="20.25">
      <c r="A6" s="92" t="s">
        <v>10</v>
      </c>
      <c r="B6" s="97">
        <f>IF(INDEX('Результаты матчей'!$N$2:$R$65,A5,4)=1,INDEX('Результаты матчей'!$N$2:$R$65,A5,2),"-")</f>
        <v>2</v>
      </c>
      <c r="C6" s="93">
        <f>AVERAGE('01 Акиловский Руслан:19 Щербич Никита'!O2)</f>
        <v>2.2105263157894739</v>
      </c>
      <c r="D6" s="94">
        <v>3</v>
      </c>
      <c r="E6" s="94">
        <v>2</v>
      </c>
    </row>
    <row r="7" spans="1:5" ht="20.25">
      <c r="A7" s="92" t="s">
        <v>139</v>
      </c>
      <c r="B7" s="97">
        <f>IF(INDEX('Результаты матчей'!$N$2:$R$65,A5,4)=1,INDEX('Результаты матчей'!$N$2:$R$65,A5,3),"-")</f>
        <v>1</v>
      </c>
      <c r="C7" s="93">
        <f>AVERAGE('01 Акиловский Руслан:19 Щербич Никита'!P2)</f>
        <v>0.31578947368421051</v>
      </c>
      <c r="D7" s="94">
        <v>0</v>
      </c>
      <c r="E7" s="94">
        <v>4</v>
      </c>
    </row>
    <row r="8" spans="1:5">
      <c r="A8" s="35"/>
      <c r="B8" s="32" t="s">
        <v>14</v>
      </c>
      <c r="C8" s="32" t="str">
        <f>A6</f>
        <v>Франция</v>
      </c>
      <c r="D8" s="32" t="s">
        <v>113</v>
      </c>
      <c r="E8" s="32" t="str">
        <f>A7</f>
        <v>Румыния</v>
      </c>
    </row>
    <row r="9" spans="1:5">
      <c r="A9" s="98" t="s">
        <v>118</v>
      </c>
      <c r="B9" s="99">
        <v>19</v>
      </c>
      <c r="C9" s="99">
        <v>17</v>
      </c>
      <c r="D9" s="99">
        <v>1</v>
      </c>
      <c r="E9" s="99">
        <v>1</v>
      </c>
    </row>
    <row r="10" spans="1:5">
      <c r="A10" s="34"/>
      <c r="B10" s="33" t="s">
        <v>117</v>
      </c>
      <c r="C10" s="33" t="s">
        <v>114</v>
      </c>
      <c r="D10" s="33" t="s">
        <v>115</v>
      </c>
      <c r="E10" s="33" t="s">
        <v>116</v>
      </c>
    </row>
    <row r="11" spans="1:5">
      <c r="A11" s="98" t="s">
        <v>119</v>
      </c>
      <c r="B11" s="99">
        <f>INDEX('Результаты матчей'!$N$2:$R$65,A5,5)</f>
        <v>26</v>
      </c>
      <c r="C11" s="99">
        <v>0</v>
      </c>
      <c r="D11" s="99">
        <v>3</v>
      </c>
      <c r="E11" s="99">
        <v>14</v>
      </c>
    </row>
    <row r="13" spans="1:5">
      <c r="A13" s="95" t="s">
        <v>138</v>
      </c>
      <c r="B13" s="96"/>
      <c r="C13" s="96"/>
      <c r="D13" s="96"/>
      <c r="E13" s="96"/>
    </row>
    <row r="14" spans="1:5">
      <c r="A14" s="90">
        <v>2</v>
      </c>
      <c r="B14" s="91" t="s">
        <v>108</v>
      </c>
      <c r="C14" s="91" t="s">
        <v>109</v>
      </c>
      <c r="D14" s="91" t="s">
        <v>110</v>
      </c>
      <c r="E14" s="91" t="s">
        <v>111</v>
      </c>
    </row>
    <row r="15" spans="1:5" ht="20.25">
      <c r="A15" s="92" t="s">
        <v>140</v>
      </c>
      <c r="B15" s="97">
        <f>IF(INDEX('Результаты матчей'!$N$2:$R$65,A14,4)=1,INDEX('Результаты матчей'!$N$2:$R$65,A14,2),"-")</f>
        <v>0</v>
      </c>
      <c r="C15" s="93">
        <f>AVERAGE('01 Акиловский Руслан:19 Щербич Никита'!O3)</f>
        <v>0.57894736842105265</v>
      </c>
      <c r="D15" s="94">
        <v>0</v>
      </c>
      <c r="E15" s="94">
        <v>1</v>
      </c>
    </row>
    <row r="16" spans="1:5" ht="20.25">
      <c r="A16" s="92" t="s">
        <v>0</v>
      </c>
      <c r="B16" s="97">
        <f>IF(INDEX('Результаты матчей'!$N$2:$R$65,A14,4)=1,INDEX('Результаты матчей'!$N$2:$R$65,A14,3),"-")</f>
        <v>1</v>
      </c>
      <c r="C16" s="93">
        <f>AVERAGE('01 Акиловский Руслан:19 Щербич Никита'!P3)</f>
        <v>1.736842105263158</v>
      </c>
      <c r="D16" s="94">
        <v>2</v>
      </c>
      <c r="E16" s="94">
        <v>1</v>
      </c>
    </row>
    <row r="17" spans="1:5">
      <c r="A17" s="35"/>
      <c r="B17" s="32" t="s">
        <v>14</v>
      </c>
      <c r="C17" s="32" t="str">
        <f>A15</f>
        <v>Албания</v>
      </c>
      <c r="D17" s="32" t="s">
        <v>113</v>
      </c>
      <c r="E17" s="32" t="str">
        <f>A16</f>
        <v>Швейцария</v>
      </c>
    </row>
    <row r="18" spans="1:5">
      <c r="A18" s="98" t="s">
        <v>118</v>
      </c>
      <c r="B18" s="99">
        <v>19</v>
      </c>
      <c r="C18" s="99">
        <v>0</v>
      </c>
      <c r="D18" s="99">
        <v>2</v>
      </c>
      <c r="E18" s="99">
        <v>17</v>
      </c>
    </row>
    <row r="19" spans="1:5">
      <c r="A19" s="34"/>
      <c r="B19" s="33" t="s">
        <v>117</v>
      </c>
      <c r="C19" s="33" t="s">
        <v>114</v>
      </c>
      <c r="D19" s="33" t="s">
        <v>115</v>
      </c>
      <c r="E19" s="33" t="s">
        <v>116</v>
      </c>
    </row>
    <row r="20" spans="1:5">
      <c r="A20" s="98" t="s">
        <v>119</v>
      </c>
      <c r="B20" s="99">
        <f>INDEX('Результаты матчей'!$N$2:$R$65,A14,5)</f>
        <v>61</v>
      </c>
      <c r="C20" s="99">
        <v>4</v>
      </c>
      <c r="D20" s="99">
        <v>8</v>
      </c>
      <c r="E20" s="99">
        <v>5</v>
      </c>
    </row>
    <row r="22" spans="1:5">
      <c r="A22" s="95" t="s">
        <v>138</v>
      </c>
      <c r="B22" s="96"/>
      <c r="C22" s="96"/>
      <c r="D22" s="96"/>
      <c r="E22" s="96"/>
    </row>
    <row r="23" spans="1:5">
      <c r="A23" s="90">
        <v>3</v>
      </c>
      <c r="B23" s="91" t="s">
        <v>108</v>
      </c>
      <c r="C23" s="91" t="s">
        <v>109</v>
      </c>
      <c r="D23" s="91" t="s">
        <v>110</v>
      </c>
      <c r="E23" s="91" t="s">
        <v>111</v>
      </c>
    </row>
    <row r="24" spans="1:5" ht="20.25">
      <c r="A24" s="92" t="s">
        <v>141</v>
      </c>
      <c r="B24" s="97">
        <f>IF(INDEX('Результаты матчей'!$N$2:$R$65,A23,4)=1,INDEX('Результаты матчей'!$N$2:$R$65,A23,2),"-")</f>
        <v>2</v>
      </c>
      <c r="C24" s="93">
        <f>AVERAGE('01 Акиловский Руслан:19 Щербич Никита'!O4)</f>
        <v>1.2105263157894737</v>
      </c>
      <c r="D24" s="94">
        <v>2</v>
      </c>
      <c r="E24" s="94">
        <v>0</v>
      </c>
    </row>
    <row r="25" spans="1:5" ht="20.25">
      <c r="A25" s="92" t="s">
        <v>142</v>
      </c>
      <c r="B25" s="97">
        <f>IF(INDEX('Результаты матчей'!$N$2:$R$65,A23,4)=1,INDEX('Результаты матчей'!$N$2:$R$65,A23,3),"-")</f>
        <v>1</v>
      </c>
      <c r="C25" s="93">
        <f>AVERAGE('01 Акиловский Руслан:19 Щербич Никита'!P4)</f>
        <v>0.89473684210526316</v>
      </c>
      <c r="D25" s="94">
        <v>1</v>
      </c>
      <c r="E25" s="94">
        <v>2</v>
      </c>
    </row>
    <row r="26" spans="1:5">
      <c r="A26" s="35"/>
      <c r="B26" s="32" t="s">
        <v>14</v>
      </c>
      <c r="C26" s="32" t="str">
        <f>A24</f>
        <v>Уэльс</v>
      </c>
      <c r="D26" s="32" t="s">
        <v>113</v>
      </c>
      <c r="E26" s="32" t="str">
        <f>A25</f>
        <v>Словакия</v>
      </c>
    </row>
    <row r="27" spans="1:5">
      <c r="A27" s="98" t="s">
        <v>118</v>
      </c>
      <c r="B27" s="99">
        <v>19</v>
      </c>
      <c r="C27" s="99">
        <v>8</v>
      </c>
      <c r="D27" s="99">
        <v>8</v>
      </c>
      <c r="E27" s="99">
        <v>3</v>
      </c>
    </row>
    <row r="28" spans="1:5">
      <c r="A28" s="34"/>
      <c r="B28" s="33" t="s">
        <v>117</v>
      </c>
      <c r="C28" s="33" t="s">
        <v>114</v>
      </c>
      <c r="D28" s="33" t="s">
        <v>115</v>
      </c>
      <c r="E28" s="33" t="s">
        <v>116</v>
      </c>
    </row>
    <row r="29" spans="1:5">
      <c r="A29" s="98" t="s">
        <v>119</v>
      </c>
      <c r="B29" s="99">
        <f>INDEX('Результаты матчей'!$N$2:$R$65,A23,5)</f>
        <v>34</v>
      </c>
      <c r="C29" s="99">
        <v>4</v>
      </c>
      <c r="D29" s="99">
        <v>2</v>
      </c>
      <c r="E29" s="99">
        <v>2</v>
      </c>
    </row>
    <row r="31" spans="1:5">
      <c r="A31" s="95" t="s">
        <v>138</v>
      </c>
      <c r="B31" s="96"/>
      <c r="C31" s="96"/>
      <c r="D31" s="96"/>
      <c r="E31" s="96"/>
    </row>
    <row r="32" spans="1:5">
      <c r="A32" s="90">
        <v>4</v>
      </c>
      <c r="B32" s="91" t="s">
        <v>108</v>
      </c>
      <c r="C32" s="91" t="s">
        <v>109</v>
      </c>
      <c r="D32" s="91" t="s">
        <v>110</v>
      </c>
      <c r="E32" s="91" t="s">
        <v>111</v>
      </c>
    </row>
    <row r="33" spans="1:5" ht="20.25">
      <c r="A33" s="92" t="s">
        <v>21</v>
      </c>
      <c r="B33" s="97">
        <f>IF(INDEX('Результаты матчей'!$N$2:$R$65,A32,4)=1,INDEX('Результаты матчей'!$N$2:$R$65,A32,2),"-")</f>
        <v>1</v>
      </c>
      <c r="C33" s="93">
        <f>AVERAGE('01 Акиловский Руслан:19 Щербич Никита'!O5)</f>
        <v>1.6842105263157894</v>
      </c>
      <c r="D33" s="94">
        <v>2</v>
      </c>
      <c r="E33" s="94">
        <v>1</v>
      </c>
    </row>
    <row r="34" spans="1:5" ht="20.25">
      <c r="A34" s="92" t="s">
        <v>68</v>
      </c>
      <c r="B34" s="97">
        <f>IF(INDEX('Результаты матчей'!$N$2:$R$65,A32,4)=1,INDEX('Результаты матчей'!$N$2:$R$65,A32,3),"-")</f>
        <v>1</v>
      </c>
      <c r="C34" s="93">
        <f>AVERAGE('01 Акиловский Руслан:19 Щербич Никита'!P5)</f>
        <v>0.84210526315789469</v>
      </c>
      <c r="D34" s="94">
        <v>1</v>
      </c>
      <c r="E34" s="94">
        <v>3</v>
      </c>
    </row>
    <row r="35" spans="1:5">
      <c r="A35" s="35"/>
      <c r="B35" s="32" t="s">
        <v>14</v>
      </c>
      <c r="C35" s="32" t="str">
        <f>A33</f>
        <v>Англия</v>
      </c>
      <c r="D35" s="32" t="s">
        <v>113</v>
      </c>
      <c r="E35" s="32" t="str">
        <f>A34</f>
        <v>Россия</v>
      </c>
    </row>
    <row r="36" spans="1:5">
      <c r="A36" s="98" t="s">
        <v>118</v>
      </c>
      <c r="B36" s="99">
        <v>19</v>
      </c>
      <c r="C36" s="99">
        <v>13</v>
      </c>
      <c r="D36" s="99">
        <v>2</v>
      </c>
      <c r="E36" s="99">
        <v>4</v>
      </c>
    </row>
    <row r="37" spans="1:5">
      <c r="A37" s="34"/>
      <c r="B37" s="33" t="s">
        <v>117</v>
      </c>
      <c r="C37" s="33" t="s">
        <v>114</v>
      </c>
      <c r="D37" s="33" t="s">
        <v>115</v>
      </c>
      <c r="E37" s="33" t="s">
        <v>116</v>
      </c>
    </row>
    <row r="38" spans="1:5">
      <c r="A38" s="98" t="s">
        <v>119</v>
      </c>
      <c r="B38" s="99">
        <f>INDEX('Результаты матчей'!$N$2:$R$65,A32,5)</f>
        <v>12</v>
      </c>
      <c r="C38" s="99">
        <v>2</v>
      </c>
      <c r="D38" s="99">
        <v>0</v>
      </c>
      <c r="E38" s="99">
        <v>0</v>
      </c>
    </row>
    <row r="40" spans="1:5">
      <c r="A40" s="95" t="s">
        <v>3</v>
      </c>
      <c r="B40" s="96"/>
      <c r="C40" s="96"/>
      <c r="D40" s="96"/>
      <c r="E40" s="96"/>
    </row>
    <row r="41" spans="1:5">
      <c r="A41" s="90">
        <v>5</v>
      </c>
      <c r="B41" s="91" t="s">
        <v>108</v>
      </c>
      <c r="C41" s="91" t="s">
        <v>109</v>
      </c>
      <c r="D41" s="91" t="s">
        <v>110</v>
      </c>
      <c r="E41" s="91" t="s">
        <v>111</v>
      </c>
    </row>
    <row r="42" spans="1:5" ht="20.25">
      <c r="A42" s="92" t="s">
        <v>143</v>
      </c>
      <c r="B42" s="97">
        <f>IF(INDEX('Результаты матчей'!$N$2:$R$65,A41,4)=1,INDEX('Результаты матчей'!$N$2:$R$65,A41,2),"-")</f>
        <v>0</v>
      </c>
      <c r="C42" s="93">
        <f>AVERAGE('01 Акиловский Руслан:19 Щербич Никита'!O6)</f>
        <v>1.2105263157894737</v>
      </c>
      <c r="D42" s="94">
        <v>0</v>
      </c>
      <c r="E42" s="94">
        <v>3</v>
      </c>
    </row>
    <row r="43" spans="1:5" ht="20.25">
      <c r="A43" s="92" t="s">
        <v>66</v>
      </c>
      <c r="B43" s="97">
        <f>IF(INDEX('Результаты матчей'!$N$2:$R$65,A41,4)=1,INDEX('Результаты матчей'!$N$2:$R$65,A41,3),"-")</f>
        <v>1</v>
      </c>
      <c r="C43" s="93">
        <f>AVERAGE('01 Акиловский Руслан:19 Щербич Никита'!P6)</f>
        <v>1.736842105263158</v>
      </c>
      <c r="D43" s="94">
        <v>1</v>
      </c>
      <c r="E43" s="94">
        <v>1</v>
      </c>
    </row>
    <row r="44" spans="1:5">
      <c r="A44" s="35"/>
      <c r="B44" s="32" t="s">
        <v>14</v>
      </c>
      <c r="C44" s="32" t="str">
        <f>A42</f>
        <v>Турция</v>
      </c>
      <c r="D44" s="32" t="s">
        <v>113</v>
      </c>
      <c r="E44" s="32" t="str">
        <f>A43</f>
        <v>Хорватия</v>
      </c>
    </row>
    <row r="45" spans="1:5">
      <c r="A45" s="98" t="s">
        <v>118</v>
      </c>
      <c r="B45" s="99">
        <v>19</v>
      </c>
      <c r="C45" s="99">
        <v>3</v>
      </c>
      <c r="D45" s="99">
        <v>4</v>
      </c>
      <c r="E45" s="99">
        <v>12</v>
      </c>
    </row>
    <row r="46" spans="1:5">
      <c r="A46" s="34"/>
      <c r="B46" s="33" t="s">
        <v>117</v>
      </c>
      <c r="C46" s="33" t="s">
        <v>114</v>
      </c>
      <c r="D46" s="33" t="s">
        <v>115</v>
      </c>
      <c r="E46" s="33" t="s">
        <v>116</v>
      </c>
    </row>
    <row r="47" spans="1:5">
      <c r="A47" s="98" t="s">
        <v>119</v>
      </c>
      <c r="B47" s="99">
        <f>INDEX('Результаты матчей'!$N$2:$R$65,A41,5)</f>
        <v>50</v>
      </c>
      <c r="C47" s="99">
        <v>4</v>
      </c>
      <c r="D47" s="99">
        <v>6</v>
      </c>
      <c r="E47" s="99">
        <v>2</v>
      </c>
    </row>
    <row r="49" spans="1:5">
      <c r="A49" s="95" t="s">
        <v>3</v>
      </c>
      <c r="B49" s="96"/>
      <c r="C49" s="96"/>
      <c r="D49" s="96"/>
      <c r="E49" s="96"/>
    </row>
    <row r="50" spans="1:5">
      <c r="A50" s="90">
        <v>6</v>
      </c>
      <c r="B50" s="91" t="s">
        <v>108</v>
      </c>
      <c r="C50" s="91" t="s">
        <v>109</v>
      </c>
      <c r="D50" s="91" t="s">
        <v>110</v>
      </c>
      <c r="E50" s="91" t="s">
        <v>111</v>
      </c>
    </row>
    <row r="51" spans="1:5" ht="20.25">
      <c r="A51" s="92" t="s">
        <v>144</v>
      </c>
      <c r="B51" s="97">
        <f>IF(INDEX('Результаты матчей'!$N$2:$R$65,A50,4)=1,INDEX('Результаты матчей'!$N$2:$R$65,A50,2),"-")</f>
        <v>1</v>
      </c>
      <c r="C51" s="93">
        <f>AVERAGE('01 Акиловский Руслан:19 Щербич Никита'!O7)</f>
        <v>1.631578947368421</v>
      </c>
      <c r="D51" s="94">
        <v>2</v>
      </c>
      <c r="E51" s="94">
        <v>0</v>
      </c>
    </row>
    <row r="52" spans="1:5" ht="20.25">
      <c r="A52" s="92" t="s">
        <v>206</v>
      </c>
      <c r="B52" s="97">
        <f>IF(INDEX('Результаты матчей'!$N$2:$R$65,A50,4)=1,INDEX('Результаты матчей'!$N$2:$R$65,A50,3),"-")</f>
        <v>0</v>
      </c>
      <c r="C52" s="93">
        <f>AVERAGE('01 Акиловский Руслан:19 Щербич Никита'!P7)</f>
        <v>0.73684210526315785</v>
      </c>
      <c r="D52" s="94">
        <v>0</v>
      </c>
      <c r="E52" s="94">
        <v>1</v>
      </c>
    </row>
    <row r="53" spans="1:5">
      <c r="A53" s="35"/>
      <c r="B53" s="32" t="s">
        <v>14</v>
      </c>
      <c r="C53" s="32" t="str">
        <f>A51</f>
        <v>Польша</v>
      </c>
      <c r="D53" s="32" t="s">
        <v>113</v>
      </c>
      <c r="E53" s="32" t="s">
        <v>145</v>
      </c>
    </row>
    <row r="54" spans="1:5">
      <c r="A54" s="98" t="s">
        <v>118</v>
      </c>
      <c r="B54" s="99">
        <v>19</v>
      </c>
      <c r="C54" s="99">
        <v>11</v>
      </c>
      <c r="D54" s="99">
        <v>6</v>
      </c>
      <c r="E54" s="99">
        <v>2</v>
      </c>
    </row>
    <row r="55" spans="1:5">
      <c r="A55" s="34"/>
      <c r="B55" s="33" t="s">
        <v>117</v>
      </c>
      <c r="C55" s="33" t="s">
        <v>114</v>
      </c>
      <c r="D55" s="33" t="s">
        <v>115</v>
      </c>
      <c r="E55" s="33" t="s">
        <v>116</v>
      </c>
    </row>
    <row r="56" spans="1:5">
      <c r="A56" s="98" t="s">
        <v>119</v>
      </c>
      <c r="B56" s="99">
        <f>INDEX('Результаты матчей'!$N$2:$R$65,A50,5)</f>
        <v>27</v>
      </c>
      <c r="C56" s="99">
        <v>2</v>
      </c>
      <c r="D56" s="99">
        <v>2</v>
      </c>
      <c r="E56" s="99">
        <v>7</v>
      </c>
    </row>
    <row r="58" spans="1:5">
      <c r="A58" s="95" t="s">
        <v>3</v>
      </c>
      <c r="B58" s="96"/>
      <c r="C58" s="96"/>
      <c r="D58" s="96"/>
      <c r="E58" s="96"/>
    </row>
    <row r="59" spans="1:5">
      <c r="A59" s="90">
        <v>7</v>
      </c>
      <c r="B59" s="91" t="s">
        <v>108</v>
      </c>
      <c r="C59" s="91" t="s">
        <v>109</v>
      </c>
      <c r="D59" s="91" t="s">
        <v>110</v>
      </c>
      <c r="E59" s="91" t="s">
        <v>111</v>
      </c>
    </row>
    <row r="60" spans="1:5" ht="20.25">
      <c r="A60" s="92" t="s">
        <v>2</v>
      </c>
      <c r="B60" s="97">
        <f>IF(INDEX('Результаты матчей'!$N$2:$R$65,A59,4)=1,INDEX('Результаты матчей'!$N$2:$R$65,A59,2),"-")</f>
        <v>2</v>
      </c>
      <c r="C60" s="93">
        <f>AVERAGE('01 Акиловский Руслан:19 Щербич Никита'!O8)</f>
        <v>2.3684210526315788</v>
      </c>
      <c r="D60" s="94">
        <v>2</v>
      </c>
      <c r="E60" s="94">
        <v>0</v>
      </c>
    </row>
    <row r="61" spans="1:5" ht="20.25">
      <c r="A61" s="92" t="s">
        <v>146</v>
      </c>
      <c r="B61" s="97">
        <f>IF(INDEX('Результаты матчей'!$N$2:$R$65,A59,4)=1,INDEX('Результаты матчей'!$N$2:$R$65,A59,3),"-")</f>
        <v>0</v>
      </c>
      <c r="C61" s="93">
        <f>AVERAGE('01 Акиловский Руслан:19 Щербич Никита'!P8)</f>
        <v>0.31578947368421051</v>
      </c>
      <c r="D61" s="94">
        <v>0</v>
      </c>
      <c r="E61" s="94">
        <v>0</v>
      </c>
    </row>
    <row r="62" spans="1:5">
      <c r="A62" s="35"/>
      <c r="B62" s="32" t="s">
        <v>14</v>
      </c>
      <c r="C62" s="32" t="str">
        <f>A60</f>
        <v>Германия</v>
      </c>
      <c r="D62" s="32" t="s">
        <v>113</v>
      </c>
      <c r="E62" s="32" t="str">
        <f>A61</f>
        <v>Украина</v>
      </c>
    </row>
    <row r="63" spans="1:5">
      <c r="A63" s="98" t="s">
        <v>118</v>
      </c>
      <c r="B63" s="99">
        <v>19</v>
      </c>
      <c r="C63" s="99">
        <v>18</v>
      </c>
      <c r="D63" s="99">
        <v>1</v>
      </c>
      <c r="E63" s="99">
        <v>0</v>
      </c>
    </row>
    <row r="64" spans="1:5">
      <c r="A64" s="34"/>
      <c r="B64" s="33" t="s">
        <v>117</v>
      </c>
      <c r="C64" s="33" t="s">
        <v>114</v>
      </c>
      <c r="D64" s="33" t="s">
        <v>115</v>
      </c>
      <c r="E64" s="33" t="s">
        <v>116</v>
      </c>
    </row>
    <row r="65" spans="1:5">
      <c r="A65" s="98" t="s">
        <v>119</v>
      </c>
      <c r="B65" s="99">
        <f>INDEX('Результаты матчей'!$N$2:$R$65,A59,5)</f>
        <v>70</v>
      </c>
      <c r="C65" s="99">
        <v>8</v>
      </c>
      <c r="D65" s="99">
        <v>4</v>
      </c>
      <c r="E65" s="99">
        <v>6</v>
      </c>
    </row>
    <row r="67" spans="1:5">
      <c r="A67" s="95" t="s">
        <v>4</v>
      </c>
      <c r="B67" s="96"/>
      <c r="C67" s="96"/>
      <c r="D67" s="96"/>
      <c r="E67" s="96"/>
    </row>
    <row r="68" spans="1:5">
      <c r="A68" s="90">
        <v>8</v>
      </c>
      <c r="B68" s="91" t="s">
        <v>108</v>
      </c>
      <c r="C68" s="91" t="s">
        <v>109</v>
      </c>
      <c r="D68" s="91" t="s">
        <v>110</v>
      </c>
      <c r="E68" s="91" t="s">
        <v>111</v>
      </c>
    </row>
    <row r="69" spans="1:5" ht="20.25">
      <c r="A69" s="92" t="s">
        <v>12</v>
      </c>
      <c r="B69" s="97">
        <f>IF(INDEX('Результаты матчей'!$N$2:$R$65,A68,4)=1,INDEX('Результаты матчей'!$N$2:$R$65,A68,2),"-")</f>
        <v>1</v>
      </c>
      <c r="C69" s="93">
        <f>AVERAGE('01 Акиловский Руслан:19 Щербич Никита'!O9)</f>
        <v>2.1578947368421053</v>
      </c>
      <c r="D69" s="94">
        <v>2</v>
      </c>
      <c r="E69" s="94">
        <v>1</v>
      </c>
    </row>
    <row r="70" spans="1:5" ht="20.25">
      <c r="A70" s="92" t="s">
        <v>147</v>
      </c>
      <c r="B70" s="97">
        <f>IF(INDEX('Результаты матчей'!$N$2:$R$65,A68,4)=1,INDEX('Результаты матчей'!$N$2:$R$65,A68,3),"-")</f>
        <v>0</v>
      </c>
      <c r="C70" s="93">
        <f>AVERAGE('01 Акиловский Руслан:19 Щербич Никита'!P9)</f>
        <v>0.73684210526315785</v>
      </c>
      <c r="D70" s="94">
        <v>1</v>
      </c>
      <c r="E70" s="94">
        <v>2</v>
      </c>
    </row>
    <row r="71" spans="1:5">
      <c r="A71" s="35"/>
      <c r="B71" s="32" t="s">
        <v>14</v>
      </c>
      <c r="C71" s="32" t="str">
        <f>A69</f>
        <v>Испания</v>
      </c>
      <c r="D71" s="32" t="s">
        <v>113</v>
      </c>
      <c r="E71" s="32" t="str">
        <f>A70</f>
        <v>Чехия</v>
      </c>
    </row>
    <row r="72" spans="1:5">
      <c r="A72" s="98" t="s">
        <v>118</v>
      </c>
      <c r="B72" s="99">
        <v>19</v>
      </c>
      <c r="C72" s="99">
        <v>16</v>
      </c>
      <c r="D72" s="99">
        <v>2</v>
      </c>
      <c r="E72" s="99">
        <v>1</v>
      </c>
    </row>
    <row r="73" spans="1:5">
      <c r="A73" s="34"/>
      <c r="B73" s="33" t="s">
        <v>117</v>
      </c>
      <c r="C73" s="33" t="s">
        <v>114</v>
      </c>
      <c r="D73" s="33" t="s">
        <v>115</v>
      </c>
      <c r="E73" s="33" t="s">
        <v>116</v>
      </c>
    </row>
    <row r="74" spans="1:5">
      <c r="A74" s="98" t="s">
        <v>119</v>
      </c>
      <c r="B74" s="99">
        <f>INDEX('Результаты матчей'!$N$2:$R$65,A68,5)</f>
        <v>41</v>
      </c>
      <c r="C74" s="99">
        <v>2</v>
      </c>
      <c r="D74" s="99">
        <v>5</v>
      </c>
      <c r="E74" s="99">
        <v>9</v>
      </c>
    </row>
    <row r="76" spans="1:5">
      <c r="A76" s="95" t="s">
        <v>4</v>
      </c>
      <c r="B76" s="96"/>
      <c r="C76" s="96"/>
      <c r="D76" s="96"/>
      <c r="E76" s="96"/>
    </row>
    <row r="77" spans="1:5">
      <c r="A77" s="90">
        <v>9</v>
      </c>
      <c r="B77" s="91" t="s">
        <v>108</v>
      </c>
      <c r="C77" s="91" t="s">
        <v>109</v>
      </c>
      <c r="D77" s="91" t="s">
        <v>110</v>
      </c>
      <c r="E77" s="91" t="s">
        <v>111</v>
      </c>
    </row>
    <row r="78" spans="1:5" ht="20.25">
      <c r="A78" s="92" t="s">
        <v>148</v>
      </c>
      <c r="B78" s="97">
        <f>IF(INDEX('Результаты матчей'!$N$2:$R$65,A77,4)=1,INDEX('Результаты матчей'!$N$2:$R$65,A77,2),"-")</f>
        <v>1</v>
      </c>
      <c r="C78" s="93">
        <f>AVERAGE('01 Акиловский Руслан:19 Щербич Никита'!O10)</f>
        <v>0.68421052631578949</v>
      </c>
      <c r="D78" s="94">
        <v>0</v>
      </c>
      <c r="E78" s="94" t="s">
        <v>13</v>
      </c>
    </row>
    <row r="79" spans="1:5" ht="20.25">
      <c r="A79" s="92" t="s">
        <v>149</v>
      </c>
      <c r="B79" s="97">
        <f>IF(INDEX('Результаты матчей'!$N$2:$R$65,A77,4)=1,INDEX('Результаты матчей'!$N$2:$R$65,A77,3),"-")</f>
        <v>1</v>
      </c>
      <c r="C79" s="93">
        <f>AVERAGE('01 Акиловский Руслан:19 Щербич Никита'!P10)</f>
        <v>1.5263157894736843</v>
      </c>
      <c r="D79" s="94">
        <v>1</v>
      </c>
      <c r="E79" s="94" t="s">
        <v>13</v>
      </c>
    </row>
    <row r="80" spans="1:5">
      <c r="A80" s="35"/>
      <c r="B80" s="32" t="s">
        <v>14</v>
      </c>
      <c r="C80" s="32" t="str">
        <f>A78</f>
        <v>Ирландия</v>
      </c>
      <c r="D80" s="32" t="s">
        <v>113</v>
      </c>
      <c r="E80" s="32" t="str">
        <f>A79</f>
        <v>Швеция</v>
      </c>
    </row>
    <row r="81" spans="1:5">
      <c r="A81" s="98" t="s">
        <v>118</v>
      </c>
      <c r="B81" s="99">
        <v>19</v>
      </c>
      <c r="C81" s="99">
        <v>0</v>
      </c>
      <c r="D81" s="99">
        <v>6</v>
      </c>
      <c r="E81" s="99">
        <v>13</v>
      </c>
    </row>
    <row r="82" spans="1:5">
      <c r="A82" s="34"/>
      <c r="B82" s="33" t="s">
        <v>117</v>
      </c>
      <c r="C82" s="33" t="s">
        <v>114</v>
      </c>
      <c r="D82" s="33" t="s">
        <v>115</v>
      </c>
      <c r="E82" s="33" t="s">
        <v>116</v>
      </c>
    </row>
    <row r="83" spans="1:5">
      <c r="A83" s="98" t="s">
        <v>119</v>
      </c>
      <c r="B83" s="99">
        <f>INDEX('Результаты матчей'!$N$2:$R$65,A77,5)</f>
        <v>30</v>
      </c>
      <c r="C83" s="99">
        <v>4</v>
      </c>
      <c r="D83" s="99">
        <v>2</v>
      </c>
      <c r="E83" s="99">
        <v>0</v>
      </c>
    </row>
    <row r="85" spans="1:5">
      <c r="A85" s="95" t="s">
        <v>4</v>
      </c>
      <c r="B85" s="96"/>
      <c r="C85" s="96"/>
      <c r="D85" s="96"/>
      <c r="E85" s="96"/>
    </row>
    <row r="86" spans="1:5">
      <c r="A86" s="90">
        <v>10</v>
      </c>
      <c r="B86" s="91" t="s">
        <v>108</v>
      </c>
      <c r="C86" s="91" t="s">
        <v>109</v>
      </c>
      <c r="D86" s="91" t="s">
        <v>110</v>
      </c>
      <c r="E86" s="91" t="s">
        <v>111</v>
      </c>
    </row>
    <row r="87" spans="1:5" ht="20.25">
      <c r="A87" s="92" t="s">
        <v>67</v>
      </c>
      <c r="B87" s="97">
        <f>IF(INDEX('Результаты матчей'!$N$2:$R$65,A86,4)=1,INDEX('Результаты матчей'!$N$2:$R$65,A86,2),"-")</f>
        <v>0</v>
      </c>
      <c r="C87" s="93">
        <f>AVERAGE('01 Акиловский Руслан:19 Щербич Никита'!O11)</f>
        <v>1.1578947368421053</v>
      </c>
      <c r="D87" s="94">
        <v>2</v>
      </c>
      <c r="E87" s="94">
        <v>0</v>
      </c>
    </row>
    <row r="88" spans="1:5" ht="20.25">
      <c r="A88" s="92" t="s">
        <v>11</v>
      </c>
      <c r="B88" s="97">
        <f>IF(INDEX('Результаты матчей'!$N$2:$R$65,A86,4)=1,INDEX('Результаты матчей'!$N$2:$R$65,A86,3),"-")</f>
        <v>2</v>
      </c>
      <c r="C88" s="93">
        <f>AVERAGE('01 Акиловский Руслан:19 Щербич Никита'!P11)</f>
        <v>1.0526315789473684</v>
      </c>
      <c r="D88" s="94">
        <v>1</v>
      </c>
      <c r="E88" s="94">
        <v>2</v>
      </c>
    </row>
    <row r="89" spans="1:5">
      <c r="A89" s="35"/>
      <c r="B89" s="32" t="s">
        <v>14</v>
      </c>
      <c r="C89" s="32" t="str">
        <f>A87</f>
        <v>Бельгия</v>
      </c>
      <c r="D89" s="32" t="s">
        <v>113</v>
      </c>
      <c r="E89" s="32" t="str">
        <f>A88</f>
        <v>Италия</v>
      </c>
    </row>
    <row r="90" spans="1:5">
      <c r="A90" s="98" t="s">
        <v>118</v>
      </c>
      <c r="B90" s="99">
        <v>19</v>
      </c>
      <c r="C90" s="99">
        <v>5</v>
      </c>
      <c r="D90" s="99">
        <v>10</v>
      </c>
      <c r="E90" s="99">
        <v>4</v>
      </c>
    </row>
    <row r="91" spans="1:5">
      <c r="A91" s="34"/>
      <c r="B91" s="33" t="s">
        <v>117</v>
      </c>
      <c r="C91" s="33" t="s">
        <v>114</v>
      </c>
      <c r="D91" s="33" t="s">
        <v>115</v>
      </c>
      <c r="E91" s="33" t="s">
        <v>116</v>
      </c>
    </row>
    <row r="92" spans="1:5">
      <c r="A92" s="98" t="s">
        <v>119</v>
      </c>
      <c r="B92" s="99">
        <f>INDEX('Результаты матчей'!$N$2:$R$65,A86,5)</f>
        <v>9</v>
      </c>
      <c r="C92" s="99">
        <v>1</v>
      </c>
      <c r="D92" s="99">
        <v>0</v>
      </c>
      <c r="E92" s="99">
        <v>3</v>
      </c>
    </row>
    <row r="94" spans="1:5">
      <c r="A94" s="95" t="s">
        <v>5</v>
      </c>
      <c r="B94" s="96"/>
      <c r="C94" s="96"/>
      <c r="D94" s="96"/>
      <c r="E94" s="96"/>
    </row>
    <row r="95" spans="1:5">
      <c r="A95" s="90">
        <v>11</v>
      </c>
      <c r="B95" s="91" t="s">
        <v>108</v>
      </c>
      <c r="C95" s="91" t="s">
        <v>109</v>
      </c>
      <c r="D95" s="91" t="s">
        <v>110</v>
      </c>
      <c r="E95" s="91" t="s">
        <v>111</v>
      </c>
    </row>
    <row r="96" spans="1:5" ht="20.25">
      <c r="A96" s="92" t="s">
        <v>150</v>
      </c>
      <c r="B96" s="97">
        <f>IF(INDEX('Результаты матчей'!$N$2:$R$65,A95,4)=1,INDEX('Результаты матчей'!$N$2:$R$65,A95,2),"-")</f>
        <v>0</v>
      </c>
      <c r="C96" s="93">
        <f>AVERAGE('01 Акиловский Руслан:19 Щербич Никита'!O12)</f>
        <v>1.631578947368421</v>
      </c>
      <c r="D96" s="94">
        <v>1</v>
      </c>
      <c r="E96" s="94">
        <v>1</v>
      </c>
    </row>
    <row r="97" spans="1:5" ht="20.25">
      <c r="A97" s="92" t="s">
        <v>151</v>
      </c>
      <c r="B97" s="97">
        <f>IF(INDEX('Результаты матчей'!$N$2:$R$65,A95,4)=1,INDEX('Результаты матчей'!$N$2:$R$65,A95,3),"-")</f>
        <v>2</v>
      </c>
      <c r="C97" s="93">
        <f>AVERAGE('01 Акиловский Руслан:19 Щербич Никита'!P12)</f>
        <v>0.63157894736842102</v>
      </c>
      <c r="D97" s="94">
        <v>0</v>
      </c>
      <c r="E97" s="94">
        <v>4</v>
      </c>
    </row>
    <row r="98" spans="1:5">
      <c r="A98" s="35"/>
      <c r="B98" s="32" t="s">
        <v>14</v>
      </c>
      <c r="C98" s="32" t="str">
        <f>A96</f>
        <v>Австрия</v>
      </c>
      <c r="D98" s="32" t="s">
        <v>113</v>
      </c>
      <c r="E98" s="32" t="str">
        <f>A97</f>
        <v>Венгрия</v>
      </c>
    </row>
    <row r="99" spans="1:5">
      <c r="A99" s="98" t="s">
        <v>118</v>
      </c>
      <c r="B99" s="99">
        <v>19</v>
      </c>
      <c r="C99" s="99">
        <v>16</v>
      </c>
      <c r="D99" s="99">
        <v>1</v>
      </c>
      <c r="E99" s="99">
        <v>2</v>
      </c>
    </row>
    <row r="100" spans="1:5">
      <c r="A100" s="34"/>
      <c r="B100" s="33" t="s">
        <v>117</v>
      </c>
      <c r="C100" s="33" t="s">
        <v>114</v>
      </c>
      <c r="D100" s="33" t="s">
        <v>115</v>
      </c>
      <c r="E100" s="33" t="s">
        <v>116</v>
      </c>
    </row>
    <row r="101" spans="1:5">
      <c r="A101" s="98" t="s">
        <v>119</v>
      </c>
      <c r="B101" s="99">
        <f>INDEX('Результаты матчей'!$N$2:$R$65,A95,5)</f>
        <v>2</v>
      </c>
      <c r="C101" s="99">
        <v>0</v>
      </c>
      <c r="D101" s="99">
        <v>0</v>
      </c>
      <c r="E101" s="99">
        <v>2</v>
      </c>
    </row>
    <row r="103" spans="1:5">
      <c r="A103" s="95" t="s">
        <v>5</v>
      </c>
      <c r="B103" s="96"/>
      <c r="C103" s="96"/>
      <c r="D103" s="96"/>
      <c r="E103" s="96"/>
    </row>
    <row r="104" spans="1:5">
      <c r="A104" s="90">
        <v>12</v>
      </c>
      <c r="B104" s="91" t="s">
        <v>108</v>
      </c>
      <c r="C104" s="91" t="s">
        <v>109</v>
      </c>
      <c r="D104" s="91" t="s">
        <v>110</v>
      </c>
      <c r="E104" s="91" t="s">
        <v>111</v>
      </c>
    </row>
    <row r="105" spans="1:5" ht="20.25">
      <c r="A105" s="92" t="s">
        <v>1</v>
      </c>
      <c r="B105" s="97">
        <f>IF(INDEX('Результаты матчей'!$N$2:$R$65,A104,4)=1,INDEX('Результаты матчей'!$N$2:$R$65,A104,2),"-")</f>
        <v>1</v>
      </c>
      <c r="C105" s="93">
        <f>AVERAGE('01 Акиловский Руслан:19 Щербич Никита'!O13)</f>
        <v>2.1578947368421053</v>
      </c>
      <c r="D105" s="94">
        <v>3</v>
      </c>
      <c r="E105" s="94">
        <v>3</v>
      </c>
    </row>
    <row r="106" spans="1:5" ht="20.25">
      <c r="A106" s="92" t="s">
        <v>152</v>
      </c>
      <c r="B106" s="97">
        <f>IF(INDEX('Результаты матчей'!$N$2:$R$65,A104,4)=1,INDEX('Результаты матчей'!$N$2:$R$65,A104,3),"-")</f>
        <v>1</v>
      </c>
      <c r="C106" s="93">
        <f>AVERAGE('01 Акиловский Руслан:19 Щербич Никита'!P13)</f>
        <v>0.31578947368421051</v>
      </c>
      <c r="D106" s="94">
        <v>1</v>
      </c>
      <c r="E106" s="94">
        <v>3</v>
      </c>
    </row>
    <row r="107" spans="1:5">
      <c r="A107" s="35"/>
      <c r="B107" s="32" t="s">
        <v>14</v>
      </c>
      <c r="C107" s="32" t="str">
        <f>A105</f>
        <v>Португалия</v>
      </c>
      <c r="D107" s="32" t="s">
        <v>113</v>
      </c>
      <c r="E107" s="32" t="str">
        <f>A106</f>
        <v>Исландия</v>
      </c>
    </row>
    <row r="108" spans="1:5">
      <c r="A108" s="98" t="s">
        <v>118</v>
      </c>
      <c r="B108" s="99">
        <v>19</v>
      </c>
      <c r="C108" s="99">
        <v>17</v>
      </c>
      <c r="D108" s="99">
        <v>2</v>
      </c>
      <c r="E108" s="99">
        <v>0</v>
      </c>
    </row>
    <row r="109" spans="1:5">
      <c r="A109" s="34"/>
      <c r="B109" s="33" t="s">
        <v>117</v>
      </c>
      <c r="C109" s="33" t="s">
        <v>114</v>
      </c>
      <c r="D109" s="33" t="s">
        <v>115</v>
      </c>
      <c r="E109" s="33" t="s">
        <v>116</v>
      </c>
    </row>
    <row r="110" spans="1:5">
      <c r="A110" s="98" t="s">
        <v>119</v>
      </c>
      <c r="B110" s="99">
        <f>INDEX('Результаты матчей'!$N$2:$R$65,A104,5)</f>
        <v>9</v>
      </c>
      <c r="C110" s="99">
        <v>1</v>
      </c>
      <c r="D110" s="99">
        <v>1</v>
      </c>
      <c r="E110" s="99">
        <v>0</v>
      </c>
    </row>
    <row r="112" spans="1:5">
      <c r="A112" s="95" t="s">
        <v>6</v>
      </c>
      <c r="B112" s="96"/>
      <c r="C112" s="96"/>
      <c r="D112" s="96"/>
      <c r="E112" s="96"/>
    </row>
    <row r="113" spans="1:5">
      <c r="A113" s="90">
        <v>13</v>
      </c>
      <c r="B113" s="91" t="s">
        <v>108</v>
      </c>
      <c r="C113" s="91" t="s">
        <v>109</v>
      </c>
      <c r="D113" s="91" t="s">
        <v>110</v>
      </c>
      <c r="E113" s="91" t="s">
        <v>111</v>
      </c>
    </row>
    <row r="114" spans="1:5" ht="20.25">
      <c r="A114" s="92" t="s">
        <v>68</v>
      </c>
      <c r="B114" s="97">
        <f>IF(INDEX('Результаты матчей'!$N$2:$R$65,A113,4)=1,INDEX('Результаты матчей'!$N$2:$R$65,A113,2),"-")</f>
        <v>1</v>
      </c>
      <c r="C114" s="93">
        <f>AVERAGE('01 Акиловский Руслан:19 Щербич Никита'!O14)</f>
        <v>1.3157894736842106</v>
      </c>
      <c r="D114" s="94">
        <v>1</v>
      </c>
      <c r="E114" s="94">
        <v>1</v>
      </c>
    </row>
    <row r="115" spans="1:5" ht="20.25">
      <c r="A115" s="92" t="s">
        <v>142</v>
      </c>
      <c r="B115" s="97">
        <f>IF(INDEX('Результаты матчей'!$N$2:$R$65,A113,4)=1,INDEX('Результаты матчей'!$N$2:$R$65,A113,3),"-")</f>
        <v>2</v>
      </c>
      <c r="C115" s="93">
        <f>AVERAGE('01 Акиловский Руслан:19 Щербич Никита'!P14)</f>
        <v>0.57894736842105265</v>
      </c>
      <c r="D115" s="94">
        <v>0</v>
      </c>
      <c r="E115" s="94">
        <v>2</v>
      </c>
    </row>
    <row r="116" spans="1:5">
      <c r="A116" s="35"/>
      <c r="B116" s="32" t="s">
        <v>14</v>
      </c>
      <c r="C116" s="32" t="str">
        <f>A114</f>
        <v>Россия</v>
      </c>
      <c r="D116" s="32" t="s">
        <v>113</v>
      </c>
      <c r="E116" s="32" t="str">
        <f>A115</f>
        <v>Словакия</v>
      </c>
    </row>
    <row r="117" spans="1:5">
      <c r="A117" s="98" t="s">
        <v>118</v>
      </c>
      <c r="B117" s="99">
        <v>19</v>
      </c>
      <c r="C117" s="99">
        <v>13</v>
      </c>
      <c r="D117" s="99">
        <v>5</v>
      </c>
      <c r="E117" s="99">
        <v>1</v>
      </c>
    </row>
    <row r="118" spans="1:5">
      <c r="A118" s="34"/>
      <c r="B118" s="33" t="s">
        <v>117</v>
      </c>
      <c r="C118" s="33" t="s">
        <v>114</v>
      </c>
      <c r="D118" s="33" t="s">
        <v>115</v>
      </c>
      <c r="E118" s="33" t="s">
        <v>116</v>
      </c>
    </row>
    <row r="119" spans="1:5">
      <c r="A119" s="98" t="s">
        <v>119</v>
      </c>
      <c r="B119" s="99">
        <f>INDEX('Результаты матчей'!$N$2:$R$65,A113,5)</f>
        <v>6</v>
      </c>
      <c r="C119" s="99">
        <v>1</v>
      </c>
      <c r="D119" s="99">
        <v>0</v>
      </c>
      <c r="E119" s="99">
        <v>0</v>
      </c>
    </row>
    <row r="121" spans="1:5">
      <c r="A121" s="95" t="s">
        <v>6</v>
      </c>
      <c r="B121" s="96"/>
      <c r="C121" s="96"/>
      <c r="D121" s="96"/>
      <c r="E121" s="96"/>
    </row>
    <row r="122" spans="1:5">
      <c r="A122" s="90">
        <v>14</v>
      </c>
      <c r="B122" s="91" t="s">
        <v>108</v>
      </c>
      <c r="C122" s="91" t="s">
        <v>109</v>
      </c>
      <c r="D122" s="91" t="s">
        <v>110</v>
      </c>
      <c r="E122" s="91" t="s">
        <v>111</v>
      </c>
    </row>
    <row r="123" spans="1:5" ht="20.25">
      <c r="A123" s="92" t="s">
        <v>139</v>
      </c>
      <c r="B123" s="97">
        <f>IF(INDEX('Результаты матчей'!$N$2:$R$65,A122,4)=1,INDEX('Результаты матчей'!$N$2:$R$65,A122,2),"-")</f>
        <v>1</v>
      </c>
      <c r="C123" s="93">
        <f>AVERAGE('01 Акиловский Руслан:19 Щербич Никита'!O15)</f>
        <v>0.42105263157894735</v>
      </c>
      <c r="D123" s="94">
        <v>0</v>
      </c>
      <c r="E123" s="94">
        <v>2</v>
      </c>
    </row>
    <row r="124" spans="1:5" ht="20.25">
      <c r="A124" s="92" t="s">
        <v>0</v>
      </c>
      <c r="B124" s="97">
        <f>IF(INDEX('Результаты матчей'!$N$2:$R$65,A122,4)=1,INDEX('Результаты матчей'!$N$2:$R$65,A122,3),"-")</f>
        <v>1</v>
      </c>
      <c r="C124" s="93">
        <f>AVERAGE('01 Акиловский Руслан:19 Щербич Никита'!P15)</f>
        <v>1.4736842105263157</v>
      </c>
      <c r="D124" s="94">
        <v>2</v>
      </c>
      <c r="E124" s="94">
        <v>1</v>
      </c>
    </row>
    <row r="125" spans="1:5">
      <c r="A125" s="35"/>
      <c r="B125" s="32" t="s">
        <v>14</v>
      </c>
      <c r="C125" s="32" t="str">
        <f>A123</f>
        <v>Румыния</v>
      </c>
      <c r="D125" s="32" t="s">
        <v>113</v>
      </c>
      <c r="E125" s="32" t="str">
        <f>A124</f>
        <v>Швейцария</v>
      </c>
    </row>
    <row r="126" spans="1:5">
      <c r="A126" s="98" t="s">
        <v>118</v>
      </c>
      <c r="B126" s="99">
        <v>19</v>
      </c>
      <c r="C126" s="99">
        <v>1</v>
      </c>
      <c r="D126" s="99">
        <v>4</v>
      </c>
      <c r="E126" s="99">
        <v>14</v>
      </c>
    </row>
    <row r="127" spans="1:5">
      <c r="A127" s="34"/>
      <c r="B127" s="33" t="s">
        <v>117</v>
      </c>
      <c r="C127" s="33" t="s">
        <v>114</v>
      </c>
      <c r="D127" s="33" t="s">
        <v>115</v>
      </c>
      <c r="E127" s="33" t="s">
        <v>116</v>
      </c>
    </row>
    <row r="128" spans="1:5">
      <c r="A128" s="98" t="s">
        <v>119</v>
      </c>
      <c r="B128" s="99">
        <f>INDEX('Результаты матчей'!$N$2:$R$65,A122,5)</f>
        <v>21</v>
      </c>
      <c r="C128" s="99">
        <v>3</v>
      </c>
      <c r="D128" s="99">
        <v>1</v>
      </c>
      <c r="E128" s="99">
        <v>0</v>
      </c>
    </row>
    <row r="130" spans="1:5">
      <c r="A130" s="95" t="s">
        <v>6</v>
      </c>
      <c r="B130" s="96"/>
      <c r="C130" s="96"/>
      <c r="D130" s="96"/>
      <c r="E130" s="96"/>
    </row>
    <row r="131" spans="1:5">
      <c r="A131" s="90">
        <v>15</v>
      </c>
      <c r="B131" s="91" t="s">
        <v>108</v>
      </c>
      <c r="C131" s="91" t="s">
        <v>109</v>
      </c>
      <c r="D131" s="91" t="s">
        <v>110</v>
      </c>
      <c r="E131" s="91" t="s">
        <v>111</v>
      </c>
    </row>
    <row r="132" spans="1:5" ht="20.25">
      <c r="A132" s="92" t="s">
        <v>10</v>
      </c>
      <c r="B132" s="97">
        <f>IF(INDEX('Результаты матчей'!$N$2:$R$65,A131,4)=1,INDEX('Результаты матчей'!$N$2:$R$65,A131,2),"-")</f>
        <v>2</v>
      </c>
      <c r="C132" s="93">
        <f>AVERAGE('01 Акиловский Руслан:19 Щербич Никита'!O16)</f>
        <v>2.5789473684210527</v>
      </c>
      <c r="D132" s="94">
        <v>2</v>
      </c>
      <c r="E132" s="94">
        <v>2</v>
      </c>
    </row>
    <row r="133" spans="1:5" ht="20.25">
      <c r="A133" s="92" t="s">
        <v>140</v>
      </c>
      <c r="B133" s="97">
        <f>IF(INDEX('Результаты матчей'!$N$2:$R$65,A131,4)=1,INDEX('Результаты матчей'!$N$2:$R$65,A131,3),"-")</f>
        <v>0</v>
      </c>
      <c r="C133" s="93">
        <f>AVERAGE('01 Акиловский Руслан:19 Щербич Никита'!P16)</f>
        <v>0.26315789473684209</v>
      </c>
      <c r="D133" s="94">
        <v>0</v>
      </c>
      <c r="E133" s="94">
        <v>2</v>
      </c>
    </row>
    <row r="134" spans="1:5">
      <c r="A134" s="35"/>
      <c r="B134" s="32" t="s">
        <v>14</v>
      </c>
      <c r="C134" s="32" t="str">
        <f>A132</f>
        <v>Франция</v>
      </c>
      <c r="D134" s="32" t="s">
        <v>113</v>
      </c>
      <c r="E134" s="32" t="str">
        <f>A133</f>
        <v>Албания</v>
      </c>
    </row>
    <row r="135" spans="1:5">
      <c r="A135" s="98" t="s">
        <v>118</v>
      </c>
      <c r="B135" s="99">
        <v>19</v>
      </c>
      <c r="C135" s="99">
        <v>18</v>
      </c>
      <c r="D135" s="99">
        <v>1</v>
      </c>
      <c r="E135" s="99">
        <v>0</v>
      </c>
    </row>
    <row r="136" spans="1:5">
      <c r="A136" s="34"/>
      <c r="B136" s="33" t="s">
        <v>117</v>
      </c>
      <c r="C136" s="33" t="s">
        <v>114</v>
      </c>
      <c r="D136" s="33" t="s">
        <v>115</v>
      </c>
      <c r="E136" s="33" t="s">
        <v>116</v>
      </c>
    </row>
    <row r="137" spans="1:5">
      <c r="A137" s="98" t="s">
        <v>119</v>
      </c>
      <c r="B137" s="99">
        <f>INDEX('Результаты матчей'!$N$2:$R$65,A131,5)</f>
        <v>64</v>
      </c>
      <c r="C137" s="99">
        <v>8</v>
      </c>
      <c r="D137" s="99">
        <v>2</v>
      </c>
      <c r="E137" s="99">
        <v>8</v>
      </c>
    </row>
    <row r="139" spans="1:5">
      <c r="A139" s="95" t="s">
        <v>7</v>
      </c>
      <c r="B139" s="96"/>
      <c r="C139" s="96"/>
      <c r="D139" s="96"/>
      <c r="E139" s="96"/>
    </row>
    <row r="140" spans="1:5">
      <c r="A140" s="90">
        <v>16</v>
      </c>
      <c r="B140" s="91" t="s">
        <v>108</v>
      </c>
      <c r="C140" s="91" t="s">
        <v>109</v>
      </c>
      <c r="D140" s="91" t="s">
        <v>110</v>
      </c>
      <c r="E140" s="91" t="s">
        <v>111</v>
      </c>
    </row>
    <row r="141" spans="1:5" ht="20.25">
      <c r="A141" s="92" t="s">
        <v>21</v>
      </c>
      <c r="B141" s="97">
        <f>IF(INDEX('Результаты матчей'!$N$2:$R$65,A140,4)=1,INDEX('Результаты матчей'!$N$2:$R$65,A140,2),"-")</f>
        <v>2</v>
      </c>
      <c r="C141" s="93">
        <f>AVERAGE('01 Акиловский Руслан:19 Щербич Никита'!O17)</f>
        <v>2.1578947368421053</v>
      </c>
      <c r="D141" s="94">
        <v>2</v>
      </c>
      <c r="E141" s="94" t="s">
        <v>13</v>
      </c>
    </row>
    <row r="142" spans="1:5" ht="20.25">
      <c r="A142" s="92" t="s">
        <v>141</v>
      </c>
      <c r="B142" s="97">
        <f>IF(INDEX('Результаты матчей'!$N$2:$R$65,A140,4)=1,INDEX('Результаты матчей'!$N$2:$R$65,A140,3),"-")</f>
        <v>1</v>
      </c>
      <c r="C142" s="93">
        <f>AVERAGE('01 Акиловский Руслан:19 Щербич Никита'!P17)</f>
        <v>0.89473684210526316</v>
      </c>
      <c r="D142" s="94">
        <v>0</v>
      </c>
      <c r="E142" s="94" t="s">
        <v>13</v>
      </c>
    </row>
    <row r="143" spans="1:5">
      <c r="A143" s="35"/>
      <c r="B143" s="32" t="s">
        <v>14</v>
      </c>
      <c r="C143" s="32" t="str">
        <f>A141</f>
        <v>Англия</v>
      </c>
      <c r="D143" s="32" t="s">
        <v>113</v>
      </c>
      <c r="E143" s="32" t="str">
        <f>A142</f>
        <v>Уэльс</v>
      </c>
    </row>
    <row r="144" spans="1:5">
      <c r="A144" s="98" t="s">
        <v>118</v>
      </c>
      <c r="B144" s="99">
        <v>19</v>
      </c>
      <c r="C144" s="99">
        <v>19</v>
      </c>
      <c r="D144" s="99">
        <v>0</v>
      </c>
      <c r="E144" s="99">
        <v>0</v>
      </c>
    </row>
    <row r="145" spans="1:5">
      <c r="A145" s="34"/>
      <c r="B145" s="33" t="s">
        <v>117</v>
      </c>
      <c r="C145" s="33" t="s">
        <v>114</v>
      </c>
      <c r="D145" s="33" t="s">
        <v>115</v>
      </c>
      <c r="E145" s="33" t="s">
        <v>116</v>
      </c>
    </row>
    <row r="146" spans="1:5">
      <c r="A146" s="98" t="s">
        <v>119</v>
      </c>
      <c r="B146" s="99">
        <f>INDEX('Результаты матчей'!$N$2:$R$65,A140,5)</f>
        <v>77</v>
      </c>
      <c r="C146" s="99">
        <v>8</v>
      </c>
      <c r="D146" s="99">
        <v>6</v>
      </c>
      <c r="E146" s="99">
        <v>5</v>
      </c>
    </row>
    <row r="148" spans="1:5">
      <c r="A148" s="95" t="s">
        <v>7</v>
      </c>
      <c r="B148" s="96"/>
      <c r="C148" s="96"/>
      <c r="D148" s="96"/>
      <c r="E148" s="96"/>
    </row>
    <row r="149" spans="1:5">
      <c r="A149" s="90">
        <v>17</v>
      </c>
      <c r="B149" s="91" t="s">
        <v>108</v>
      </c>
      <c r="C149" s="91" t="s">
        <v>109</v>
      </c>
      <c r="D149" s="91" t="s">
        <v>110</v>
      </c>
      <c r="E149" s="91" t="s">
        <v>111</v>
      </c>
    </row>
    <row r="150" spans="1:5" ht="20.25">
      <c r="A150" s="92" t="s">
        <v>146</v>
      </c>
      <c r="B150" s="97">
        <f>IF(INDEX('Результаты матчей'!$N$2:$R$65,A149,4)=1,INDEX('Результаты матчей'!$N$2:$R$65,A149,2),"-")</f>
        <v>0</v>
      </c>
      <c r="C150" s="93">
        <f>AVERAGE('01 Акиловский Руслан:19 Щербич Никита'!O18)</f>
        <v>1.5263157894736843</v>
      </c>
      <c r="D150" s="94">
        <v>1</v>
      </c>
      <c r="E150" s="94">
        <v>1</v>
      </c>
    </row>
    <row r="151" spans="1:5" ht="20.25">
      <c r="A151" s="92" t="s">
        <v>206</v>
      </c>
      <c r="B151" s="97">
        <f>IF(INDEX('Результаты матчей'!$N$2:$R$65,A149,4)=1,INDEX('Результаты матчей'!$N$2:$R$65,A149,3),"-")</f>
        <v>2</v>
      </c>
      <c r="C151" s="93">
        <f>AVERAGE('01 Акиловский Руслан:19 Щербич Никита'!P18)</f>
        <v>0.78947368421052633</v>
      </c>
      <c r="D151" s="94">
        <v>0</v>
      </c>
      <c r="E151" s="94">
        <v>3</v>
      </c>
    </row>
    <row r="152" spans="1:5">
      <c r="A152" s="35"/>
      <c r="B152" s="32" t="s">
        <v>14</v>
      </c>
      <c r="C152" s="32" t="str">
        <f>A150</f>
        <v>Украина</v>
      </c>
      <c r="D152" s="32" t="s">
        <v>113</v>
      </c>
      <c r="E152" s="32" t="s">
        <v>145</v>
      </c>
    </row>
    <row r="153" spans="1:5">
      <c r="A153" s="98" t="s">
        <v>118</v>
      </c>
      <c r="B153" s="99">
        <v>19</v>
      </c>
      <c r="C153" s="99">
        <v>12</v>
      </c>
      <c r="D153" s="99">
        <v>5</v>
      </c>
      <c r="E153" s="99">
        <v>2</v>
      </c>
    </row>
    <row r="154" spans="1:5">
      <c r="A154" s="34"/>
      <c r="B154" s="33" t="s">
        <v>117</v>
      </c>
      <c r="C154" s="33" t="s">
        <v>114</v>
      </c>
      <c r="D154" s="33" t="s">
        <v>115</v>
      </c>
      <c r="E154" s="33" t="s">
        <v>116</v>
      </c>
    </row>
    <row r="155" spans="1:5">
      <c r="A155" s="98" t="s">
        <v>119</v>
      </c>
      <c r="B155" s="99">
        <f>INDEX('Результаты матчей'!$N$2:$R$65,A149,5)</f>
        <v>5</v>
      </c>
      <c r="C155" s="99">
        <v>0</v>
      </c>
      <c r="D155" s="99">
        <v>1</v>
      </c>
      <c r="E155" s="99">
        <v>1</v>
      </c>
    </row>
    <row r="157" spans="1:5">
      <c r="A157" s="95" t="s">
        <v>7</v>
      </c>
      <c r="B157" s="96"/>
      <c r="C157" s="96"/>
      <c r="D157" s="96"/>
      <c r="E157" s="96"/>
    </row>
    <row r="158" spans="1:5">
      <c r="A158" s="90">
        <v>18</v>
      </c>
      <c r="B158" s="91" t="s">
        <v>108</v>
      </c>
      <c r="C158" s="91" t="s">
        <v>109</v>
      </c>
      <c r="D158" s="91" t="s">
        <v>110</v>
      </c>
      <c r="E158" s="91" t="s">
        <v>111</v>
      </c>
    </row>
    <row r="159" spans="1:5" ht="20.25">
      <c r="A159" s="92" t="s">
        <v>2</v>
      </c>
      <c r="B159" s="97">
        <f>IF(INDEX('Результаты матчей'!$N$2:$R$65,A158,4)=1,INDEX('Результаты матчей'!$N$2:$R$65,A158,2),"-")</f>
        <v>0</v>
      </c>
      <c r="C159" s="93">
        <f>AVERAGE('01 Акиловский Руслан:19 Щербич Никита'!O19)</f>
        <v>2.3684210526315788</v>
      </c>
      <c r="D159" s="94">
        <v>2</v>
      </c>
      <c r="E159" s="94">
        <v>2</v>
      </c>
    </row>
    <row r="160" spans="1:5" ht="20.25">
      <c r="A160" s="92" t="s">
        <v>144</v>
      </c>
      <c r="B160" s="97">
        <f>IF(INDEX('Результаты матчей'!$N$2:$R$65,A158,4)=1,INDEX('Результаты матчей'!$N$2:$R$65,A158,3),"-")</f>
        <v>0</v>
      </c>
      <c r="C160" s="93">
        <f>AVERAGE('01 Акиловский Руслан:19 Щербич Никита'!P19)</f>
        <v>1</v>
      </c>
      <c r="D160" s="94">
        <v>1</v>
      </c>
      <c r="E160" s="94">
        <v>3</v>
      </c>
    </row>
    <row r="161" spans="1:5">
      <c r="A161" s="35"/>
      <c r="B161" s="32" t="s">
        <v>14</v>
      </c>
      <c r="C161" s="32" t="str">
        <f>A159</f>
        <v>Германия</v>
      </c>
      <c r="D161" s="32" t="s">
        <v>113</v>
      </c>
      <c r="E161" s="32" t="str">
        <f>A160</f>
        <v>Польша</v>
      </c>
    </row>
    <row r="162" spans="1:5">
      <c r="A162" s="98" t="s">
        <v>118</v>
      </c>
      <c r="B162" s="99">
        <v>19</v>
      </c>
      <c r="C162" s="99">
        <v>16</v>
      </c>
      <c r="D162" s="99">
        <v>0</v>
      </c>
      <c r="E162" s="99">
        <v>3</v>
      </c>
    </row>
    <row r="163" spans="1:5">
      <c r="A163" s="34"/>
      <c r="B163" s="33" t="s">
        <v>117</v>
      </c>
      <c r="C163" s="33" t="s">
        <v>114</v>
      </c>
      <c r="D163" s="33" t="s">
        <v>115</v>
      </c>
      <c r="E163" s="33" t="s">
        <v>116</v>
      </c>
    </row>
    <row r="164" spans="1:5">
      <c r="A164" s="98" t="s">
        <v>119</v>
      </c>
      <c r="B164" s="99">
        <f>INDEX('Результаты матчей'!$N$2:$R$65,A158,5)</f>
        <v>0</v>
      </c>
      <c r="C164" s="99">
        <v>0</v>
      </c>
      <c r="D164" s="99">
        <v>0</v>
      </c>
      <c r="E164" s="99">
        <v>0</v>
      </c>
    </row>
    <row r="166" spans="1:5">
      <c r="A166" s="95" t="s">
        <v>8</v>
      </c>
      <c r="B166" s="96"/>
      <c r="C166" s="96"/>
      <c r="D166" s="96"/>
      <c r="E166" s="96"/>
    </row>
    <row r="167" spans="1:5">
      <c r="A167" s="90">
        <v>19</v>
      </c>
      <c r="B167" s="91" t="s">
        <v>108</v>
      </c>
      <c r="C167" s="91" t="s">
        <v>109</v>
      </c>
      <c r="D167" s="91" t="s">
        <v>110</v>
      </c>
      <c r="E167" s="91" t="s">
        <v>111</v>
      </c>
    </row>
    <row r="168" spans="1:5" ht="20.25">
      <c r="A168" s="92" t="s">
        <v>11</v>
      </c>
      <c r="B168" s="97">
        <f>IF(INDEX('Результаты матчей'!$N$2:$R$65,A167,4)=1,INDEX('Результаты матчей'!$N$2:$R$65,A167,2),"-")</f>
        <v>1</v>
      </c>
      <c r="C168" s="93">
        <f>AVERAGE('01 Акиловский Руслан:19 Щербич Никита'!O20)</f>
        <v>1.8421052631578947</v>
      </c>
      <c r="D168" s="94">
        <v>1</v>
      </c>
      <c r="E168" s="94" t="s">
        <v>13</v>
      </c>
    </row>
    <row r="169" spans="1:5" ht="20.25">
      <c r="A169" s="92" t="s">
        <v>149</v>
      </c>
      <c r="B169" s="97">
        <f>IF(INDEX('Результаты матчей'!$N$2:$R$65,A167,4)=1,INDEX('Результаты матчей'!$N$2:$R$65,A167,3),"-")</f>
        <v>0</v>
      </c>
      <c r="C169" s="93">
        <f>AVERAGE('01 Акиловский Руслан:19 Щербич Никита'!P20)</f>
        <v>0.73684210526315785</v>
      </c>
      <c r="D169" s="94">
        <v>0</v>
      </c>
      <c r="E169" s="94" t="s">
        <v>13</v>
      </c>
    </row>
    <row r="170" spans="1:5">
      <c r="A170" s="35"/>
      <c r="B170" s="32" t="s">
        <v>14</v>
      </c>
      <c r="C170" s="32" t="str">
        <f>A168</f>
        <v>Италия</v>
      </c>
      <c r="D170" s="32" t="s">
        <v>113</v>
      </c>
      <c r="E170" s="32" t="str">
        <f>A169</f>
        <v>Швеция</v>
      </c>
    </row>
    <row r="171" spans="1:5">
      <c r="A171" s="98" t="s">
        <v>118</v>
      </c>
      <c r="B171" s="99">
        <v>19</v>
      </c>
      <c r="C171" s="99">
        <v>16</v>
      </c>
      <c r="D171" s="99">
        <v>3</v>
      </c>
      <c r="E171" s="99">
        <v>0</v>
      </c>
    </row>
    <row r="172" spans="1:5">
      <c r="A172" s="34"/>
      <c r="B172" s="33" t="s">
        <v>117</v>
      </c>
      <c r="C172" s="33" t="s">
        <v>114</v>
      </c>
      <c r="D172" s="33" t="s">
        <v>115</v>
      </c>
      <c r="E172" s="33" t="s">
        <v>116</v>
      </c>
    </row>
    <row r="173" spans="1:5">
      <c r="A173" s="98" t="s">
        <v>119</v>
      </c>
      <c r="B173" s="99">
        <f>INDEX('Результаты матчей'!$N$2:$R$65,A167,5)</f>
        <v>55</v>
      </c>
      <c r="C173" s="99">
        <v>3</v>
      </c>
      <c r="D173" s="99">
        <v>8</v>
      </c>
      <c r="E173" s="99">
        <v>5</v>
      </c>
    </row>
    <row r="175" spans="1:5">
      <c r="A175" s="95" t="s">
        <v>8</v>
      </c>
      <c r="B175" s="96"/>
      <c r="C175" s="96"/>
      <c r="D175" s="96"/>
      <c r="E175" s="96"/>
    </row>
    <row r="176" spans="1:5">
      <c r="A176" s="90">
        <v>20</v>
      </c>
      <c r="B176" s="91" t="s">
        <v>108</v>
      </c>
      <c r="C176" s="91" t="s">
        <v>109</v>
      </c>
      <c r="D176" s="91" t="s">
        <v>110</v>
      </c>
      <c r="E176" s="91" t="s">
        <v>111</v>
      </c>
    </row>
    <row r="177" spans="1:5" ht="20.25">
      <c r="A177" s="92" t="s">
        <v>147</v>
      </c>
      <c r="B177" s="97">
        <f>IF(INDEX('Результаты матчей'!$N$2:$R$65,A176,4)=1,INDEX('Результаты матчей'!$N$2:$R$65,A176,2),"-")</f>
        <v>2</v>
      </c>
      <c r="C177" s="93">
        <f>AVERAGE('01 Акиловский Руслан:19 Щербич Никита'!O21)</f>
        <v>1.0526315789473684</v>
      </c>
      <c r="D177" s="94">
        <v>1</v>
      </c>
      <c r="E177" s="94">
        <v>2</v>
      </c>
    </row>
    <row r="178" spans="1:5" ht="20.25">
      <c r="A178" s="92" t="s">
        <v>66</v>
      </c>
      <c r="B178" s="97">
        <f>IF(INDEX('Результаты матчей'!$N$2:$R$65,A176,4)=1,INDEX('Результаты матчей'!$N$2:$R$65,A176,3),"-")</f>
        <v>2</v>
      </c>
      <c r="C178" s="93">
        <f>AVERAGE('01 Акиловский Руслан:19 Щербич Никита'!P21)</f>
        <v>1.5263157894736843</v>
      </c>
      <c r="D178" s="94">
        <v>1</v>
      </c>
      <c r="E178" s="94">
        <v>1</v>
      </c>
    </row>
    <row r="179" spans="1:5">
      <c r="A179" s="35"/>
      <c r="B179" s="32" t="s">
        <v>14</v>
      </c>
      <c r="C179" s="32" t="str">
        <f>A177</f>
        <v>Чехия</v>
      </c>
      <c r="D179" s="32" t="s">
        <v>113</v>
      </c>
      <c r="E179" s="32" t="str">
        <f>A178</f>
        <v>Хорватия</v>
      </c>
    </row>
    <row r="180" spans="1:5">
      <c r="A180" s="98" t="s">
        <v>118</v>
      </c>
      <c r="B180" s="99">
        <v>19</v>
      </c>
      <c r="C180" s="99">
        <v>1</v>
      </c>
      <c r="D180" s="99">
        <v>10</v>
      </c>
      <c r="E180" s="99">
        <v>8</v>
      </c>
    </row>
    <row r="181" spans="1:5">
      <c r="A181" s="34"/>
      <c r="B181" s="33" t="s">
        <v>117</v>
      </c>
      <c r="C181" s="33" t="s">
        <v>114</v>
      </c>
      <c r="D181" s="33" t="s">
        <v>115</v>
      </c>
      <c r="E181" s="33" t="s">
        <v>116</v>
      </c>
    </row>
    <row r="182" spans="1:5">
      <c r="A182" s="98" t="s">
        <v>119</v>
      </c>
      <c r="B182" s="99">
        <f>INDEX('Результаты матчей'!$N$2:$R$65,A176,5)</f>
        <v>39</v>
      </c>
      <c r="C182" s="99">
        <v>3</v>
      </c>
      <c r="D182" s="99">
        <v>7</v>
      </c>
      <c r="E182" s="99">
        <v>0</v>
      </c>
    </row>
    <row r="184" spans="1:5">
      <c r="A184" s="95" t="s">
        <v>8</v>
      </c>
      <c r="B184" s="96"/>
      <c r="C184" s="96"/>
      <c r="D184" s="96"/>
      <c r="E184" s="96"/>
    </row>
    <row r="185" spans="1:5">
      <c r="A185" s="90">
        <v>21</v>
      </c>
      <c r="B185" s="91" t="s">
        <v>108</v>
      </c>
      <c r="C185" s="91" t="s">
        <v>109</v>
      </c>
      <c r="D185" s="91" t="s">
        <v>110</v>
      </c>
      <c r="E185" s="91" t="s">
        <v>111</v>
      </c>
    </row>
    <row r="186" spans="1:5" ht="20.25">
      <c r="A186" s="92" t="s">
        <v>12</v>
      </c>
      <c r="B186" s="97">
        <f>IF(INDEX('Результаты матчей'!$N$2:$R$65,A185,4)=1,INDEX('Результаты матчей'!$N$2:$R$65,A185,2),"-")</f>
        <v>3</v>
      </c>
      <c r="C186" s="93">
        <f>AVERAGE('01 Акиловский Руслан:19 Щербич Никита'!O22)</f>
        <v>2.4736842105263159</v>
      </c>
      <c r="D186" s="94">
        <v>2</v>
      </c>
      <c r="E186" s="94">
        <v>1</v>
      </c>
    </row>
    <row r="187" spans="1:5" ht="20.25">
      <c r="A187" s="92" t="s">
        <v>143</v>
      </c>
      <c r="B187" s="97">
        <f>IF(INDEX('Результаты матчей'!$N$2:$R$65,A185,4)=1,INDEX('Результаты матчей'!$N$2:$R$65,A185,3),"-")</f>
        <v>0</v>
      </c>
      <c r="C187" s="93">
        <f>AVERAGE('01 Акиловский Руслан:19 Щербич Никита'!P22)</f>
        <v>0.84210526315789469</v>
      </c>
      <c r="D187" s="94">
        <v>0</v>
      </c>
      <c r="E187" s="94">
        <v>2</v>
      </c>
    </row>
    <row r="188" spans="1:5">
      <c r="A188" s="35"/>
      <c r="B188" s="32" t="s">
        <v>14</v>
      </c>
      <c r="C188" s="32" t="str">
        <f>A186</f>
        <v>Испания</v>
      </c>
      <c r="D188" s="32" t="s">
        <v>113</v>
      </c>
      <c r="E188" s="32" t="str">
        <f>A187</f>
        <v>Турция</v>
      </c>
    </row>
    <row r="189" spans="1:5">
      <c r="A189" s="98" t="s">
        <v>118</v>
      </c>
      <c r="B189" s="99">
        <v>19</v>
      </c>
      <c r="C189" s="99">
        <v>17</v>
      </c>
      <c r="D189" s="99">
        <v>0</v>
      </c>
      <c r="E189" s="99">
        <v>2</v>
      </c>
    </row>
    <row r="190" spans="1:5">
      <c r="A190" s="34"/>
      <c r="B190" s="33" t="s">
        <v>117</v>
      </c>
      <c r="C190" s="33" t="s">
        <v>114</v>
      </c>
      <c r="D190" s="33" t="s">
        <v>115</v>
      </c>
      <c r="E190" s="33" t="s">
        <v>116</v>
      </c>
    </row>
    <row r="191" spans="1:5">
      <c r="A191" s="98" t="s">
        <v>119</v>
      </c>
      <c r="B191" s="99">
        <f>INDEX('Результаты матчей'!$N$2:$R$65,A185,5)</f>
        <v>35</v>
      </c>
      <c r="C191" s="99">
        <v>3</v>
      </c>
      <c r="D191" s="99">
        <v>1</v>
      </c>
      <c r="E191" s="99">
        <v>13</v>
      </c>
    </row>
    <row r="193" spans="1:5">
      <c r="A193" s="95" t="s">
        <v>9</v>
      </c>
      <c r="B193" s="96"/>
      <c r="C193" s="96"/>
      <c r="D193" s="96"/>
      <c r="E193" s="96"/>
    </row>
    <row r="194" spans="1:5">
      <c r="A194" s="90">
        <v>22</v>
      </c>
      <c r="B194" s="91" t="s">
        <v>108</v>
      </c>
      <c r="C194" s="91" t="s">
        <v>109</v>
      </c>
      <c r="D194" s="91" t="s">
        <v>110</v>
      </c>
      <c r="E194" s="91" t="s">
        <v>111</v>
      </c>
    </row>
    <row r="195" spans="1:5" ht="20.25">
      <c r="A195" s="92" t="s">
        <v>67</v>
      </c>
      <c r="B195" s="97">
        <f>IF(INDEX('Результаты матчей'!$N$2:$R$65,A194,4)=1,INDEX('Результаты матчей'!$N$2:$R$65,A194,2),"-")</f>
        <v>3</v>
      </c>
      <c r="C195" s="93">
        <f>AVERAGE('01 Акиловский Руслан:19 Щербич Никита'!O23)</f>
        <v>2.0526315789473686</v>
      </c>
      <c r="D195" s="94">
        <v>2</v>
      </c>
      <c r="E195" s="94" t="s">
        <v>13</v>
      </c>
    </row>
    <row r="196" spans="1:5" ht="20.25">
      <c r="A196" s="92" t="s">
        <v>148</v>
      </c>
      <c r="B196" s="97">
        <f>IF(INDEX('Результаты матчей'!$N$2:$R$65,A194,4)=1,INDEX('Результаты матчей'!$N$2:$R$65,A194,3),"-")</f>
        <v>0</v>
      </c>
      <c r="C196" s="93">
        <f>AVERAGE('01 Акиловский Руслан:19 Щербич Никита'!P23)</f>
        <v>0.47368421052631576</v>
      </c>
      <c r="D196" s="94">
        <v>2</v>
      </c>
      <c r="E196" s="94" t="s">
        <v>13</v>
      </c>
    </row>
    <row r="197" spans="1:5">
      <c r="A197" s="35"/>
      <c r="B197" s="32" t="s">
        <v>14</v>
      </c>
      <c r="C197" s="32" t="str">
        <f>A195</f>
        <v>Бельгия</v>
      </c>
      <c r="D197" s="32" t="s">
        <v>113</v>
      </c>
      <c r="E197" s="32" t="str">
        <f>A196</f>
        <v>Ирландия</v>
      </c>
    </row>
    <row r="198" spans="1:5">
      <c r="A198" s="98" t="s">
        <v>118</v>
      </c>
      <c r="B198" s="99">
        <v>19</v>
      </c>
      <c r="C198" s="99">
        <v>17</v>
      </c>
      <c r="D198" s="99">
        <v>2</v>
      </c>
      <c r="E198" s="99">
        <v>0</v>
      </c>
    </row>
    <row r="199" spans="1:5">
      <c r="A199" s="34"/>
      <c r="B199" s="33" t="s">
        <v>117</v>
      </c>
      <c r="C199" s="33" t="s">
        <v>114</v>
      </c>
      <c r="D199" s="33" t="s">
        <v>115</v>
      </c>
      <c r="E199" s="33" t="s">
        <v>116</v>
      </c>
    </row>
    <row r="200" spans="1:5">
      <c r="A200" s="98" t="s">
        <v>119</v>
      </c>
      <c r="B200" s="99">
        <f>INDEX('Результаты матчей'!$N$2:$R$65,A194,5)</f>
        <v>27</v>
      </c>
      <c r="C200" s="99">
        <v>2</v>
      </c>
      <c r="D200" s="99">
        <v>0</v>
      </c>
      <c r="E200" s="99">
        <v>15</v>
      </c>
    </row>
    <row r="202" spans="1:5">
      <c r="A202" s="95" t="s">
        <v>9</v>
      </c>
      <c r="B202" s="96"/>
      <c r="C202" s="96"/>
      <c r="D202" s="96"/>
      <c r="E202" s="96"/>
    </row>
    <row r="203" spans="1:5">
      <c r="A203" s="90">
        <v>23</v>
      </c>
      <c r="B203" s="91" t="s">
        <v>108</v>
      </c>
      <c r="C203" s="91" t="s">
        <v>109</v>
      </c>
      <c r="D203" s="91" t="s">
        <v>110</v>
      </c>
      <c r="E203" s="91" t="s">
        <v>111</v>
      </c>
    </row>
    <row r="204" spans="1:5" ht="20.25">
      <c r="A204" s="92" t="s">
        <v>152</v>
      </c>
      <c r="B204" s="97">
        <f>IF(INDEX('Результаты матчей'!$N$2:$R$65,A203,4)=1,INDEX('Результаты матчей'!$N$2:$R$65,A203,2),"-")</f>
        <v>1</v>
      </c>
      <c r="C204" s="93">
        <f>AVERAGE('01 Акиловский Руслан:19 Щербич Никита'!O24)</f>
        <v>1.1052631578947369</v>
      </c>
      <c r="D204" s="94">
        <v>2</v>
      </c>
      <c r="E204" s="94" t="s">
        <v>13</v>
      </c>
    </row>
    <row r="205" spans="1:5" ht="20.25">
      <c r="A205" s="92" t="s">
        <v>151</v>
      </c>
      <c r="B205" s="97">
        <f>IF(INDEX('Результаты матчей'!$N$2:$R$65,A203,4)=1,INDEX('Результаты матчей'!$N$2:$R$65,A203,3),"-")</f>
        <v>1</v>
      </c>
      <c r="C205" s="93">
        <f>AVERAGE('01 Акиловский Руслан:19 Щербич Никита'!P24)</f>
        <v>0.78947368421052633</v>
      </c>
      <c r="D205" s="94">
        <v>0</v>
      </c>
      <c r="E205" s="94" t="s">
        <v>13</v>
      </c>
    </row>
    <row r="206" spans="1:5">
      <c r="A206" s="35"/>
      <c r="B206" s="32" t="s">
        <v>14</v>
      </c>
      <c r="C206" s="32" t="str">
        <f>A204</f>
        <v>Исландия</v>
      </c>
      <c r="D206" s="32" t="s">
        <v>113</v>
      </c>
      <c r="E206" s="32" t="str">
        <f>A205</f>
        <v>Венгрия</v>
      </c>
    </row>
    <row r="207" spans="1:5">
      <c r="A207" s="98" t="s">
        <v>118</v>
      </c>
      <c r="B207" s="99">
        <v>19</v>
      </c>
      <c r="C207" s="99">
        <v>8</v>
      </c>
      <c r="D207" s="99">
        <v>7</v>
      </c>
      <c r="E207" s="99">
        <v>4</v>
      </c>
    </row>
    <row r="208" spans="1:5">
      <c r="A208" s="34"/>
      <c r="B208" s="33" t="s">
        <v>117</v>
      </c>
      <c r="C208" s="33" t="s">
        <v>114</v>
      </c>
      <c r="D208" s="33" t="s">
        <v>115</v>
      </c>
      <c r="E208" s="33" t="s">
        <v>116</v>
      </c>
    </row>
    <row r="209" spans="1:5">
      <c r="A209" s="98" t="s">
        <v>119</v>
      </c>
      <c r="B209" s="99">
        <f>INDEX('Результаты матчей'!$N$2:$R$65,A203,5)</f>
        <v>27</v>
      </c>
      <c r="C209" s="99">
        <v>2</v>
      </c>
      <c r="D209" s="99">
        <v>5</v>
      </c>
      <c r="E209" s="99">
        <v>0</v>
      </c>
    </row>
    <row r="211" spans="1:5">
      <c r="A211" s="95" t="s">
        <v>9</v>
      </c>
      <c r="B211" s="96"/>
      <c r="C211" s="96"/>
      <c r="D211" s="96"/>
      <c r="E211" s="96"/>
    </row>
    <row r="212" spans="1:5">
      <c r="A212" s="90">
        <v>24</v>
      </c>
      <c r="B212" s="91" t="s">
        <v>108</v>
      </c>
      <c r="C212" s="91" t="s">
        <v>109</v>
      </c>
      <c r="D212" s="91" t="s">
        <v>110</v>
      </c>
      <c r="E212" s="91" t="s">
        <v>111</v>
      </c>
    </row>
    <row r="213" spans="1:5" ht="20.25">
      <c r="A213" s="92" t="s">
        <v>1</v>
      </c>
      <c r="B213" s="97">
        <f>IF(INDEX('Результаты матчей'!$N$2:$R$65,A212,4)=1,INDEX('Результаты матчей'!$N$2:$R$65,A212,2),"-")</f>
        <v>0</v>
      </c>
      <c r="C213" s="93">
        <f>AVERAGE('01 Акиловский Руслан:19 Щербич Никита'!O25)</f>
        <v>1.4210526315789473</v>
      </c>
      <c r="D213" s="94">
        <v>1</v>
      </c>
      <c r="E213" s="94" t="s">
        <v>13</v>
      </c>
    </row>
    <row r="214" spans="1:5" ht="20.25">
      <c r="A214" s="92" t="s">
        <v>150</v>
      </c>
      <c r="B214" s="97">
        <f>IF(INDEX('Результаты матчей'!$N$2:$R$65,A212,4)=1,INDEX('Результаты матчей'!$N$2:$R$65,A212,3),"-")</f>
        <v>0</v>
      </c>
      <c r="C214" s="93">
        <f>AVERAGE('01 Акиловский Руслан:19 Щербич Никита'!P25)</f>
        <v>0.63157894736842102</v>
      </c>
      <c r="D214" s="94">
        <v>0</v>
      </c>
      <c r="E214" s="94" t="s">
        <v>13</v>
      </c>
    </row>
    <row r="215" spans="1:5">
      <c r="A215" s="35"/>
      <c r="B215" s="32" t="s">
        <v>14</v>
      </c>
      <c r="C215" s="32" t="str">
        <f>A213</f>
        <v>Португалия</v>
      </c>
      <c r="D215" s="32" t="s">
        <v>113</v>
      </c>
      <c r="E215" s="32" t="str">
        <f>A214</f>
        <v>Австрия</v>
      </c>
    </row>
    <row r="216" spans="1:5">
      <c r="A216" s="98" t="s">
        <v>118</v>
      </c>
      <c r="B216" s="99">
        <v>19</v>
      </c>
      <c r="C216" s="99">
        <v>12</v>
      </c>
      <c r="D216" s="99">
        <v>5</v>
      </c>
      <c r="E216" s="99">
        <v>2</v>
      </c>
    </row>
    <row r="217" spans="1:5">
      <c r="A217" s="34"/>
      <c r="B217" s="33" t="s">
        <v>117</v>
      </c>
      <c r="C217" s="33" t="s">
        <v>114</v>
      </c>
      <c r="D217" s="33" t="s">
        <v>115</v>
      </c>
      <c r="E217" s="33" t="s">
        <v>116</v>
      </c>
    </row>
    <row r="218" spans="1:5">
      <c r="A218" s="98" t="s">
        <v>119</v>
      </c>
      <c r="B218" s="99">
        <f>INDEX('Результаты матчей'!$N$2:$R$65,A212,5)</f>
        <v>21</v>
      </c>
      <c r="C218" s="99">
        <v>2</v>
      </c>
      <c r="D218" s="99">
        <v>3</v>
      </c>
      <c r="E218" s="99">
        <v>0</v>
      </c>
    </row>
    <row r="220" spans="1:5">
      <c r="A220" s="95" t="s">
        <v>22</v>
      </c>
      <c r="B220" s="96"/>
      <c r="C220" s="96"/>
      <c r="D220" s="96"/>
      <c r="E220" s="96"/>
    </row>
    <row r="221" spans="1:5">
      <c r="A221" s="90">
        <v>25</v>
      </c>
      <c r="B221" s="91" t="s">
        <v>108</v>
      </c>
      <c r="C221" s="91" t="s">
        <v>109</v>
      </c>
      <c r="D221" s="91" t="s">
        <v>110</v>
      </c>
      <c r="E221" s="91" t="s">
        <v>111</v>
      </c>
    </row>
    <row r="222" spans="1:5" ht="20.25">
      <c r="A222" s="92" t="s">
        <v>139</v>
      </c>
      <c r="B222" s="97">
        <f>IF(INDEX('Результаты матчей'!$N$2:$R$65,A221,4)=1,INDEX('Результаты матчей'!$N$2:$R$65,A221,2),"-")</f>
        <v>0</v>
      </c>
      <c r="C222" s="93">
        <f>AVERAGE('01 Акиловский Руслан:19 Щербич Никита'!O26)</f>
        <v>1.2105263157894737</v>
      </c>
      <c r="D222" s="94">
        <v>2</v>
      </c>
      <c r="E222" s="94">
        <v>1</v>
      </c>
    </row>
    <row r="223" spans="1:5" ht="20.25">
      <c r="A223" s="92" t="s">
        <v>140</v>
      </c>
      <c r="B223" s="97">
        <f>IF(INDEX('Результаты матчей'!$N$2:$R$65,A221,4)=1,INDEX('Результаты матчей'!$N$2:$R$65,A221,3),"-")</f>
        <v>1</v>
      </c>
      <c r="C223" s="93">
        <f>AVERAGE('01 Акиловский Руслан:19 Щербич Никита'!P26)</f>
        <v>0.94736842105263153</v>
      </c>
      <c r="D223" s="94">
        <v>2</v>
      </c>
      <c r="E223" s="94">
        <v>2</v>
      </c>
    </row>
    <row r="224" spans="1:5">
      <c r="A224" s="35"/>
      <c r="B224" s="32" t="s">
        <v>14</v>
      </c>
      <c r="C224" s="32" t="str">
        <f>A222</f>
        <v>Румыния</v>
      </c>
      <c r="D224" s="32" t="s">
        <v>113</v>
      </c>
      <c r="E224" s="32" t="str">
        <f>A223</f>
        <v>Албания</v>
      </c>
    </row>
    <row r="225" spans="1:5">
      <c r="A225" s="98" t="s">
        <v>118</v>
      </c>
      <c r="B225" s="99">
        <v>19</v>
      </c>
      <c r="C225" s="99">
        <v>6</v>
      </c>
      <c r="D225" s="99">
        <v>11</v>
      </c>
      <c r="E225" s="99">
        <v>2</v>
      </c>
    </row>
    <row r="226" spans="1:5">
      <c r="A226" s="34"/>
      <c r="B226" s="33" t="s">
        <v>117</v>
      </c>
      <c r="C226" s="33" t="s">
        <v>114</v>
      </c>
      <c r="D226" s="33" t="s">
        <v>115</v>
      </c>
      <c r="E226" s="33" t="s">
        <v>116</v>
      </c>
    </row>
    <row r="227" spans="1:5">
      <c r="A227" s="98" t="s">
        <v>119</v>
      </c>
      <c r="B227" s="99">
        <f>INDEX('Результаты матчей'!$N$2:$R$65,A221,5)</f>
        <v>8</v>
      </c>
      <c r="C227" s="99">
        <v>0</v>
      </c>
      <c r="D227" s="99">
        <v>2</v>
      </c>
      <c r="E227" s="99">
        <v>0</v>
      </c>
    </row>
    <row r="229" spans="1:5">
      <c r="A229" s="95" t="s">
        <v>22</v>
      </c>
      <c r="B229" s="96"/>
      <c r="C229" s="96"/>
      <c r="D229" s="96"/>
      <c r="E229" s="96"/>
    </row>
    <row r="230" spans="1:5">
      <c r="A230" s="90">
        <v>26</v>
      </c>
      <c r="B230" s="91" t="s">
        <v>108</v>
      </c>
      <c r="C230" s="91" t="s">
        <v>109</v>
      </c>
      <c r="D230" s="91" t="s">
        <v>110</v>
      </c>
      <c r="E230" s="91" t="s">
        <v>111</v>
      </c>
    </row>
    <row r="231" spans="1:5" ht="20.25">
      <c r="A231" s="92" t="s">
        <v>0</v>
      </c>
      <c r="B231" s="97">
        <f>IF(INDEX('Результаты матчей'!$N$2:$R$65,A230,4)=1,INDEX('Результаты матчей'!$N$2:$R$65,A230,2),"-")</f>
        <v>0</v>
      </c>
      <c r="C231" s="93">
        <f>AVERAGE('01 Акиловский Руслан:19 Щербич Никита'!O27)</f>
        <v>1</v>
      </c>
      <c r="D231" s="94">
        <v>1</v>
      </c>
      <c r="E231" s="94">
        <v>1</v>
      </c>
    </row>
    <row r="232" spans="1:5" ht="20.25">
      <c r="A232" s="92" t="s">
        <v>10</v>
      </c>
      <c r="B232" s="97">
        <f>IF(INDEX('Результаты матчей'!$N$2:$R$65,A230,4)=1,INDEX('Результаты матчей'!$N$2:$R$65,A230,3),"-")</f>
        <v>0</v>
      </c>
      <c r="C232" s="93">
        <f>AVERAGE('01 Акиловский Руслан:19 Щербич Никита'!P27)</f>
        <v>1.7894736842105263</v>
      </c>
      <c r="D232" s="94">
        <v>2</v>
      </c>
      <c r="E232" s="94">
        <v>0</v>
      </c>
    </row>
    <row r="233" spans="1:5">
      <c r="A233" s="35"/>
      <c r="B233" s="32" t="s">
        <v>14</v>
      </c>
      <c r="C233" s="32" t="str">
        <f>A231</f>
        <v>Швейцария</v>
      </c>
      <c r="D233" s="32" t="s">
        <v>113</v>
      </c>
      <c r="E233" s="32" t="str">
        <f>A232</f>
        <v>Франция</v>
      </c>
    </row>
    <row r="234" spans="1:5">
      <c r="A234" s="98" t="s">
        <v>118</v>
      </c>
      <c r="B234" s="99">
        <v>19</v>
      </c>
      <c r="C234" s="99">
        <v>1</v>
      </c>
      <c r="D234" s="99">
        <v>5</v>
      </c>
      <c r="E234" s="99">
        <v>13</v>
      </c>
    </row>
    <row r="235" spans="1:5">
      <c r="A235" s="34"/>
      <c r="B235" s="33" t="s">
        <v>117</v>
      </c>
      <c r="C235" s="33" t="s">
        <v>114</v>
      </c>
      <c r="D235" s="33" t="s">
        <v>115</v>
      </c>
      <c r="E235" s="33" t="s">
        <v>116</v>
      </c>
    </row>
    <row r="236" spans="1:5">
      <c r="A236" s="98" t="s">
        <v>119</v>
      </c>
      <c r="B236" s="99">
        <f>INDEX('Результаты матчей'!$N$2:$R$65,A230,5)</f>
        <v>15</v>
      </c>
      <c r="C236" s="99">
        <v>0</v>
      </c>
      <c r="D236" s="99">
        <v>5</v>
      </c>
      <c r="E236" s="99">
        <v>0</v>
      </c>
    </row>
    <row r="238" spans="1:5">
      <c r="A238" s="95" t="s">
        <v>23</v>
      </c>
      <c r="B238" s="96"/>
      <c r="C238" s="96"/>
      <c r="D238" s="96"/>
      <c r="E238" s="96"/>
    </row>
    <row r="239" spans="1:5">
      <c r="A239" s="90">
        <v>27</v>
      </c>
      <c r="B239" s="91" t="s">
        <v>108</v>
      </c>
      <c r="C239" s="91" t="s">
        <v>109</v>
      </c>
      <c r="D239" s="91" t="s">
        <v>110</v>
      </c>
      <c r="E239" s="91" t="s">
        <v>111</v>
      </c>
    </row>
    <row r="240" spans="1:5" ht="20.25">
      <c r="A240" s="92" t="s">
        <v>68</v>
      </c>
      <c r="B240" s="97">
        <f>IF(INDEX('Результаты матчей'!$N$2:$R$65,A239,4)=1,INDEX('Результаты матчей'!$N$2:$R$65,A239,2),"-")</f>
        <v>0</v>
      </c>
      <c r="C240" s="93">
        <f>AVERAGE('01 Акиловский Руслан:19 Щербич Никита'!O28)</f>
        <v>1.2105263157894737</v>
      </c>
      <c r="D240" s="94">
        <v>1</v>
      </c>
      <c r="E240" s="94">
        <v>1</v>
      </c>
    </row>
    <row r="241" spans="1:5" ht="20.25">
      <c r="A241" s="92" t="s">
        <v>141</v>
      </c>
      <c r="B241" s="97">
        <f>IF(INDEX('Результаты матчей'!$N$2:$R$65,A239,4)=1,INDEX('Результаты матчей'!$N$2:$R$65,A239,3),"-")</f>
        <v>3</v>
      </c>
      <c r="C241" s="93">
        <f>AVERAGE('01 Акиловский Руслан:19 Щербич Никита'!P28)</f>
        <v>0.73684210526315785</v>
      </c>
      <c r="D241" s="94">
        <v>2</v>
      </c>
      <c r="E241" s="94">
        <v>1</v>
      </c>
    </row>
    <row r="242" spans="1:5">
      <c r="A242" s="35"/>
      <c r="B242" s="32" t="s">
        <v>14</v>
      </c>
      <c r="C242" s="32" t="str">
        <f>A240</f>
        <v>Россия</v>
      </c>
      <c r="D242" s="32" t="s">
        <v>113</v>
      </c>
      <c r="E242" s="32" t="str">
        <f>A241</f>
        <v>Уэльс</v>
      </c>
    </row>
    <row r="243" spans="1:5">
      <c r="A243" s="98" t="s">
        <v>118</v>
      </c>
      <c r="B243" s="99">
        <v>19</v>
      </c>
      <c r="C243" s="99">
        <v>12</v>
      </c>
      <c r="D243" s="99">
        <v>2</v>
      </c>
      <c r="E243" s="99">
        <v>5</v>
      </c>
    </row>
    <row r="244" spans="1:5">
      <c r="A244" s="34"/>
      <c r="B244" s="33" t="s">
        <v>117</v>
      </c>
      <c r="C244" s="33" t="s">
        <v>114</v>
      </c>
      <c r="D244" s="33" t="s">
        <v>115</v>
      </c>
      <c r="E244" s="33" t="s">
        <v>116</v>
      </c>
    </row>
    <row r="245" spans="1:5">
      <c r="A245" s="98" t="s">
        <v>119</v>
      </c>
      <c r="B245" s="99">
        <f>INDEX('Результаты матчей'!$N$2:$R$65,A239,5)</f>
        <v>5</v>
      </c>
      <c r="C245" s="99">
        <v>0</v>
      </c>
      <c r="D245" s="99">
        <v>0</v>
      </c>
      <c r="E245" s="99">
        <v>5</v>
      </c>
    </row>
    <row r="247" spans="1:5">
      <c r="A247" s="95" t="s">
        <v>23</v>
      </c>
      <c r="B247" s="96"/>
      <c r="C247" s="96"/>
      <c r="D247" s="96"/>
      <c r="E247" s="96"/>
    </row>
    <row r="248" spans="1:5">
      <c r="A248" s="90">
        <v>28</v>
      </c>
      <c r="B248" s="91" t="s">
        <v>108</v>
      </c>
      <c r="C248" s="91" t="s">
        <v>109</v>
      </c>
      <c r="D248" s="91" t="s">
        <v>110</v>
      </c>
      <c r="E248" s="91" t="s">
        <v>111</v>
      </c>
    </row>
    <row r="249" spans="1:5" ht="20.25">
      <c r="A249" s="92" t="s">
        <v>142</v>
      </c>
      <c r="B249" s="97">
        <f>IF(INDEX('Результаты матчей'!$N$2:$R$65,A248,4)=1,INDEX('Результаты матчей'!$N$2:$R$65,A248,2),"-")</f>
        <v>0</v>
      </c>
      <c r="C249" s="93">
        <f>AVERAGE('01 Акиловский Руслан:19 Щербич Никита'!O29)</f>
        <v>0.57894736842105265</v>
      </c>
      <c r="D249" s="94">
        <v>1</v>
      </c>
      <c r="E249" s="94">
        <v>3</v>
      </c>
    </row>
    <row r="250" spans="1:5" ht="20.25">
      <c r="A250" s="92" t="s">
        <v>21</v>
      </c>
      <c r="B250" s="97">
        <f>IF(INDEX('Результаты матчей'!$N$2:$R$65,A248,4)=1,INDEX('Результаты матчей'!$N$2:$R$65,A248,3),"-")</f>
        <v>0</v>
      </c>
      <c r="C250" s="93">
        <f>AVERAGE('01 Акиловский Руслан:19 Щербич Никита'!P29)</f>
        <v>1.8947368421052631</v>
      </c>
      <c r="D250" s="94">
        <v>2</v>
      </c>
      <c r="E250" s="94">
        <v>1</v>
      </c>
    </row>
    <row r="251" spans="1:5">
      <c r="A251" s="35"/>
      <c r="B251" s="32" t="s">
        <v>14</v>
      </c>
      <c r="C251" s="32" t="str">
        <f>A249</f>
        <v>Словакия</v>
      </c>
      <c r="D251" s="32" t="s">
        <v>113</v>
      </c>
      <c r="E251" s="32" t="str">
        <f>A250</f>
        <v>Англия</v>
      </c>
    </row>
    <row r="252" spans="1:5">
      <c r="A252" s="98" t="s">
        <v>118</v>
      </c>
      <c r="B252" s="99">
        <v>19</v>
      </c>
      <c r="C252" s="99">
        <v>1</v>
      </c>
      <c r="D252" s="99">
        <v>4</v>
      </c>
      <c r="E252" s="99">
        <v>14</v>
      </c>
    </row>
    <row r="253" spans="1:5">
      <c r="A253" s="34"/>
      <c r="B253" s="33" t="s">
        <v>117</v>
      </c>
      <c r="C253" s="33" t="s">
        <v>114</v>
      </c>
      <c r="D253" s="33" t="s">
        <v>115</v>
      </c>
      <c r="E253" s="33" t="s">
        <v>116</v>
      </c>
    </row>
    <row r="254" spans="1:5">
      <c r="A254" s="98" t="s">
        <v>119</v>
      </c>
      <c r="B254" s="99">
        <f>INDEX('Результаты матчей'!$N$2:$R$65,A248,5)</f>
        <v>12</v>
      </c>
      <c r="C254" s="99">
        <v>0</v>
      </c>
      <c r="D254" s="99">
        <v>4</v>
      </c>
      <c r="E254" s="99">
        <v>0</v>
      </c>
    </row>
    <row r="256" spans="1:5">
      <c r="A256" s="95" t="s">
        <v>24</v>
      </c>
      <c r="B256" s="96"/>
      <c r="C256" s="96"/>
      <c r="D256" s="96"/>
      <c r="E256" s="96"/>
    </row>
    <row r="257" spans="1:5">
      <c r="A257" s="90">
        <v>29</v>
      </c>
      <c r="B257" s="91" t="s">
        <v>108</v>
      </c>
      <c r="C257" s="91" t="s">
        <v>109</v>
      </c>
      <c r="D257" s="91" t="s">
        <v>110</v>
      </c>
      <c r="E257" s="91" t="s">
        <v>111</v>
      </c>
    </row>
    <row r="258" spans="1:5" ht="20.25">
      <c r="A258" s="92" t="s">
        <v>146</v>
      </c>
      <c r="B258" s="97">
        <f>IF(INDEX('Результаты матчей'!$N$2:$R$65,A257,4)=1,INDEX('Результаты матчей'!$N$2:$R$65,A257,2),"-")</f>
        <v>0</v>
      </c>
      <c r="C258" s="93">
        <f>AVERAGE('01 Акиловский Руслан:19 Щербич Никита'!O30)</f>
        <v>1.2105263157894737</v>
      </c>
      <c r="D258" s="94">
        <v>1</v>
      </c>
      <c r="E258" s="94">
        <v>3</v>
      </c>
    </row>
    <row r="259" spans="1:5" ht="20.25">
      <c r="A259" s="92" t="s">
        <v>144</v>
      </c>
      <c r="B259" s="97">
        <f>IF(INDEX('Результаты матчей'!$N$2:$R$65,A257,4)=1,INDEX('Результаты матчей'!$N$2:$R$65,A257,3),"-")</f>
        <v>1</v>
      </c>
      <c r="C259" s="93">
        <f>AVERAGE('01 Акиловский Руслан:19 Щербич Никита'!P30)</f>
        <v>1.4210526315789473</v>
      </c>
      <c r="D259" s="94">
        <v>3</v>
      </c>
      <c r="E259" s="94">
        <v>1</v>
      </c>
    </row>
    <row r="260" spans="1:5">
      <c r="A260" s="35"/>
      <c r="B260" s="32" t="s">
        <v>14</v>
      </c>
      <c r="C260" s="32" t="str">
        <f>A258</f>
        <v>Украина</v>
      </c>
      <c r="D260" s="32" t="s">
        <v>113</v>
      </c>
      <c r="E260" s="32" t="str">
        <f>A259</f>
        <v>Польша</v>
      </c>
    </row>
    <row r="261" spans="1:5">
      <c r="A261" s="98" t="s">
        <v>118</v>
      </c>
      <c r="B261" s="99">
        <v>19</v>
      </c>
      <c r="C261" s="99">
        <v>5</v>
      </c>
      <c r="D261" s="99">
        <v>7</v>
      </c>
      <c r="E261" s="99">
        <v>7</v>
      </c>
    </row>
    <row r="262" spans="1:5">
      <c r="A262" s="34"/>
      <c r="B262" s="33" t="s">
        <v>117</v>
      </c>
      <c r="C262" s="33" t="s">
        <v>114</v>
      </c>
      <c r="D262" s="33" t="s">
        <v>115</v>
      </c>
      <c r="E262" s="33" t="s">
        <v>116</v>
      </c>
    </row>
    <row r="263" spans="1:5">
      <c r="A263" s="98" t="s">
        <v>119</v>
      </c>
      <c r="B263" s="99">
        <f>INDEX('Результаты матчей'!$N$2:$R$65,A257,5)</f>
        <v>23</v>
      </c>
      <c r="C263" s="99">
        <v>2</v>
      </c>
      <c r="D263" s="99">
        <v>2</v>
      </c>
      <c r="E263" s="99">
        <v>3</v>
      </c>
    </row>
    <row r="265" spans="1:5">
      <c r="A265" s="95" t="s">
        <v>24</v>
      </c>
      <c r="B265" s="96"/>
      <c r="C265" s="96"/>
      <c r="D265" s="96"/>
      <c r="E265" s="96"/>
    </row>
    <row r="266" spans="1:5">
      <c r="A266" s="90">
        <v>30</v>
      </c>
      <c r="B266" s="91" t="s">
        <v>108</v>
      </c>
      <c r="C266" s="91" t="s">
        <v>109</v>
      </c>
      <c r="D266" s="91" t="s">
        <v>110</v>
      </c>
      <c r="E266" s="91" t="s">
        <v>111</v>
      </c>
    </row>
    <row r="267" spans="1:5" ht="20.25">
      <c r="A267" s="92" t="s">
        <v>206</v>
      </c>
      <c r="B267" s="97">
        <f>IF(INDEX('Результаты матчей'!$N$2:$R$65,A266,4)=1,INDEX('Результаты матчей'!$N$2:$R$65,A266,2),"-")</f>
        <v>0</v>
      </c>
      <c r="C267" s="93">
        <f>AVERAGE('01 Акиловский Руслан:19 Щербич Никита'!O31)</f>
        <v>0.26315789473684209</v>
      </c>
      <c r="D267" s="94">
        <v>1</v>
      </c>
      <c r="E267" s="94">
        <v>0</v>
      </c>
    </row>
    <row r="268" spans="1:5" ht="20.25">
      <c r="A268" s="92" t="s">
        <v>2</v>
      </c>
      <c r="B268" s="97">
        <f>IF(INDEX('Результаты матчей'!$N$2:$R$65,A266,4)=1,INDEX('Результаты матчей'!$N$2:$R$65,A266,3),"-")</f>
        <v>1</v>
      </c>
      <c r="C268" s="93">
        <f>AVERAGE('01 Акиловский Руслан:19 Щербич Никита'!P31)</f>
        <v>2.8947368421052633</v>
      </c>
      <c r="D268" s="94">
        <v>4</v>
      </c>
      <c r="E268" s="94">
        <v>5</v>
      </c>
    </row>
    <row r="269" spans="1:5">
      <c r="A269" s="35"/>
      <c r="B269" s="32" t="s">
        <v>14</v>
      </c>
      <c r="C269" s="32" t="s">
        <v>145</v>
      </c>
      <c r="D269" s="32" t="s">
        <v>113</v>
      </c>
      <c r="E269" s="32" t="str">
        <f>A268</f>
        <v>Германия</v>
      </c>
    </row>
    <row r="270" spans="1:5">
      <c r="A270" s="98" t="s">
        <v>118</v>
      </c>
      <c r="B270" s="99">
        <v>19</v>
      </c>
      <c r="C270" s="99">
        <v>0</v>
      </c>
      <c r="D270" s="99">
        <v>0</v>
      </c>
      <c r="E270" s="99">
        <v>19</v>
      </c>
    </row>
    <row r="271" spans="1:5">
      <c r="A271" s="34"/>
      <c r="B271" s="33" t="s">
        <v>117</v>
      </c>
      <c r="C271" s="33" t="s">
        <v>114</v>
      </c>
      <c r="D271" s="33" t="s">
        <v>115</v>
      </c>
      <c r="E271" s="33" t="s">
        <v>116</v>
      </c>
    </row>
    <row r="272" spans="1:5">
      <c r="A272" s="98" t="s">
        <v>119</v>
      </c>
      <c r="B272" s="99">
        <f>INDEX('Результаты матчей'!$N$2:$R$65,A266,5)</f>
        <v>34</v>
      </c>
      <c r="C272" s="99">
        <v>3</v>
      </c>
      <c r="D272" s="99">
        <v>0</v>
      </c>
      <c r="E272" s="99">
        <v>16</v>
      </c>
    </row>
    <row r="274" spans="1:5">
      <c r="A274" s="95" t="s">
        <v>24</v>
      </c>
      <c r="B274" s="96"/>
      <c r="C274" s="96"/>
      <c r="D274" s="96"/>
      <c r="E274" s="96"/>
    </row>
    <row r="275" spans="1:5">
      <c r="A275" s="90">
        <v>31</v>
      </c>
      <c r="B275" s="91" t="s">
        <v>108</v>
      </c>
      <c r="C275" s="91" t="s">
        <v>109</v>
      </c>
      <c r="D275" s="91" t="s">
        <v>110</v>
      </c>
      <c r="E275" s="91" t="s">
        <v>111</v>
      </c>
    </row>
    <row r="276" spans="1:5" ht="20.25">
      <c r="A276" s="92" t="s">
        <v>147</v>
      </c>
      <c r="B276" s="97">
        <f>IF(INDEX('Результаты матчей'!$N$2:$R$65,A275,4)=1,INDEX('Результаты матчей'!$N$2:$R$65,A275,2),"-")</f>
        <v>0</v>
      </c>
      <c r="C276" s="93">
        <f>AVERAGE('01 Акиловский Руслан:19 Щербич Никита'!O32)</f>
        <v>1.1052631578947369</v>
      </c>
      <c r="D276" s="94">
        <v>1</v>
      </c>
      <c r="E276" s="94">
        <v>2</v>
      </c>
    </row>
    <row r="277" spans="1:5" ht="20.25">
      <c r="A277" s="92" t="s">
        <v>143</v>
      </c>
      <c r="B277" s="97">
        <f>IF(INDEX('Результаты матчей'!$N$2:$R$65,A275,4)=1,INDEX('Результаты матчей'!$N$2:$R$65,A275,3),"-")</f>
        <v>2</v>
      </c>
      <c r="C277" s="93">
        <f>AVERAGE('01 Акиловский Руслан:19 Щербич Никита'!P32)</f>
        <v>1.263157894736842</v>
      </c>
      <c r="D277" s="94">
        <v>1</v>
      </c>
      <c r="E277" s="94">
        <v>0</v>
      </c>
    </row>
    <row r="278" spans="1:5">
      <c r="A278" s="35"/>
      <c r="B278" s="32" t="s">
        <v>14</v>
      </c>
      <c r="C278" s="32" t="str">
        <f>A276</f>
        <v>Чехия</v>
      </c>
      <c r="D278" s="32" t="s">
        <v>113</v>
      </c>
      <c r="E278" s="32" t="str">
        <f>A277</f>
        <v>Турция</v>
      </c>
    </row>
    <row r="279" spans="1:5">
      <c r="A279" s="98" t="s">
        <v>118</v>
      </c>
      <c r="B279" s="99">
        <v>19</v>
      </c>
      <c r="C279" s="99">
        <v>5</v>
      </c>
      <c r="D279" s="99">
        <v>6</v>
      </c>
      <c r="E279" s="99">
        <v>8</v>
      </c>
    </row>
    <row r="280" spans="1:5">
      <c r="A280" s="34"/>
      <c r="B280" s="33" t="s">
        <v>117</v>
      </c>
      <c r="C280" s="33" t="s">
        <v>114</v>
      </c>
      <c r="D280" s="33" t="s">
        <v>115</v>
      </c>
      <c r="E280" s="33" t="s">
        <v>116</v>
      </c>
    </row>
    <row r="281" spans="1:5">
      <c r="A281" s="98" t="s">
        <v>119</v>
      </c>
      <c r="B281" s="99">
        <f>INDEX('Результаты матчей'!$N$2:$R$65,A275,5)</f>
        <v>13</v>
      </c>
      <c r="C281" s="99">
        <v>1</v>
      </c>
      <c r="D281" s="99">
        <v>0</v>
      </c>
      <c r="E281" s="99">
        <v>7</v>
      </c>
    </row>
    <row r="283" spans="1:5">
      <c r="A283" s="95" t="s">
        <v>24</v>
      </c>
      <c r="B283" s="96"/>
      <c r="C283" s="96"/>
      <c r="D283" s="96"/>
      <c r="E283" s="96"/>
    </row>
    <row r="284" spans="1:5">
      <c r="A284" s="90">
        <v>32</v>
      </c>
      <c r="B284" s="91" t="s">
        <v>108</v>
      </c>
      <c r="C284" s="91" t="s">
        <v>109</v>
      </c>
      <c r="D284" s="91" t="s">
        <v>110</v>
      </c>
      <c r="E284" s="91" t="s">
        <v>111</v>
      </c>
    </row>
    <row r="285" spans="1:5" ht="20.25">
      <c r="A285" s="92" t="s">
        <v>66</v>
      </c>
      <c r="B285" s="97">
        <f>IF(INDEX('Результаты матчей'!$N$2:$R$65,A284,4)=1,INDEX('Результаты матчей'!$N$2:$R$65,A284,2),"-")</f>
        <v>2</v>
      </c>
      <c r="C285" s="93">
        <f>AVERAGE('01 Акиловский Руслан:19 Щербич Никита'!O33)</f>
        <v>0.94736842105263153</v>
      </c>
      <c r="D285" s="94">
        <v>2</v>
      </c>
      <c r="E285" s="94">
        <v>1</v>
      </c>
    </row>
    <row r="286" spans="1:5" ht="20.25">
      <c r="A286" s="92" t="s">
        <v>12</v>
      </c>
      <c r="B286" s="97">
        <f>IF(INDEX('Результаты матчей'!$N$2:$R$65,A284,4)=1,INDEX('Результаты матчей'!$N$2:$R$65,A284,3),"-")</f>
        <v>1</v>
      </c>
      <c r="C286" s="93">
        <f>AVERAGE('01 Акиловский Руслан:19 Щербич Никита'!P33)</f>
        <v>1.9473684210526316</v>
      </c>
      <c r="D286" s="94">
        <v>2</v>
      </c>
      <c r="E286" s="94">
        <v>0</v>
      </c>
    </row>
    <row r="287" spans="1:5">
      <c r="A287" s="35"/>
      <c r="B287" s="32" t="s">
        <v>14</v>
      </c>
      <c r="C287" s="32" t="str">
        <f>A285</f>
        <v>Хорватия</v>
      </c>
      <c r="D287" s="32" t="s">
        <v>113</v>
      </c>
      <c r="E287" s="32" t="str">
        <f>A286</f>
        <v>Испания</v>
      </c>
    </row>
    <row r="288" spans="1:5">
      <c r="A288" s="98" t="s">
        <v>118</v>
      </c>
      <c r="B288" s="99">
        <v>19</v>
      </c>
      <c r="C288" s="99">
        <v>1</v>
      </c>
      <c r="D288" s="99">
        <v>4</v>
      </c>
      <c r="E288" s="99">
        <v>14</v>
      </c>
    </row>
    <row r="289" spans="1:5">
      <c r="A289" s="34"/>
      <c r="B289" s="33" t="s">
        <v>117</v>
      </c>
      <c r="C289" s="33" t="s">
        <v>114</v>
      </c>
      <c r="D289" s="33" t="s">
        <v>115</v>
      </c>
      <c r="E289" s="33" t="s">
        <v>116</v>
      </c>
    </row>
    <row r="290" spans="1:5">
      <c r="A290" s="98" t="s">
        <v>119</v>
      </c>
      <c r="B290" s="99">
        <f>INDEX('Результаты матчей'!$N$2:$R$65,A284,5)</f>
        <v>4</v>
      </c>
      <c r="C290" s="99">
        <v>0</v>
      </c>
      <c r="D290" s="99">
        <v>1</v>
      </c>
      <c r="E290" s="99">
        <v>0</v>
      </c>
    </row>
    <row r="292" spans="1:5">
      <c r="A292" s="95" t="s">
        <v>25</v>
      </c>
      <c r="B292" s="96"/>
      <c r="C292" s="96"/>
      <c r="D292" s="96"/>
      <c r="E292" s="96"/>
    </row>
    <row r="293" spans="1:5">
      <c r="A293" s="90">
        <v>33</v>
      </c>
      <c r="B293" s="91" t="s">
        <v>108</v>
      </c>
      <c r="C293" s="91" t="s">
        <v>109</v>
      </c>
      <c r="D293" s="91" t="s">
        <v>110</v>
      </c>
      <c r="E293" s="91" t="s">
        <v>111</v>
      </c>
    </row>
    <row r="294" spans="1:5" ht="20.25">
      <c r="A294" s="92" t="s">
        <v>152</v>
      </c>
      <c r="B294" s="97">
        <f>IF(INDEX('Результаты матчей'!$N$2:$R$65,A293,4)=1,INDEX('Результаты матчей'!$N$2:$R$65,A293,2),"-")</f>
        <v>2</v>
      </c>
      <c r="C294" s="93">
        <f>AVERAGE('01 Акиловский Руслан:19 Щербич Никита'!O34)</f>
        <v>1.0526315789473684</v>
      </c>
      <c r="D294" s="94">
        <v>0</v>
      </c>
      <c r="E294" s="94" t="s">
        <v>13</v>
      </c>
    </row>
    <row r="295" spans="1:5" ht="20.25">
      <c r="A295" s="92" t="s">
        <v>150</v>
      </c>
      <c r="B295" s="97">
        <f>IF(INDEX('Результаты матчей'!$N$2:$R$65,A293,4)=1,INDEX('Результаты матчей'!$N$2:$R$65,A293,3),"-")</f>
        <v>1</v>
      </c>
      <c r="C295" s="93">
        <f>AVERAGE('01 Акиловский Руслан:19 Щербич Никита'!P34)</f>
        <v>1.1578947368421053</v>
      </c>
      <c r="D295" s="94">
        <v>0</v>
      </c>
      <c r="E295" s="94" t="s">
        <v>13</v>
      </c>
    </row>
    <row r="296" spans="1:5">
      <c r="A296" s="35"/>
      <c r="B296" s="32" t="s">
        <v>14</v>
      </c>
      <c r="C296" s="32" t="str">
        <f>A294</f>
        <v>Исландия</v>
      </c>
      <c r="D296" s="32" t="s">
        <v>113</v>
      </c>
      <c r="E296" s="32" t="str">
        <f>A295</f>
        <v>Австрия</v>
      </c>
    </row>
    <row r="297" spans="1:5">
      <c r="A297" s="98" t="s">
        <v>118</v>
      </c>
      <c r="B297" s="99">
        <v>19</v>
      </c>
      <c r="C297" s="99">
        <v>5</v>
      </c>
      <c r="D297" s="99">
        <v>6</v>
      </c>
      <c r="E297" s="99">
        <v>8</v>
      </c>
    </row>
    <row r="298" spans="1:5">
      <c r="A298" s="34"/>
      <c r="B298" s="33" t="s">
        <v>117</v>
      </c>
      <c r="C298" s="33" t="s">
        <v>114</v>
      </c>
      <c r="D298" s="33" t="s">
        <v>115</v>
      </c>
      <c r="E298" s="33" t="s">
        <v>116</v>
      </c>
    </row>
    <row r="299" spans="1:5">
      <c r="A299" s="98" t="s">
        <v>119</v>
      </c>
      <c r="B299" s="99">
        <f>INDEX('Результаты матчей'!$N$2:$R$65,A293,5)</f>
        <v>8</v>
      </c>
      <c r="C299" s="99">
        <v>0</v>
      </c>
      <c r="D299" s="99">
        <v>1</v>
      </c>
      <c r="E299" s="99">
        <v>4</v>
      </c>
    </row>
    <row r="301" spans="1:5">
      <c r="A301" s="95" t="s">
        <v>25</v>
      </c>
      <c r="B301" s="96"/>
      <c r="C301" s="96"/>
      <c r="D301" s="96"/>
      <c r="E301" s="96"/>
    </row>
    <row r="302" spans="1:5">
      <c r="A302" s="90">
        <v>34</v>
      </c>
      <c r="B302" s="91" t="s">
        <v>108</v>
      </c>
      <c r="C302" s="91" t="s">
        <v>109</v>
      </c>
      <c r="D302" s="91" t="s">
        <v>110</v>
      </c>
      <c r="E302" s="91" t="s">
        <v>111</v>
      </c>
    </row>
    <row r="303" spans="1:5" ht="20.25">
      <c r="A303" s="92" t="s">
        <v>151</v>
      </c>
      <c r="B303" s="97">
        <f>IF(INDEX('Результаты матчей'!$N$2:$R$65,A302,4)=1,INDEX('Результаты матчей'!$N$2:$R$65,A302,2),"-")</f>
        <v>3</v>
      </c>
      <c r="C303" s="93">
        <f>AVERAGE('01 Акиловский Руслан:19 Щербич Никита'!O35)</f>
        <v>0.63157894736842102</v>
      </c>
      <c r="D303" s="94">
        <v>1</v>
      </c>
      <c r="E303" s="94">
        <v>4</v>
      </c>
    </row>
    <row r="304" spans="1:5" ht="20.25">
      <c r="A304" s="92" t="s">
        <v>1</v>
      </c>
      <c r="B304" s="97">
        <f>IF(INDEX('Результаты матчей'!$N$2:$R$65,A302,4)=1,INDEX('Результаты матчей'!$N$2:$R$65,A302,3),"-")</f>
        <v>3</v>
      </c>
      <c r="C304" s="93">
        <f>AVERAGE('01 Акиловский Руслан:19 Щербич Никита'!P35)</f>
        <v>2.4736842105263159</v>
      </c>
      <c r="D304" s="94">
        <v>3</v>
      </c>
      <c r="E304" s="94">
        <v>2</v>
      </c>
    </row>
    <row r="305" spans="1:5">
      <c r="A305" s="35"/>
      <c r="B305" s="32" t="s">
        <v>14</v>
      </c>
      <c r="C305" s="32" t="str">
        <f>A303</f>
        <v>Венгрия</v>
      </c>
      <c r="D305" s="32" t="s">
        <v>113</v>
      </c>
      <c r="E305" s="32" t="str">
        <f>A304</f>
        <v>Португалия</v>
      </c>
    </row>
    <row r="306" spans="1:5">
      <c r="A306" s="98" t="s">
        <v>118</v>
      </c>
      <c r="B306" s="99">
        <v>19</v>
      </c>
      <c r="C306" s="99">
        <v>1</v>
      </c>
      <c r="D306" s="99">
        <v>1</v>
      </c>
      <c r="E306" s="99">
        <v>17</v>
      </c>
    </row>
    <row r="307" spans="1:5">
      <c r="A307" s="34"/>
      <c r="B307" s="33" t="s">
        <v>117</v>
      </c>
      <c r="C307" s="33" t="s">
        <v>114</v>
      </c>
      <c r="D307" s="33" t="s">
        <v>115</v>
      </c>
      <c r="E307" s="33" t="s">
        <v>116</v>
      </c>
    </row>
    <row r="308" spans="1:5">
      <c r="A308" s="98" t="s">
        <v>119</v>
      </c>
      <c r="B308" s="99">
        <f>INDEX('Результаты матчей'!$N$2:$R$65,A302,5)</f>
        <v>3</v>
      </c>
      <c r="C308" s="99">
        <v>0</v>
      </c>
      <c r="D308" s="99">
        <v>1</v>
      </c>
      <c r="E308" s="99">
        <v>0</v>
      </c>
    </row>
    <row r="310" spans="1:5">
      <c r="A310" s="95" t="s">
        <v>25</v>
      </c>
      <c r="B310" s="96"/>
      <c r="C310" s="96"/>
      <c r="D310" s="96"/>
      <c r="E310" s="96"/>
    </row>
    <row r="311" spans="1:5">
      <c r="A311" s="90">
        <v>35</v>
      </c>
      <c r="B311" s="91" t="s">
        <v>108</v>
      </c>
      <c r="C311" s="91" t="s">
        <v>109</v>
      </c>
      <c r="D311" s="91" t="s">
        <v>110</v>
      </c>
      <c r="E311" s="91" t="s">
        <v>111</v>
      </c>
    </row>
    <row r="312" spans="1:5" ht="20.25">
      <c r="A312" s="92" t="s">
        <v>11</v>
      </c>
      <c r="B312" s="97">
        <f>IF(INDEX('Результаты матчей'!$N$2:$R$65,A311,4)=1,INDEX('Результаты матчей'!$N$2:$R$65,A311,2),"-")</f>
        <v>0</v>
      </c>
      <c r="C312" s="93">
        <f>AVERAGE('01 Акиловский Руслан:19 Щербич Никита'!O36)</f>
        <v>1.6842105263157894</v>
      </c>
      <c r="D312" s="94">
        <v>1</v>
      </c>
      <c r="E312" s="94">
        <v>0</v>
      </c>
    </row>
    <row r="313" spans="1:5" ht="20.25">
      <c r="A313" s="92" t="s">
        <v>148</v>
      </c>
      <c r="B313" s="97">
        <f>IF(INDEX('Результаты матчей'!$N$2:$R$65,A311,4)=1,INDEX('Результаты матчей'!$N$2:$R$65,A311,3),"-")</f>
        <v>1</v>
      </c>
      <c r="C313" s="93">
        <f>AVERAGE('01 Акиловский Руслан:19 Щербич Никита'!P36)</f>
        <v>0.42105263157894735</v>
      </c>
      <c r="D313" s="94">
        <v>1</v>
      </c>
      <c r="E313" s="94">
        <v>0</v>
      </c>
    </row>
    <row r="314" spans="1:5">
      <c r="A314" s="35"/>
      <c r="B314" s="32" t="s">
        <v>14</v>
      </c>
      <c r="C314" s="32" t="str">
        <f>A312</f>
        <v>Италия</v>
      </c>
      <c r="D314" s="32" t="s">
        <v>113</v>
      </c>
      <c r="E314" s="32" t="str">
        <f>A313</f>
        <v>Ирландия</v>
      </c>
    </row>
    <row r="315" spans="1:5">
      <c r="A315" s="98" t="s">
        <v>118</v>
      </c>
      <c r="B315" s="99">
        <v>19</v>
      </c>
      <c r="C315" s="99">
        <v>15</v>
      </c>
      <c r="D315" s="99">
        <v>4</v>
      </c>
      <c r="E315" s="99">
        <v>0</v>
      </c>
    </row>
    <row r="316" spans="1:5">
      <c r="A316" s="34"/>
      <c r="B316" s="33" t="s">
        <v>117</v>
      </c>
      <c r="C316" s="33" t="s">
        <v>114</v>
      </c>
      <c r="D316" s="33" t="s">
        <v>115</v>
      </c>
      <c r="E316" s="33" t="s">
        <v>116</v>
      </c>
    </row>
    <row r="317" spans="1:5">
      <c r="A317" s="98" t="s">
        <v>119</v>
      </c>
      <c r="B317" s="99">
        <f>INDEX('Результаты матчей'!$N$2:$R$65,A311,5)</f>
        <v>0</v>
      </c>
      <c r="C317" s="99">
        <v>0</v>
      </c>
      <c r="D317" s="99">
        <v>0</v>
      </c>
      <c r="E317" s="99">
        <v>0</v>
      </c>
    </row>
    <row r="319" spans="1:5">
      <c r="A319" s="95" t="s">
        <v>25</v>
      </c>
      <c r="B319" s="96"/>
      <c r="C319" s="96"/>
      <c r="D319" s="96"/>
      <c r="E319" s="96"/>
    </row>
    <row r="320" spans="1:5">
      <c r="A320" s="90">
        <v>36</v>
      </c>
      <c r="B320" s="91" t="s">
        <v>108</v>
      </c>
      <c r="C320" s="91" t="s">
        <v>109</v>
      </c>
      <c r="D320" s="91" t="s">
        <v>110</v>
      </c>
      <c r="E320" s="91" t="s">
        <v>111</v>
      </c>
    </row>
    <row r="321" spans="1:5" ht="20.25">
      <c r="A321" s="92" t="s">
        <v>149</v>
      </c>
      <c r="B321" s="97">
        <f>IF(INDEX('Результаты матчей'!$N$2:$R$65,A320,4)=1,INDEX('Результаты матчей'!$N$2:$R$65,A320,2),"-")</f>
        <v>0</v>
      </c>
      <c r="C321" s="93">
        <f>AVERAGE('01 Акиловский Руслан:19 Щербич Никита'!O37)</f>
        <v>1.1052631578947369</v>
      </c>
      <c r="D321" s="94">
        <v>1</v>
      </c>
      <c r="E321" s="94">
        <v>2</v>
      </c>
    </row>
    <row r="322" spans="1:5" ht="20.25">
      <c r="A322" s="92" t="s">
        <v>67</v>
      </c>
      <c r="B322" s="97">
        <f>IF(INDEX('Результаты матчей'!$N$2:$R$65,A320,4)=1,INDEX('Результаты матчей'!$N$2:$R$65,A320,3),"-")</f>
        <v>1</v>
      </c>
      <c r="C322" s="93">
        <f>AVERAGE('01 Акиловский Руслан:19 Щербич Никита'!P37)</f>
        <v>1.736842105263158</v>
      </c>
      <c r="D322" s="94">
        <v>3</v>
      </c>
      <c r="E322" s="94">
        <v>4</v>
      </c>
    </row>
    <row r="323" spans="1:5">
      <c r="A323" s="35"/>
      <c r="B323" s="32" t="s">
        <v>14</v>
      </c>
      <c r="C323" s="32" t="str">
        <f>A321</f>
        <v>Швеция</v>
      </c>
      <c r="D323" s="32" t="s">
        <v>113</v>
      </c>
      <c r="E323" s="32" t="str">
        <f>A322</f>
        <v>Бельгия</v>
      </c>
    </row>
    <row r="324" spans="1:5">
      <c r="A324" s="98" t="s">
        <v>118</v>
      </c>
      <c r="B324" s="99">
        <v>19</v>
      </c>
      <c r="C324" s="99">
        <v>3</v>
      </c>
      <c r="D324" s="99">
        <v>4</v>
      </c>
      <c r="E324" s="99">
        <v>12</v>
      </c>
    </row>
    <row r="325" spans="1:5">
      <c r="A325" s="34"/>
      <c r="B325" s="33" t="s">
        <v>117</v>
      </c>
      <c r="C325" s="33" t="s">
        <v>114</v>
      </c>
      <c r="D325" s="33" t="s">
        <v>115</v>
      </c>
      <c r="E325" s="33" t="s">
        <v>116</v>
      </c>
    </row>
    <row r="326" spans="1:5">
      <c r="A326" s="98" t="s">
        <v>119</v>
      </c>
      <c r="B326" s="99">
        <f>INDEX('Результаты матчей'!$N$2:$R$65,A320,5)</f>
        <v>49</v>
      </c>
      <c r="C326" s="99">
        <v>5</v>
      </c>
      <c r="D326" s="99">
        <v>4</v>
      </c>
      <c r="E326" s="99">
        <v>3</v>
      </c>
    </row>
    <row r="328" spans="1:5">
      <c r="A328" s="95" t="s">
        <v>26</v>
      </c>
      <c r="B328" s="96"/>
      <c r="C328" s="96"/>
      <c r="D328" s="96"/>
      <c r="E328" s="96"/>
    </row>
    <row r="329" spans="1:5">
      <c r="A329" s="90">
        <v>37</v>
      </c>
      <c r="B329" s="91" t="s">
        <v>108</v>
      </c>
      <c r="C329" s="91" t="s">
        <v>109</v>
      </c>
      <c r="D329" s="91" t="s">
        <v>110</v>
      </c>
      <c r="E329" s="91" t="s">
        <v>111</v>
      </c>
    </row>
    <row r="330" spans="1:5" ht="20.25">
      <c r="A330" s="92" t="s">
        <v>0</v>
      </c>
      <c r="B330" s="97">
        <f>IF(INDEX('Результаты матчей'!$N$2:$R$65,A329,4)=1,INDEX('Результаты матчей'!$N$2:$R$65,A329,2),"-")</f>
        <v>1</v>
      </c>
      <c r="C330" s="93">
        <f>AVERAGE('01 Акиловский Руслан:19 Щербич Никита'!O38)</f>
        <v>0.73684210526315785</v>
      </c>
      <c r="D330" s="94">
        <v>1</v>
      </c>
      <c r="E330" s="94" t="s">
        <v>13</v>
      </c>
    </row>
    <row r="331" spans="1:5" ht="20.25">
      <c r="A331" s="92" t="s">
        <v>144</v>
      </c>
      <c r="B331" s="97">
        <f>IF(INDEX('Результаты матчей'!$N$2:$R$65,A329,4)=1,INDEX('Результаты матчей'!$N$2:$R$65,A329,3),"-")</f>
        <v>1</v>
      </c>
      <c r="C331" s="93">
        <f>AVERAGE('01 Акиловский Руслан:19 Щербич Никита'!P38)</f>
        <v>1.0526315789473684</v>
      </c>
      <c r="D331" s="94">
        <v>1</v>
      </c>
      <c r="E331" s="94" t="s">
        <v>13</v>
      </c>
    </row>
    <row r="332" spans="1:5">
      <c r="A332" s="35"/>
      <c r="B332" s="32" t="s">
        <v>14</v>
      </c>
      <c r="C332" s="32" t="str">
        <f>A330</f>
        <v>Швейцария</v>
      </c>
      <c r="D332" s="32" t="s">
        <v>113</v>
      </c>
      <c r="E332" s="32" t="str">
        <f>A331</f>
        <v>Польша</v>
      </c>
    </row>
    <row r="333" spans="1:5">
      <c r="A333" s="98" t="s">
        <v>118</v>
      </c>
      <c r="B333" s="99">
        <v>17</v>
      </c>
      <c r="C333" s="99">
        <v>4</v>
      </c>
      <c r="D333" s="99">
        <v>5</v>
      </c>
      <c r="E333" s="99">
        <v>8</v>
      </c>
    </row>
    <row r="334" spans="1:5">
      <c r="A334" s="34"/>
      <c r="B334" s="33" t="s">
        <v>117</v>
      </c>
      <c r="C334" s="33" t="s">
        <v>114</v>
      </c>
      <c r="D334" s="33" t="s">
        <v>115</v>
      </c>
      <c r="E334" s="33" t="s">
        <v>116</v>
      </c>
    </row>
    <row r="335" spans="1:5">
      <c r="A335" s="98" t="s">
        <v>119</v>
      </c>
      <c r="B335" s="99">
        <f>INDEX('Результаты матчей'!$N$2:$R$65,A329,5)</f>
        <v>30</v>
      </c>
      <c r="C335" s="99">
        <v>5</v>
      </c>
      <c r="D335" s="99">
        <v>0</v>
      </c>
      <c r="E335" s="99">
        <v>0</v>
      </c>
    </row>
    <row r="337" spans="1:5">
      <c r="A337" s="95" t="s">
        <v>26</v>
      </c>
      <c r="B337" s="96"/>
      <c r="C337" s="96"/>
      <c r="D337" s="96"/>
      <c r="E337" s="96"/>
    </row>
    <row r="338" spans="1:5">
      <c r="A338" s="90">
        <v>38</v>
      </c>
      <c r="B338" s="91" t="s">
        <v>108</v>
      </c>
      <c r="C338" s="91" t="s">
        <v>109</v>
      </c>
      <c r="D338" s="91" t="s">
        <v>110</v>
      </c>
      <c r="E338" s="91" t="s">
        <v>111</v>
      </c>
    </row>
    <row r="339" spans="1:5" ht="20.25">
      <c r="A339" s="92" t="s">
        <v>141</v>
      </c>
      <c r="B339" s="97">
        <f>IF(INDEX('Результаты матчей'!$N$2:$R$65,A338,4)=1,INDEX('Результаты матчей'!$N$2:$R$65,A338,2),"-")</f>
        <v>1</v>
      </c>
      <c r="C339" s="93">
        <f>AVERAGE('01 Акиловский Руслан:19 Щербич Никита'!O39)</f>
        <v>1.631578947368421</v>
      </c>
      <c r="D339" s="94">
        <v>2</v>
      </c>
      <c r="E339" s="94">
        <v>0</v>
      </c>
    </row>
    <row r="340" spans="1:5" ht="20.25">
      <c r="A340" s="92" t="s">
        <v>206</v>
      </c>
      <c r="B340" s="97">
        <f>IF(INDEX('Результаты матчей'!$N$2:$R$65,A338,4)=1,INDEX('Результаты матчей'!$N$2:$R$65,A338,3),"-")</f>
        <v>0</v>
      </c>
      <c r="C340" s="93">
        <f>AVERAGE('01 Акиловский Руслан:19 Щербич Никита'!P39)</f>
        <v>0.63157894736842102</v>
      </c>
      <c r="D340" s="94">
        <v>1</v>
      </c>
      <c r="E340" s="94">
        <v>2</v>
      </c>
    </row>
    <row r="341" spans="1:5">
      <c r="A341" s="35"/>
      <c r="B341" s="32" t="s">
        <v>14</v>
      </c>
      <c r="C341" s="32" t="str">
        <f>A339</f>
        <v>Уэльс</v>
      </c>
      <c r="D341" s="32" t="s">
        <v>113</v>
      </c>
      <c r="E341" s="32" t="s">
        <v>145</v>
      </c>
    </row>
    <row r="342" spans="1:5">
      <c r="A342" s="98" t="s">
        <v>118</v>
      </c>
      <c r="B342" s="99">
        <v>18</v>
      </c>
      <c r="C342" s="99">
        <v>15</v>
      </c>
      <c r="D342" s="99">
        <v>2</v>
      </c>
      <c r="E342" s="99">
        <v>1</v>
      </c>
    </row>
    <row r="343" spans="1:5">
      <c r="A343" s="34"/>
      <c r="B343" s="33" t="s">
        <v>117</v>
      </c>
      <c r="C343" s="33" t="s">
        <v>114</v>
      </c>
      <c r="D343" s="33" t="s">
        <v>115</v>
      </c>
      <c r="E343" s="33" t="s">
        <v>116</v>
      </c>
    </row>
    <row r="344" spans="1:5">
      <c r="A344" s="98" t="s">
        <v>119</v>
      </c>
      <c r="B344" s="99">
        <f>INDEX('Результаты матчей'!$N$2:$R$65,A338,5)</f>
        <v>50</v>
      </c>
      <c r="C344" s="99">
        <v>4</v>
      </c>
      <c r="D344" s="99">
        <v>5</v>
      </c>
      <c r="E344" s="99">
        <v>6</v>
      </c>
    </row>
    <row r="346" spans="1:5">
      <c r="A346" s="95" t="s">
        <v>26</v>
      </c>
      <c r="B346" s="96"/>
      <c r="C346" s="96"/>
      <c r="D346" s="96"/>
      <c r="E346" s="96"/>
    </row>
    <row r="347" spans="1:5">
      <c r="A347" s="90">
        <v>39</v>
      </c>
      <c r="B347" s="91" t="s">
        <v>108</v>
      </c>
      <c r="C347" s="91" t="s">
        <v>109</v>
      </c>
      <c r="D347" s="91" t="s">
        <v>110</v>
      </c>
      <c r="E347" s="91" t="s">
        <v>111</v>
      </c>
    </row>
    <row r="348" spans="1:5" ht="20.25">
      <c r="A348" s="92" t="s">
        <v>66</v>
      </c>
      <c r="B348" s="97">
        <f>IF(INDEX('Результаты матчей'!$N$2:$R$65,A347,4)=1,INDEX('Результаты матчей'!$N$2:$R$65,A347,2),"-")</f>
        <v>0</v>
      </c>
      <c r="C348" s="93">
        <f>AVERAGE('01 Акиловский Руслан:19 Щербич Никита'!O40)</f>
        <v>1.5263157894736843</v>
      </c>
      <c r="D348" s="94">
        <v>2</v>
      </c>
      <c r="E348" s="94" t="s">
        <v>13</v>
      </c>
    </row>
    <row r="349" spans="1:5" ht="20.25">
      <c r="A349" s="92" t="s">
        <v>1</v>
      </c>
      <c r="B349" s="97">
        <f>IF(INDEX('Результаты матчей'!$N$2:$R$65,A347,4)=1,INDEX('Результаты матчей'!$N$2:$R$65,A347,3),"-")</f>
        <v>1</v>
      </c>
      <c r="C349" s="93">
        <f>AVERAGE('01 Акиловский Руслан:19 Щербич Никита'!P40)</f>
        <v>1.2105263157894737</v>
      </c>
      <c r="D349" s="94">
        <v>0</v>
      </c>
      <c r="E349" s="94" t="s">
        <v>13</v>
      </c>
    </row>
    <row r="350" spans="1:5">
      <c r="A350" s="35"/>
      <c r="B350" s="32" t="s">
        <v>14</v>
      </c>
      <c r="C350" s="32" t="str">
        <f>A348</f>
        <v>Хорватия</v>
      </c>
      <c r="D350" s="32" t="s">
        <v>113</v>
      </c>
      <c r="E350" s="32" t="str">
        <f>A349</f>
        <v>Португалия</v>
      </c>
    </row>
    <row r="351" spans="1:5">
      <c r="A351" s="98" t="s">
        <v>118</v>
      </c>
      <c r="B351" s="99">
        <v>18</v>
      </c>
      <c r="C351" s="99">
        <v>10</v>
      </c>
      <c r="D351" s="99">
        <v>2</v>
      </c>
      <c r="E351" s="99">
        <v>6</v>
      </c>
    </row>
    <row r="352" spans="1:5">
      <c r="A352" s="34"/>
      <c r="B352" s="33" t="s">
        <v>117</v>
      </c>
      <c r="C352" s="33" t="s">
        <v>114</v>
      </c>
      <c r="D352" s="33" t="s">
        <v>115</v>
      </c>
      <c r="E352" s="33" t="s">
        <v>116</v>
      </c>
    </row>
    <row r="353" spans="1:5">
      <c r="A353" s="98" t="s">
        <v>119</v>
      </c>
      <c r="B353" s="99">
        <f>INDEX('Результаты матчей'!$N$2:$R$65,A347,5)</f>
        <v>24</v>
      </c>
      <c r="C353" s="99">
        <v>3</v>
      </c>
      <c r="D353" s="99">
        <v>1</v>
      </c>
      <c r="E353" s="99">
        <v>2</v>
      </c>
    </row>
    <row r="355" spans="1:5">
      <c r="A355" s="95" t="s">
        <v>30</v>
      </c>
      <c r="B355" s="96"/>
      <c r="C355" s="96"/>
      <c r="D355" s="96"/>
      <c r="E355" s="96"/>
    </row>
    <row r="356" spans="1:5">
      <c r="A356" s="90">
        <v>40</v>
      </c>
      <c r="B356" s="91" t="s">
        <v>108</v>
      </c>
      <c r="C356" s="91" t="s">
        <v>109</v>
      </c>
      <c r="D356" s="91" t="s">
        <v>110</v>
      </c>
      <c r="E356" s="91" t="s">
        <v>111</v>
      </c>
    </row>
    <row r="357" spans="1:5" ht="20.25">
      <c r="A357" s="92" t="s">
        <v>10</v>
      </c>
      <c r="B357" s="97">
        <f>IF(INDEX('Результаты матчей'!$N$2:$R$65,A356,4)=1,INDEX('Результаты матчей'!$N$2:$R$65,A356,2),"-")</f>
        <v>2</v>
      </c>
      <c r="C357" s="93">
        <f>AVERAGE('01 Акиловский Руслан:19 Щербич Никита'!O41)</f>
        <v>1.8421052631578947</v>
      </c>
      <c r="D357" s="94">
        <v>0</v>
      </c>
      <c r="E357" s="94">
        <v>1</v>
      </c>
    </row>
    <row r="358" spans="1:5" ht="20.25">
      <c r="A358" s="92" t="s">
        <v>148</v>
      </c>
      <c r="B358" s="97">
        <f>IF(INDEX('Результаты матчей'!$N$2:$R$65,A356,4)=1,INDEX('Результаты матчей'!$N$2:$R$65,A356,3),"-")</f>
        <v>1</v>
      </c>
      <c r="C358" s="93">
        <f>AVERAGE('01 Акиловский Руслан:19 Щербич Никита'!P41)</f>
        <v>0.31578947368421051</v>
      </c>
      <c r="D358" s="94">
        <v>0</v>
      </c>
      <c r="E358" s="94">
        <v>2</v>
      </c>
    </row>
    <row r="359" spans="1:5">
      <c r="A359" s="35"/>
      <c r="B359" s="32" t="s">
        <v>14</v>
      </c>
      <c r="C359" s="32" t="str">
        <f>A357</f>
        <v>Франция</v>
      </c>
      <c r="D359" s="32" t="s">
        <v>113</v>
      </c>
      <c r="E359" s="32" t="str">
        <f>A358</f>
        <v>Ирландия</v>
      </c>
    </row>
    <row r="360" spans="1:5">
      <c r="A360" s="98" t="s">
        <v>118</v>
      </c>
      <c r="B360" s="99">
        <v>18</v>
      </c>
      <c r="C360" s="99">
        <v>15</v>
      </c>
      <c r="D360" s="99">
        <v>2</v>
      </c>
      <c r="E360" s="99">
        <v>1</v>
      </c>
    </row>
    <row r="361" spans="1:5">
      <c r="A361" s="34"/>
      <c r="B361" s="33" t="s">
        <v>117</v>
      </c>
      <c r="C361" s="33" t="s">
        <v>114</v>
      </c>
      <c r="D361" s="33" t="s">
        <v>115</v>
      </c>
      <c r="E361" s="33" t="s">
        <v>116</v>
      </c>
    </row>
    <row r="362" spans="1:5">
      <c r="A362" s="98" t="s">
        <v>119</v>
      </c>
      <c r="B362" s="99">
        <f>INDEX('Результаты матчей'!$N$2:$R$65,A356,5)</f>
        <v>23</v>
      </c>
      <c r="C362" s="99">
        <v>1</v>
      </c>
      <c r="D362" s="99">
        <v>1</v>
      </c>
      <c r="E362" s="99">
        <v>13</v>
      </c>
    </row>
    <row r="364" spans="1:5">
      <c r="A364" s="95" t="s">
        <v>30</v>
      </c>
      <c r="B364" s="96"/>
      <c r="C364" s="96"/>
      <c r="D364" s="96"/>
      <c r="E364" s="96"/>
    </row>
    <row r="365" spans="1:5">
      <c r="A365" s="90">
        <v>41</v>
      </c>
      <c r="B365" s="91" t="s">
        <v>108</v>
      </c>
      <c r="C365" s="91" t="s">
        <v>109</v>
      </c>
      <c r="D365" s="91" t="s">
        <v>110</v>
      </c>
      <c r="E365" s="91" t="s">
        <v>111</v>
      </c>
    </row>
    <row r="366" spans="1:5" ht="20.25">
      <c r="A366" s="92" t="s">
        <v>2</v>
      </c>
      <c r="B366" s="97">
        <f>IF(INDEX('Результаты матчей'!$N$2:$R$65,A365,4)=1,INDEX('Результаты матчей'!$N$2:$R$65,A365,2),"-")</f>
        <v>3</v>
      </c>
      <c r="C366" s="93">
        <f>AVERAGE('01 Акиловский Руслан:19 Щербич Никита'!O42)</f>
        <v>2.6842105263157894</v>
      </c>
      <c r="D366" s="94">
        <v>3</v>
      </c>
      <c r="E366" s="94">
        <v>2</v>
      </c>
    </row>
    <row r="367" spans="1:5" ht="20.25">
      <c r="A367" s="92" t="s">
        <v>142</v>
      </c>
      <c r="B367" s="97">
        <f>IF(INDEX('Результаты матчей'!$N$2:$R$65,A365,4)=1,INDEX('Результаты матчей'!$N$2:$R$65,A365,3),"-")</f>
        <v>0</v>
      </c>
      <c r="C367" s="93">
        <f>AVERAGE('01 Акиловский Руслан:19 Щербич Никита'!P42)</f>
        <v>1.3157894736842106</v>
      </c>
      <c r="D367" s="94">
        <v>1</v>
      </c>
      <c r="E367" s="94">
        <v>3</v>
      </c>
    </row>
    <row r="368" spans="1:5">
      <c r="A368" s="35"/>
      <c r="B368" s="32" t="s">
        <v>14</v>
      </c>
      <c r="C368" s="32" t="str">
        <f>A366</f>
        <v>Германия</v>
      </c>
      <c r="D368" s="32" t="s">
        <v>113</v>
      </c>
      <c r="E368" s="32" t="str">
        <f>A367</f>
        <v>Словакия</v>
      </c>
    </row>
    <row r="369" spans="1:5">
      <c r="A369" s="98" t="s">
        <v>118</v>
      </c>
      <c r="B369" s="99">
        <v>18</v>
      </c>
      <c r="C369" s="99">
        <v>16</v>
      </c>
      <c r="D369" s="99">
        <v>0</v>
      </c>
      <c r="E369" s="99">
        <v>2</v>
      </c>
    </row>
    <row r="370" spans="1:5">
      <c r="A370" s="34"/>
      <c r="B370" s="33" t="s">
        <v>117</v>
      </c>
      <c r="C370" s="33" t="s">
        <v>114</v>
      </c>
      <c r="D370" s="33" t="s">
        <v>115</v>
      </c>
      <c r="E370" s="33" t="s">
        <v>116</v>
      </c>
    </row>
    <row r="371" spans="1:5">
      <c r="A371" s="98" t="s">
        <v>119</v>
      </c>
      <c r="B371" s="99">
        <f>INDEX('Результаты матчей'!$N$2:$R$65,A365,5)</f>
        <v>16</v>
      </c>
      <c r="C371" s="99">
        <v>0</v>
      </c>
      <c r="D371" s="99">
        <v>0</v>
      </c>
      <c r="E371" s="99">
        <v>16</v>
      </c>
    </row>
    <row r="373" spans="1:5">
      <c r="A373" s="95" t="s">
        <v>30</v>
      </c>
      <c r="B373" s="96"/>
      <c r="C373" s="96"/>
      <c r="D373" s="96"/>
      <c r="E373" s="96"/>
    </row>
    <row r="374" spans="1:5">
      <c r="A374" s="90">
        <v>42</v>
      </c>
      <c r="B374" s="91" t="s">
        <v>108</v>
      </c>
      <c r="C374" s="91" t="s">
        <v>109</v>
      </c>
      <c r="D374" s="91" t="s">
        <v>110</v>
      </c>
      <c r="E374" s="91" t="s">
        <v>111</v>
      </c>
    </row>
    <row r="375" spans="1:5" ht="20.25">
      <c r="A375" s="92" t="s">
        <v>151</v>
      </c>
      <c r="B375" s="97">
        <f>IF(INDEX('Результаты матчей'!$N$2:$R$65,A374,4)=1,INDEX('Результаты матчей'!$N$2:$R$65,A374,2),"-")</f>
        <v>0</v>
      </c>
      <c r="C375" s="93">
        <f>AVERAGE('01 Акиловский Руслан:19 Щербич Никита'!O43)</f>
        <v>1</v>
      </c>
      <c r="D375" s="94">
        <v>1</v>
      </c>
      <c r="E375" s="94">
        <v>2</v>
      </c>
    </row>
    <row r="376" spans="1:5" ht="20.25">
      <c r="A376" s="92" t="s">
        <v>67</v>
      </c>
      <c r="B376" s="97">
        <f>IF(INDEX('Результаты матчей'!$N$2:$R$65,A374,4)=1,INDEX('Результаты матчей'!$N$2:$R$65,A374,3),"-")</f>
        <v>4</v>
      </c>
      <c r="C376" s="93">
        <f>AVERAGE('01 Акиловский Руслан:19 Щербич Никита'!P43)</f>
        <v>2</v>
      </c>
      <c r="D376" s="94">
        <v>2</v>
      </c>
      <c r="E376" s="94">
        <v>2</v>
      </c>
    </row>
    <row r="377" spans="1:5">
      <c r="A377" s="35"/>
      <c r="B377" s="32" t="s">
        <v>14</v>
      </c>
      <c r="C377" s="32" t="str">
        <f>A375</f>
        <v>Венгрия</v>
      </c>
      <c r="D377" s="32" t="s">
        <v>113</v>
      </c>
      <c r="E377" s="32" t="str">
        <f>A376</f>
        <v>Бельгия</v>
      </c>
    </row>
    <row r="378" spans="1:5">
      <c r="A378" s="98" t="s">
        <v>118</v>
      </c>
      <c r="B378" s="99">
        <v>18</v>
      </c>
      <c r="C378" s="99">
        <v>5</v>
      </c>
      <c r="D378" s="99">
        <v>1</v>
      </c>
      <c r="E378" s="99">
        <v>12</v>
      </c>
    </row>
    <row r="379" spans="1:5">
      <c r="A379" s="34"/>
      <c r="B379" s="33" t="s">
        <v>117</v>
      </c>
      <c r="C379" s="33" t="s">
        <v>114</v>
      </c>
      <c r="D379" s="33" t="s">
        <v>115</v>
      </c>
      <c r="E379" s="33" t="s">
        <v>116</v>
      </c>
    </row>
    <row r="380" spans="1:5">
      <c r="A380" s="98" t="s">
        <v>119</v>
      </c>
      <c r="B380" s="99">
        <f>INDEX('Результаты матчей'!$N$2:$R$65,A374,5)</f>
        <v>12</v>
      </c>
      <c r="C380" s="99">
        <v>0</v>
      </c>
      <c r="D380" s="99">
        <v>0</v>
      </c>
      <c r="E380" s="99">
        <v>12</v>
      </c>
    </row>
    <row r="382" spans="1:5">
      <c r="A382" s="95" t="s">
        <v>153</v>
      </c>
      <c r="B382" s="96"/>
      <c r="C382" s="96"/>
      <c r="D382" s="96"/>
      <c r="E382" s="96"/>
    </row>
    <row r="383" spans="1:5">
      <c r="A383" s="90">
        <v>43</v>
      </c>
      <c r="B383" s="91" t="s">
        <v>108</v>
      </c>
      <c r="C383" s="91" t="s">
        <v>109</v>
      </c>
      <c r="D383" s="91" t="s">
        <v>110</v>
      </c>
      <c r="E383" s="91" t="s">
        <v>111</v>
      </c>
    </row>
    <row r="384" spans="1:5" ht="20.25">
      <c r="A384" s="92" t="s">
        <v>11</v>
      </c>
      <c r="B384" s="97">
        <f>IF(INDEX('Результаты матчей'!$N$2:$R$65,A383,4)=1,INDEX('Результаты матчей'!$N$2:$R$65,A383,2),"-")</f>
        <v>2</v>
      </c>
      <c r="C384" s="93">
        <f>AVERAGE('01 Акиловский Руслан:19 Щербич Никита'!O44)</f>
        <v>1.0526315789473684</v>
      </c>
      <c r="D384" s="94">
        <v>1</v>
      </c>
      <c r="E384" s="94">
        <v>0</v>
      </c>
    </row>
    <row r="385" spans="1:5" ht="20.25">
      <c r="A385" s="92" t="s">
        <v>12</v>
      </c>
      <c r="B385" s="97">
        <f>IF(INDEX('Результаты матчей'!$N$2:$R$65,A383,4)=1,INDEX('Результаты матчей'!$N$2:$R$65,A383,3),"-")</f>
        <v>0</v>
      </c>
      <c r="C385" s="93">
        <f>AVERAGE('01 Акиловский Руслан:19 Щербич Никита'!P44)</f>
        <v>1.3157894736842106</v>
      </c>
      <c r="D385" s="94">
        <v>1</v>
      </c>
      <c r="E385" s="94">
        <v>2</v>
      </c>
    </row>
    <row r="386" spans="1:5">
      <c r="A386" s="35"/>
      <c r="B386" s="32" t="s">
        <v>14</v>
      </c>
      <c r="C386" s="32" t="str">
        <f>A384</f>
        <v>Италия</v>
      </c>
      <c r="D386" s="32" t="s">
        <v>113</v>
      </c>
      <c r="E386" s="32" t="str">
        <f>A385</f>
        <v>Испания</v>
      </c>
    </row>
    <row r="387" spans="1:5">
      <c r="A387" s="98" t="s">
        <v>118</v>
      </c>
      <c r="B387" s="99">
        <v>18</v>
      </c>
      <c r="C387" s="99">
        <v>5</v>
      </c>
      <c r="D387" s="99">
        <v>6</v>
      </c>
      <c r="E387" s="99">
        <v>7</v>
      </c>
    </row>
    <row r="388" spans="1:5">
      <c r="A388" s="34"/>
      <c r="B388" s="33" t="s">
        <v>117</v>
      </c>
      <c r="C388" s="33" t="s">
        <v>114</v>
      </c>
      <c r="D388" s="33" t="s">
        <v>115</v>
      </c>
      <c r="E388" s="33" t="s">
        <v>116</v>
      </c>
    </row>
    <row r="389" spans="1:5">
      <c r="A389" s="98" t="s">
        <v>119</v>
      </c>
      <c r="B389" s="99">
        <f>INDEX('Результаты матчей'!$N$2:$R$65,A383,5)</f>
        <v>5</v>
      </c>
      <c r="C389" s="99">
        <v>0</v>
      </c>
      <c r="D389" s="99">
        <v>0</v>
      </c>
      <c r="E389" s="99">
        <v>5</v>
      </c>
    </row>
    <row r="391" spans="1:5">
      <c r="A391" s="95" t="s">
        <v>153</v>
      </c>
      <c r="B391" s="96"/>
      <c r="C391" s="96"/>
      <c r="D391" s="96"/>
      <c r="E391" s="96"/>
    </row>
    <row r="392" spans="1:5">
      <c r="A392" s="90">
        <v>44</v>
      </c>
      <c r="B392" s="91" t="s">
        <v>108</v>
      </c>
      <c r="C392" s="91" t="s">
        <v>109</v>
      </c>
      <c r="D392" s="91" t="s">
        <v>110</v>
      </c>
      <c r="E392" s="91" t="s">
        <v>111</v>
      </c>
    </row>
    <row r="393" spans="1:5" ht="20.25">
      <c r="A393" s="92" t="s">
        <v>21</v>
      </c>
      <c r="B393" s="97">
        <f>IF(INDEX('Результаты матчей'!$N$2:$R$65,A392,4)=1,INDEX('Результаты матчей'!$N$2:$R$65,A392,2),"-")</f>
        <v>1</v>
      </c>
      <c r="C393" s="93">
        <f>AVERAGE('01 Акиловский Руслан:19 Щербич Никита'!O45)</f>
        <v>1.5789473684210527</v>
      </c>
      <c r="D393" s="94">
        <v>0</v>
      </c>
      <c r="E393" s="94">
        <v>0</v>
      </c>
    </row>
    <row r="394" spans="1:5" ht="20.25">
      <c r="A394" s="92" t="s">
        <v>152</v>
      </c>
      <c r="B394" s="97">
        <f>IF(INDEX('Результаты матчей'!$N$2:$R$65,A392,4)=1,INDEX('Результаты матчей'!$N$2:$R$65,A392,3),"-")</f>
        <v>2</v>
      </c>
      <c r="C394" s="93">
        <f>AVERAGE('01 Акиловский Руслан:19 Щербич Никита'!P45)</f>
        <v>0.47368421052631576</v>
      </c>
      <c r="D394" s="94">
        <v>0</v>
      </c>
      <c r="E394" s="94">
        <v>0</v>
      </c>
    </row>
    <row r="395" spans="1:5">
      <c r="A395" s="35"/>
      <c r="B395" s="32" t="s">
        <v>14</v>
      </c>
      <c r="C395" s="32" t="str">
        <f>A393</f>
        <v>Англия</v>
      </c>
      <c r="D395" s="32" t="s">
        <v>113</v>
      </c>
      <c r="E395" s="32" t="str">
        <f>A394</f>
        <v>Исландия</v>
      </c>
    </row>
    <row r="396" spans="1:5">
      <c r="A396" s="98" t="s">
        <v>118</v>
      </c>
      <c r="B396" s="99">
        <v>18</v>
      </c>
      <c r="C396" s="99">
        <v>14</v>
      </c>
      <c r="D396" s="99">
        <v>1</v>
      </c>
      <c r="E396" s="99">
        <v>3</v>
      </c>
    </row>
    <row r="397" spans="1:5">
      <c r="A397" s="34"/>
      <c r="B397" s="33" t="s">
        <v>117</v>
      </c>
      <c r="C397" s="33" t="s">
        <v>114</v>
      </c>
      <c r="D397" s="33" t="s">
        <v>115</v>
      </c>
      <c r="E397" s="33" t="s">
        <v>116</v>
      </c>
    </row>
    <row r="398" spans="1:5">
      <c r="A398" s="98" t="s">
        <v>119</v>
      </c>
      <c r="B398" s="99">
        <f>INDEX('Результаты матчей'!$N$2:$R$65,A392,5)</f>
        <v>16</v>
      </c>
      <c r="C398" s="99">
        <v>2</v>
      </c>
      <c r="D398" s="99">
        <v>1</v>
      </c>
      <c r="E398" s="99">
        <v>0</v>
      </c>
    </row>
    <row r="400" spans="1:5">
      <c r="A400" s="95" t="s">
        <v>69</v>
      </c>
      <c r="B400" s="96"/>
      <c r="C400" s="96"/>
      <c r="D400" s="96"/>
      <c r="E400" s="96"/>
    </row>
    <row r="401" spans="1:5">
      <c r="A401" s="90">
        <v>45</v>
      </c>
      <c r="B401" s="91" t="s">
        <v>108</v>
      </c>
      <c r="C401" s="91" t="s">
        <v>109</v>
      </c>
      <c r="D401" s="91" t="s">
        <v>110</v>
      </c>
      <c r="E401" s="91" t="s">
        <v>111</v>
      </c>
    </row>
    <row r="402" spans="1:5" ht="20.25">
      <c r="A402" s="92" t="s">
        <v>144</v>
      </c>
      <c r="B402" s="97">
        <f>IF(INDEX('Результаты матчей'!$N$2:$R$65,A401,4)=1,INDEX('Результаты матчей'!$N$2:$R$65,A401,2),"-")</f>
        <v>1</v>
      </c>
      <c r="C402" s="93">
        <f>AVERAGE('01 Акиловский Руслан:19 Щербич Никита'!O46)</f>
        <v>1</v>
      </c>
      <c r="D402" s="94">
        <v>1</v>
      </c>
      <c r="E402" s="94" t="s">
        <v>13</v>
      </c>
    </row>
    <row r="403" spans="1:5" ht="20.25">
      <c r="A403" s="92" t="s">
        <v>1</v>
      </c>
      <c r="B403" s="97">
        <f>IF(INDEX('Результаты матчей'!$N$2:$R$65,A401,4)=1,INDEX('Результаты матчей'!$N$2:$R$65,A401,3),"-")</f>
        <v>1</v>
      </c>
      <c r="C403" s="93">
        <f>AVERAGE('01 Акиловский Руслан:19 Щербич Никита'!P46)</f>
        <v>1.4736842105263157</v>
      </c>
      <c r="D403" s="94">
        <v>1</v>
      </c>
      <c r="E403" s="94" t="s">
        <v>13</v>
      </c>
    </row>
    <row r="404" spans="1:5">
      <c r="A404" s="35"/>
      <c r="B404" s="32" t="s">
        <v>14</v>
      </c>
      <c r="C404" s="32" t="str">
        <f>A402</f>
        <v>Польша</v>
      </c>
      <c r="D404" s="32" t="s">
        <v>113</v>
      </c>
      <c r="E404" s="32" t="str">
        <f>A403</f>
        <v>Португалия</v>
      </c>
    </row>
    <row r="405" spans="1:5">
      <c r="A405" s="98" t="s">
        <v>118</v>
      </c>
      <c r="B405" s="99">
        <v>18</v>
      </c>
      <c r="C405" s="99">
        <v>3</v>
      </c>
      <c r="D405" s="99">
        <v>4</v>
      </c>
      <c r="E405" s="99">
        <v>11</v>
      </c>
    </row>
    <row r="406" spans="1:5">
      <c r="A406" s="34"/>
      <c r="B406" s="33" t="s">
        <v>117</v>
      </c>
      <c r="C406" s="33" t="s">
        <v>114</v>
      </c>
      <c r="D406" s="33" t="s">
        <v>115</v>
      </c>
      <c r="E406" s="33" t="s">
        <v>116</v>
      </c>
    </row>
    <row r="407" spans="1:5">
      <c r="A407" s="98" t="s">
        <v>119</v>
      </c>
      <c r="B407" s="99">
        <f>INDEX('Результаты матчей'!$N$2:$R$65,A401,5)</f>
        <v>24</v>
      </c>
      <c r="C407" s="99">
        <v>4</v>
      </c>
      <c r="D407" s="99">
        <v>0</v>
      </c>
      <c r="E407" s="99">
        <v>0</v>
      </c>
    </row>
    <row r="409" spans="1:5">
      <c r="A409" s="95" t="s">
        <v>70</v>
      </c>
      <c r="B409" s="96"/>
      <c r="C409" s="96"/>
      <c r="D409" s="96"/>
      <c r="E409" s="96"/>
    </row>
    <row r="410" spans="1:5">
      <c r="A410" s="90">
        <v>46</v>
      </c>
      <c r="B410" s="91" t="s">
        <v>108</v>
      </c>
      <c r="C410" s="91" t="s">
        <v>109</v>
      </c>
      <c r="D410" s="91" t="s">
        <v>110</v>
      </c>
      <c r="E410" s="91" t="s">
        <v>111</v>
      </c>
    </row>
    <row r="411" spans="1:5" ht="20.25">
      <c r="A411" s="92" t="s">
        <v>141</v>
      </c>
      <c r="B411" s="97">
        <f>IF(INDEX('Результаты матчей'!$N$2:$R$65,A410,4)=1,INDEX('Результаты матчей'!$N$2:$R$65,A410,2),"-")</f>
        <v>3</v>
      </c>
      <c r="C411" s="93">
        <f>AVERAGE('01 Акиловский Руслан:19 Щербич Никита'!O47)</f>
        <v>1</v>
      </c>
      <c r="D411" s="94">
        <v>0</v>
      </c>
      <c r="E411" s="94">
        <v>2</v>
      </c>
    </row>
    <row r="412" spans="1:5" ht="20.25">
      <c r="A412" s="92" t="s">
        <v>67</v>
      </c>
      <c r="B412" s="97">
        <f>IF(INDEX('Результаты матчей'!$N$2:$R$65,A410,4)=1,INDEX('Результаты матчей'!$N$2:$R$65,A410,3),"-")</f>
        <v>1</v>
      </c>
      <c r="C412" s="93">
        <f>AVERAGE('01 Акиловский Руслан:19 Щербич Никита'!P47)</f>
        <v>1.8421052631578947</v>
      </c>
      <c r="D412" s="94">
        <v>2</v>
      </c>
      <c r="E412" s="94">
        <v>2</v>
      </c>
    </row>
    <row r="413" spans="1:5">
      <c r="A413" s="35"/>
      <c r="B413" s="32" t="s">
        <v>14</v>
      </c>
      <c r="C413" s="32" t="str">
        <f>A411</f>
        <v>Уэльс</v>
      </c>
      <c r="D413" s="32" t="s">
        <v>113</v>
      </c>
      <c r="E413" s="32" t="str">
        <f>A412</f>
        <v>Бельгия</v>
      </c>
    </row>
    <row r="414" spans="1:5">
      <c r="A414" s="98" t="s">
        <v>118</v>
      </c>
      <c r="B414" s="99">
        <v>19</v>
      </c>
      <c r="C414" s="99">
        <v>4</v>
      </c>
      <c r="D414" s="99">
        <v>1</v>
      </c>
      <c r="E414" s="99">
        <v>14</v>
      </c>
    </row>
    <row r="415" spans="1:5">
      <c r="A415" s="34"/>
      <c r="B415" s="33" t="s">
        <v>117</v>
      </c>
      <c r="C415" s="33" t="s">
        <v>114</v>
      </c>
      <c r="D415" s="33" t="s">
        <v>115</v>
      </c>
      <c r="E415" s="33" t="s">
        <v>116</v>
      </c>
    </row>
    <row r="416" spans="1:5">
      <c r="A416" s="98" t="s">
        <v>119</v>
      </c>
      <c r="B416" s="99">
        <f>INDEX('Результаты матчей'!$N$2:$R$65,A410,5)</f>
        <v>4</v>
      </c>
      <c r="C416" s="99">
        <v>0</v>
      </c>
      <c r="D416" s="99">
        <v>0</v>
      </c>
      <c r="E416" s="99">
        <v>4</v>
      </c>
    </row>
    <row r="418" spans="1:5">
      <c r="A418" s="95" t="s">
        <v>154</v>
      </c>
      <c r="B418" s="96"/>
      <c r="C418" s="96"/>
      <c r="D418" s="96"/>
      <c r="E418" s="96"/>
    </row>
    <row r="419" spans="1:5">
      <c r="A419" s="90">
        <v>47</v>
      </c>
      <c r="B419" s="91" t="s">
        <v>108</v>
      </c>
      <c r="C419" s="91" t="s">
        <v>109</v>
      </c>
      <c r="D419" s="91" t="s">
        <v>110</v>
      </c>
      <c r="E419" s="91" t="s">
        <v>111</v>
      </c>
    </row>
    <row r="420" spans="1:5" ht="20.25">
      <c r="A420" s="92" t="s">
        <v>2</v>
      </c>
      <c r="B420" s="97">
        <f>IF(INDEX('Результаты матчей'!$N$2:$R$65,A419,4)=1,INDEX('Результаты матчей'!$N$2:$R$65,A419,2),"-")</f>
        <v>1</v>
      </c>
      <c r="C420" s="93">
        <f>AVERAGE('01 Акиловский Руслан:19 Щербич Никита'!O48)</f>
        <v>1.368421052631579</v>
      </c>
      <c r="D420" s="94">
        <v>1</v>
      </c>
      <c r="E420" s="94">
        <v>2</v>
      </c>
    </row>
    <row r="421" spans="1:5" ht="20.25">
      <c r="A421" s="92" t="s">
        <v>11</v>
      </c>
      <c r="B421" s="97">
        <f>IF(INDEX('Результаты матчей'!$N$2:$R$65,A419,4)=1,INDEX('Результаты матчей'!$N$2:$R$65,A419,3),"-")</f>
        <v>1</v>
      </c>
      <c r="C421" s="93">
        <f>AVERAGE('01 Акиловский Руслан:19 Щербич Никита'!P48)</f>
        <v>1.4210526315789473</v>
      </c>
      <c r="D421" s="94">
        <v>1</v>
      </c>
      <c r="E421" s="94">
        <v>4</v>
      </c>
    </row>
    <row r="422" spans="1:5">
      <c r="A422" s="35"/>
      <c r="B422" s="32" t="s">
        <v>14</v>
      </c>
      <c r="C422" s="32" t="str">
        <f>A420</f>
        <v>Германия</v>
      </c>
      <c r="D422" s="32" t="s">
        <v>113</v>
      </c>
      <c r="E422" s="32" t="str">
        <f>A421</f>
        <v>Италия</v>
      </c>
    </row>
    <row r="423" spans="1:5">
      <c r="A423" s="98" t="s">
        <v>118</v>
      </c>
      <c r="B423" s="99">
        <v>18</v>
      </c>
      <c r="C423" s="99">
        <v>5</v>
      </c>
      <c r="D423" s="99">
        <v>8</v>
      </c>
      <c r="E423" s="99">
        <v>5</v>
      </c>
    </row>
    <row r="424" spans="1:5">
      <c r="A424" s="34"/>
      <c r="B424" s="33" t="s">
        <v>117</v>
      </c>
      <c r="C424" s="33" t="s">
        <v>114</v>
      </c>
      <c r="D424" s="33" t="s">
        <v>115</v>
      </c>
      <c r="E424" s="33" t="s">
        <v>116</v>
      </c>
    </row>
    <row r="425" spans="1:5">
      <c r="A425" s="98" t="s">
        <v>119</v>
      </c>
      <c r="B425" s="99">
        <f>INDEX('Результаты матчей'!$N$2:$R$65,A419,5)</f>
        <v>39</v>
      </c>
      <c r="C425" s="99">
        <v>5</v>
      </c>
      <c r="D425" s="99">
        <v>3</v>
      </c>
      <c r="E425" s="99">
        <v>0</v>
      </c>
    </row>
    <row r="427" spans="1:5">
      <c r="A427" s="95" t="s">
        <v>155</v>
      </c>
      <c r="B427" s="96"/>
      <c r="C427" s="96"/>
      <c r="D427" s="96"/>
      <c r="E427" s="96"/>
    </row>
    <row r="428" spans="1:5">
      <c r="A428" s="90">
        <v>48</v>
      </c>
      <c r="B428" s="91" t="s">
        <v>108</v>
      </c>
      <c r="C428" s="91" t="s">
        <v>109</v>
      </c>
      <c r="D428" s="91" t="s">
        <v>110</v>
      </c>
      <c r="E428" s="91" t="s">
        <v>111</v>
      </c>
    </row>
    <row r="429" spans="1:5" ht="20.25">
      <c r="A429" s="92" t="s">
        <v>10</v>
      </c>
      <c r="B429" s="97">
        <f>IF(INDEX('Результаты матчей'!$N$2:$R$65,A428,4)=1,INDEX('Результаты матчей'!$N$2:$R$65,A428,2),"-")</f>
        <v>5</v>
      </c>
      <c r="C429" s="93">
        <f>AVERAGE('01 Акиловский Руслан:19 Щербич Никита'!O49)</f>
        <v>1.7894736842105263</v>
      </c>
      <c r="D429" s="94">
        <v>2</v>
      </c>
      <c r="E429" s="94">
        <v>0</v>
      </c>
    </row>
    <row r="430" spans="1:5" ht="20.25">
      <c r="A430" s="92" t="s">
        <v>152</v>
      </c>
      <c r="B430" s="97">
        <f>IF(INDEX('Результаты матчей'!$N$2:$R$65,A428,4)=1,INDEX('Результаты матчей'!$N$2:$R$65,A428,3),"-")</f>
        <v>2</v>
      </c>
      <c r="C430" s="93">
        <f>AVERAGE('01 Акиловский Руслан:19 Щербич Никита'!P49)</f>
        <v>0.73684210526315785</v>
      </c>
      <c r="D430" s="94">
        <v>2</v>
      </c>
      <c r="E430" s="94">
        <v>1</v>
      </c>
    </row>
    <row r="431" spans="1:5">
      <c r="A431" s="35"/>
      <c r="B431" s="32" t="s">
        <v>14</v>
      </c>
      <c r="C431" s="32" t="str">
        <f>A429</f>
        <v>Франция</v>
      </c>
      <c r="D431" s="32" t="s">
        <v>113</v>
      </c>
      <c r="E431" s="32" t="str">
        <f>A430</f>
        <v>Исландия</v>
      </c>
    </row>
    <row r="432" spans="1:5">
      <c r="A432" s="98" t="s">
        <v>118</v>
      </c>
      <c r="B432" s="99">
        <v>18</v>
      </c>
      <c r="C432" s="99">
        <v>12</v>
      </c>
      <c r="D432" s="99">
        <v>5</v>
      </c>
      <c r="E432" s="99">
        <v>1</v>
      </c>
    </row>
    <row r="433" spans="1:5">
      <c r="A433" s="34"/>
      <c r="B433" s="33" t="s">
        <v>117</v>
      </c>
      <c r="C433" s="33" t="s">
        <v>114</v>
      </c>
      <c r="D433" s="33" t="s">
        <v>115</v>
      </c>
      <c r="E433" s="33" t="s">
        <v>116</v>
      </c>
    </row>
    <row r="434" spans="1:5">
      <c r="A434" s="98" t="s">
        <v>119</v>
      </c>
      <c r="B434" s="99">
        <f>INDEX('Результаты матчей'!$N$2:$R$65,A428,5)</f>
        <v>16</v>
      </c>
      <c r="C434" s="99">
        <v>0</v>
      </c>
      <c r="D434" s="99">
        <v>1</v>
      </c>
      <c r="E434" s="99">
        <v>12</v>
      </c>
    </row>
    <row r="436" spans="1:5">
      <c r="A436" s="95" t="s">
        <v>156</v>
      </c>
      <c r="B436" s="96"/>
      <c r="C436" s="96"/>
      <c r="D436" s="96"/>
      <c r="E436" s="96"/>
    </row>
    <row r="437" spans="1:5">
      <c r="A437" s="90">
        <v>49</v>
      </c>
      <c r="B437" s="91" t="s">
        <v>108</v>
      </c>
      <c r="C437" s="91" t="s">
        <v>109</v>
      </c>
      <c r="D437" s="91" t="s">
        <v>110</v>
      </c>
      <c r="E437" s="91" t="s">
        <v>111</v>
      </c>
    </row>
    <row r="438" spans="1:5" ht="20.25">
      <c r="A438" s="92" t="s">
        <v>1</v>
      </c>
      <c r="B438" s="97">
        <f>IF(INDEX('Результаты матчей'!$N$2:$R$65,A437,4)=1,INDEX('Результаты матчей'!$N$2:$R$65,A437,2),"-")</f>
        <v>2</v>
      </c>
      <c r="C438" s="93">
        <f>AVERAGE('01 Акиловский Руслан:19 Щербич Никита'!O50)</f>
        <v>1.5789473684210527</v>
      </c>
      <c r="D438" s="94">
        <v>2</v>
      </c>
      <c r="E438" s="94" t="s">
        <v>13</v>
      </c>
    </row>
    <row r="439" spans="1:5" ht="20.25">
      <c r="A439" s="92" t="s">
        <v>141</v>
      </c>
      <c r="B439" s="97">
        <f>IF(INDEX('Результаты матчей'!$N$2:$R$65,A437,4)=1,INDEX('Результаты матчей'!$N$2:$R$65,A437,3),"-")</f>
        <v>0</v>
      </c>
      <c r="C439" s="93">
        <f>AVERAGE('01 Акиловский Руслан:19 Щербич Никита'!P50)</f>
        <v>1.5789473684210527</v>
      </c>
      <c r="D439" s="94">
        <v>1</v>
      </c>
      <c r="E439" s="94" t="s">
        <v>13</v>
      </c>
    </row>
    <row r="440" spans="1:5">
      <c r="A440" s="35"/>
      <c r="B440" s="32" t="s">
        <v>14</v>
      </c>
      <c r="C440" s="32" t="str">
        <f>A438</f>
        <v>Португалия</v>
      </c>
      <c r="D440" s="32" t="s">
        <v>113</v>
      </c>
      <c r="E440" s="32" t="str">
        <f>A439</f>
        <v>Уэльс</v>
      </c>
    </row>
    <row r="441" spans="1:5">
      <c r="A441" s="98" t="s">
        <v>118</v>
      </c>
      <c r="B441" s="99">
        <v>18</v>
      </c>
      <c r="C441" s="99">
        <v>7</v>
      </c>
      <c r="D441" s="99">
        <v>5</v>
      </c>
      <c r="E441" s="99">
        <v>6</v>
      </c>
    </row>
    <row r="442" spans="1:5">
      <c r="A442" s="34"/>
      <c r="B442" s="33" t="s">
        <v>117</v>
      </c>
      <c r="C442" s="33" t="s">
        <v>114</v>
      </c>
      <c r="D442" s="33" t="s">
        <v>115</v>
      </c>
      <c r="E442" s="33" t="s">
        <v>116</v>
      </c>
    </row>
    <row r="443" spans="1:5">
      <c r="A443" s="98" t="s">
        <v>119</v>
      </c>
      <c r="B443" s="99">
        <f>INDEX('Результаты матчей'!$N$2:$R$65,A437,5)</f>
        <v>7</v>
      </c>
      <c r="C443" s="99">
        <v>0</v>
      </c>
      <c r="D443" s="99">
        <v>0</v>
      </c>
      <c r="E443" s="99">
        <v>7</v>
      </c>
    </row>
    <row r="445" spans="1:5">
      <c r="A445" s="95" t="s">
        <v>157</v>
      </c>
      <c r="B445" s="96"/>
      <c r="C445" s="96"/>
      <c r="D445" s="96"/>
      <c r="E445" s="96"/>
    </row>
    <row r="446" spans="1:5">
      <c r="A446" s="90">
        <v>50</v>
      </c>
      <c r="B446" s="91" t="s">
        <v>108</v>
      </c>
      <c r="C446" s="91" t="s">
        <v>109</v>
      </c>
      <c r="D446" s="91" t="s">
        <v>110</v>
      </c>
      <c r="E446" s="91" t="s">
        <v>111</v>
      </c>
    </row>
    <row r="447" spans="1:5" ht="20.25">
      <c r="A447" s="92" t="s">
        <v>2</v>
      </c>
      <c r="B447" s="97">
        <f>IF(INDEX('Результаты матчей'!$N$2:$R$65,A446,4)=1,INDEX('Результаты матчей'!$N$2:$R$65,A446,2),"-")</f>
        <v>0</v>
      </c>
      <c r="C447" s="93">
        <f>AVERAGE('01 Акиловский Руслан:19 Щербич Никита'!O51)</f>
        <v>1.6842105263157894</v>
      </c>
      <c r="D447" s="94">
        <v>1</v>
      </c>
      <c r="E447" s="94">
        <v>4</v>
      </c>
    </row>
    <row r="448" spans="1:5" ht="20.25">
      <c r="A448" s="92" t="s">
        <v>10</v>
      </c>
      <c r="B448" s="97">
        <f>IF(INDEX('Результаты матчей'!$N$2:$R$65,A446,4)=1,INDEX('Результаты матчей'!$N$2:$R$65,A446,3),"-")</f>
        <v>2</v>
      </c>
      <c r="C448" s="93">
        <f>AVERAGE('01 Акиловский Руслан:19 Щербич Никита'!P51)</f>
        <v>1.8421052631578947</v>
      </c>
      <c r="D448" s="94">
        <v>1</v>
      </c>
      <c r="E448" s="94">
        <v>2</v>
      </c>
    </row>
    <row r="449" spans="1:6">
      <c r="A449" s="35"/>
      <c r="B449" s="32" t="s">
        <v>14</v>
      </c>
      <c r="C449" s="32" t="str">
        <f>A447</f>
        <v>Германия</v>
      </c>
      <c r="D449" s="32" t="s">
        <v>113</v>
      </c>
      <c r="E449" s="32" t="str">
        <f>A448</f>
        <v>Франция</v>
      </c>
    </row>
    <row r="450" spans="1:6">
      <c r="A450" s="98" t="s">
        <v>118</v>
      </c>
      <c r="B450" s="99">
        <v>18</v>
      </c>
      <c r="C450" s="99">
        <v>6</v>
      </c>
      <c r="D450" s="99">
        <v>2</v>
      </c>
      <c r="E450" s="99">
        <v>10</v>
      </c>
    </row>
    <row r="451" spans="1:6">
      <c r="A451" s="34"/>
      <c r="B451" s="33" t="s">
        <v>117</v>
      </c>
      <c r="C451" s="33" t="s">
        <v>114</v>
      </c>
      <c r="D451" s="33" t="s">
        <v>115</v>
      </c>
      <c r="E451" s="33" t="s">
        <v>116</v>
      </c>
    </row>
    <row r="452" spans="1:6">
      <c r="A452" s="98" t="s">
        <v>119</v>
      </c>
      <c r="B452" s="99">
        <f>INDEX('Результаты матчей'!$N$2:$R$65,A446,5)</f>
        <v>13</v>
      </c>
      <c r="C452" s="99">
        <v>0</v>
      </c>
      <c r="D452" s="99">
        <v>1</v>
      </c>
      <c r="E452" s="99">
        <v>9</v>
      </c>
    </row>
    <row r="454" spans="1:6">
      <c r="A454" s="95" t="s">
        <v>158</v>
      </c>
      <c r="B454" s="96"/>
      <c r="C454" s="96"/>
      <c r="D454" s="96"/>
      <c r="E454" s="96"/>
    </row>
    <row r="455" spans="1:6">
      <c r="A455" s="90">
        <v>51</v>
      </c>
      <c r="B455" s="91" t="s">
        <v>108</v>
      </c>
      <c r="C455" s="91" t="s">
        <v>109</v>
      </c>
      <c r="D455" s="91" t="s">
        <v>110</v>
      </c>
      <c r="E455" s="91" t="s">
        <v>111</v>
      </c>
    </row>
    <row r="456" spans="1:6" ht="20.25">
      <c r="A456" s="92" t="s">
        <v>1</v>
      </c>
      <c r="B456" s="97">
        <f>IF(INDEX('Результаты матчей'!$N$2:$R$65,A455,4)=1,INDEX('Результаты матчей'!$N$2:$R$65,A455,2),"-")</f>
        <v>1</v>
      </c>
      <c r="C456" s="93">
        <f>AVERAGE('01 Акиловский Руслан:19 Щербич Никита'!O52)</f>
        <v>1.2105263157894737</v>
      </c>
      <c r="D456" s="94">
        <v>1</v>
      </c>
      <c r="E456" s="94" t="s">
        <v>13</v>
      </c>
      <c r="F456" s="37"/>
    </row>
    <row r="457" spans="1:6" ht="20.25">
      <c r="A457" s="92" t="s">
        <v>10</v>
      </c>
      <c r="B457" s="97">
        <f>IF(INDEX('Результаты матчей'!$N$2:$R$65,A455,4)=1,INDEX('Результаты матчей'!$N$2:$R$65,A455,3),"-")</f>
        <v>0</v>
      </c>
      <c r="C457" s="93">
        <f>AVERAGE('01 Акиловский Руслан:19 Щербич Никита'!P52)</f>
        <v>1.6842105263157894</v>
      </c>
      <c r="D457" s="94">
        <v>1</v>
      </c>
      <c r="E457" s="94" t="s">
        <v>13</v>
      </c>
      <c r="F457" s="37"/>
    </row>
    <row r="458" spans="1:6">
      <c r="A458" s="35"/>
      <c r="B458" s="32" t="s">
        <v>14</v>
      </c>
      <c r="C458" s="32" t="str">
        <f>A456</f>
        <v>Португалия</v>
      </c>
      <c r="D458" s="32" t="s">
        <v>113</v>
      </c>
      <c r="E458" s="32" t="str">
        <f>A457</f>
        <v>Франция</v>
      </c>
    </row>
    <row r="459" spans="1:6">
      <c r="A459" s="98" t="s">
        <v>118</v>
      </c>
      <c r="B459" s="99">
        <v>18</v>
      </c>
      <c r="C459" s="99">
        <v>5</v>
      </c>
      <c r="D459" s="99">
        <v>3</v>
      </c>
      <c r="E459" s="99">
        <v>10</v>
      </c>
    </row>
    <row r="460" spans="1:6">
      <c r="A460" s="34"/>
      <c r="B460" s="33" t="s">
        <v>117</v>
      </c>
      <c r="C460" s="33" t="s">
        <v>114</v>
      </c>
      <c r="D460" s="33" t="s">
        <v>115</v>
      </c>
      <c r="E460" s="33" t="s">
        <v>116</v>
      </c>
    </row>
    <row r="461" spans="1:6">
      <c r="A461" s="98" t="s">
        <v>119</v>
      </c>
      <c r="B461" s="99">
        <f>INDEX('Результаты матчей'!$N$2:$R$65,A455,5)</f>
        <v>17</v>
      </c>
      <c r="C461" s="99">
        <v>0</v>
      </c>
      <c r="D461" s="99">
        <v>4</v>
      </c>
      <c r="E461" s="9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69"/>
  <sheetViews>
    <sheetView workbookViewId="0"/>
  </sheetViews>
  <sheetFormatPr defaultRowHeight="12.75"/>
  <cols>
    <col min="1" max="1" width="2.7109375" style="13" customWidth="1"/>
    <col min="2" max="2" width="24.140625" style="13" customWidth="1"/>
    <col min="3" max="3" width="2.7109375" style="14" hidden="1" customWidth="1"/>
    <col min="4" max="4" width="4.7109375" style="13" customWidth="1"/>
    <col min="5" max="5" width="2.42578125" style="13" customWidth="1"/>
    <col min="6" max="6" width="2.7109375" style="13" customWidth="1"/>
    <col min="7" max="7" width="13" style="13" customWidth="1"/>
    <col min="8" max="16" width="2.7109375" style="13" customWidth="1"/>
    <col min="17" max="17" width="4.7109375" style="13" customWidth="1"/>
    <col min="18" max="18" width="9.140625" style="13"/>
    <col min="19" max="19" width="7.28515625" style="13" customWidth="1"/>
    <col min="20" max="20" width="27.42578125" style="13" customWidth="1"/>
    <col min="21" max="30" width="4.28515625" style="13" customWidth="1"/>
    <col min="31" max="260" width="9.140625" style="13"/>
    <col min="261" max="261" width="2.85546875" style="13" customWidth="1"/>
    <col min="262" max="262" width="19.140625" style="13" customWidth="1"/>
    <col min="263" max="267" width="2.85546875" style="13" customWidth="1"/>
    <col min="268" max="268" width="5.42578125" style="13" customWidth="1"/>
    <col min="269" max="269" width="6.5703125" style="13" customWidth="1"/>
    <col min="270" max="270" width="2.85546875" style="13" customWidth="1"/>
    <col min="271" max="271" width="12.5703125" style="13" customWidth="1"/>
    <col min="272" max="277" width="2.85546875" style="13" customWidth="1"/>
    <col min="278" max="278" width="5" style="13" customWidth="1"/>
    <col min="279" max="516" width="9.140625" style="13"/>
    <col min="517" max="517" width="2.85546875" style="13" customWidth="1"/>
    <col min="518" max="518" width="19.140625" style="13" customWidth="1"/>
    <col min="519" max="523" width="2.85546875" style="13" customWidth="1"/>
    <col min="524" max="524" width="5.42578125" style="13" customWidth="1"/>
    <col min="525" max="525" width="6.5703125" style="13" customWidth="1"/>
    <col min="526" max="526" width="2.85546875" style="13" customWidth="1"/>
    <col min="527" max="527" width="12.5703125" style="13" customWidth="1"/>
    <col min="528" max="533" width="2.85546875" style="13" customWidth="1"/>
    <col min="534" max="534" width="5" style="13" customWidth="1"/>
    <col min="535" max="772" width="9.140625" style="13"/>
    <col min="773" max="773" width="2.85546875" style="13" customWidth="1"/>
    <col min="774" max="774" width="19.140625" style="13" customWidth="1"/>
    <col min="775" max="779" width="2.85546875" style="13" customWidth="1"/>
    <col min="780" max="780" width="5.42578125" style="13" customWidth="1"/>
    <col min="781" max="781" width="6.5703125" style="13" customWidth="1"/>
    <col min="782" max="782" width="2.85546875" style="13" customWidth="1"/>
    <col min="783" max="783" width="12.5703125" style="13" customWidth="1"/>
    <col min="784" max="789" width="2.85546875" style="13" customWidth="1"/>
    <col min="790" max="790" width="5" style="13" customWidth="1"/>
    <col min="791" max="1028" width="9.140625" style="13"/>
    <col min="1029" max="1029" width="2.85546875" style="13" customWidth="1"/>
    <col min="1030" max="1030" width="19.140625" style="13" customWidth="1"/>
    <col min="1031" max="1035" width="2.85546875" style="13" customWidth="1"/>
    <col min="1036" max="1036" width="5.42578125" style="13" customWidth="1"/>
    <col min="1037" max="1037" width="6.5703125" style="13" customWidth="1"/>
    <col min="1038" max="1038" width="2.85546875" style="13" customWidth="1"/>
    <col min="1039" max="1039" width="12.5703125" style="13" customWidth="1"/>
    <col min="1040" max="1045" width="2.85546875" style="13" customWidth="1"/>
    <col min="1046" max="1046" width="5" style="13" customWidth="1"/>
    <col min="1047" max="1284" width="9.140625" style="13"/>
    <col min="1285" max="1285" width="2.85546875" style="13" customWidth="1"/>
    <col min="1286" max="1286" width="19.140625" style="13" customWidth="1"/>
    <col min="1287" max="1291" width="2.85546875" style="13" customWidth="1"/>
    <col min="1292" max="1292" width="5.42578125" style="13" customWidth="1"/>
    <col min="1293" max="1293" width="6.5703125" style="13" customWidth="1"/>
    <col min="1294" max="1294" width="2.85546875" style="13" customWidth="1"/>
    <col min="1295" max="1295" width="12.5703125" style="13" customWidth="1"/>
    <col min="1296" max="1301" width="2.85546875" style="13" customWidth="1"/>
    <col min="1302" max="1302" width="5" style="13" customWidth="1"/>
    <col min="1303" max="1540" width="9.140625" style="13"/>
    <col min="1541" max="1541" width="2.85546875" style="13" customWidth="1"/>
    <col min="1542" max="1542" width="19.140625" style="13" customWidth="1"/>
    <col min="1543" max="1547" width="2.85546875" style="13" customWidth="1"/>
    <col min="1548" max="1548" width="5.42578125" style="13" customWidth="1"/>
    <col min="1549" max="1549" width="6.5703125" style="13" customWidth="1"/>
    <col min="1550" max="1550" width="2.85546875" style="13" customWidth="1"/>
    <col min="1551" max="1551" width="12.5703125" style="13" customWidth="1"/>
    <col min="1552" max="1557" width="2.85546875" style="13" customWidth="1"/>
    <col min="1558" max="1558" width="5" style="13" customWidth="1"/>
    <col min="1559" max="1796" width="9.140625" style="13"/>
    <col min="1797" max="1797" width="2.85546875" style="13" customWidth="1"/>
    <col min="1798" max="1798" width="19.140625" style="13" customWidth="1"/>
    <col min="1799" max="1803" width="2.85546875" style="13" customWidth="1"/>
    <col min="1804" max="1804" width="5.42578125" style="13" customWidth="1"/>
    <col min="1805" max="1805" width="6.5703125" style="13" customWidth="1"/>
    <col min="1806" max="1806" width="2.85546875" style="13" customWidth="1"/>
    <col min="1807" max="1807" width="12.5703125" style="13" customWidth="1"/>
    <col min="1808" max="1813" width="2.85546875" style="13" customWidth="1"/>
    <col min="1814" max="1814" width="5" style="13" customWidth="1"/>
    <col min="1815" max="2052" width="9.140625" style="13"/>
    <col min="2053" max="2053" width="2.85546875" style="13" customWidth="1"/>
    <col min="2054" max="2054" width="19.140625" style="13" customWidth="1"/>
    <col min="2055" max="2059" width="2.85546875" style="13" customWidth="1"/>
    <col min="2060" max="2060" width="5.42578125" style="13" customWidth="1"/>
    <col min="2061" max="2061" width="6.5703125" style="13" customWidth="1"/>
    <col min="2062" max="2062" width="2.85546875" style="13" customWidth="1"/>
    <col min="2063" max="2063" width="12.5703125" style="13" customWidth="1"/>
    <col min="2064" max="2069" width="2.85546875" style="13" customWidth="1"/>
    <col min="2070" max="2070" width="5" style="13" customWidth="1"/>
    <col min="2071" max="2308" width="9.140625" style="13"/>
    <col min="2309" max="2309" width="2.85546875" style="13" customWidth="1"/>
    <col min="2310" max="2310" width="19.140625" style="13" customWidth="1"/>
    <col min="2311" max="2315" width="2.85546875" style="13" customWidth="1"/>
    <col min="2316" max="2316" width="5.42578125" style="13" customWidth="1"/>
    <col min="2317" max="2317" width="6.5703125" style="13" customWidth="1"/>
    <col min="2318" max="2318" width="2.85546875" style="13" customWidth="1"/>
    <col min="2319" max="2319" width="12.5703125" style="13" customWidth="1"/>
    <col min="2320" max="2325" width="2.85546875" style="13" customWidth="1"/>
    <col min="2326" max="2326" width="5" style="13" customWidth="1"/>
    <col min="2327" max="2564" width="9.140625" style="13"/>
    <col min="2565" max="2565" width="2.85546875" style="13" customWidth="1"/>
    <col min="2566" max="2566" width="19.140625" style="13" customWidth="1"/>
    <col min="2567" max="2571" width="2.85546875" style="13" customWidth="1"/>
    <col min="2572" max="2572" width="5.42578125" style="13" customWidth="1"/>
    <col min="2573" max="2573" width="6.5703125" style="13" customWidth="1"/>
    <col min="2574" max="2574" width="2.85546875" style="13" customWidth="1"/>
    <col min="2575" max="2575" width="12.5703125" style="13" customWidth="1"/>
    <col min="2576" max="2581" width="2.85546875" style="13" customWidth="1"/>
    <col min="2582" max="2582" width="5" style="13" customWidth="1"/>
    <col min="2583" max="2820" width="9.140625" style="13"/>
    <col min="2821" max="2821" width="2.85546875" style="13" customWidth="1"/>
    <col min="2822" max="2822" width="19.140625" style="13" customWidth="1"/>
    <col min="2823" max="2827" width="2.85546875" style="13" customWidth="1"/>
    <col min="2828" max="2828" width="5.42578125" style="13" customWidth="1"/>
    <col min="2829" max="2829" width="6.5703125" style="13" customWidth="1"/>
    <col min="2830" max="2830" width="2.85546875" style="13" customWidth="1"/>
    <col min="2831" max="2831" width="12.5703125" style="13" customWidth="1"/>
    <col min="2832" max="2837" width="2.85546875" style="13" customWidth="1"/>
    <col min="2838" max="2838" width="5" style="13" customWidth="1"/>
    <col min="2839" max="3076" width="9.140625" style="13"/>
    <col min="3077" max="3077" width="2.85546875" style="13" customWidth="1"/>
    <col min="3078" max="3078" width="19.140625" style="13" customWidth="1"/>
    <col min="3079" max="3083" width="2.85546875" style="13" customWidth="1"/>
    <col min="3084" max="3084" width="5.42578125" style="13" customWidth="1"/>
    <col min="3085" max="3085" width="6.5703125" style="13" customWidth="1"/>
    <col min="3086" max="3086" width="2.85546875" style="13" customWidth="1"/>
    <col min="3087" max="3087" width="12.5703125" style="13" customWidth="1"/>
    <col min="3088" max="3093" width="2.85546875" style="13" customWidth="1"/>
    <col min="3094" max="3094" width="5" style="13" customWidth="1"/>
    <col min="3095" max="3332" width="9.140625" style="13"/>
    <col min="3333" max="3333" width="2.85546875" style="13" customWidth="1"/>
    <col min="3334" max="3334" width="19.140625" style="13" customWidth="1"/>
    <col min="3335" max="3339" width="2.85546875" style="13" customWidth="1"/>
    <col min="3340" max="3340" width="5.42578125" style="13" customWidth="1"/>
    <col min="3341" max="3341" width="6.5703125" style="13" customWidth="1"/>
    <col min="3342" max="3342" width="2.85546875" style="13" customWidth="1"/>
    <col min="3343" max="3343" width="12.5703125" style="13" customWidth="1"/>
    <col min="3344" max="3349" width="2.85546875" style="13" customWidth="1"/>
    <col min="3350" max="3350" width="5" style="13" customWidth="1"/>
    <col min="3351" max="3588" width="9.140625" style="13"/>
    <col min="3589" max="3589" width="2.85546875" style="13" customWidth="1"/>
    <col min="3590" max="3590" width="19.140625" style="13" customWidth="1"/>
    <col min="3591" max="3595" width="2.85546875" style="13" customWidth="1"/>
    <col min="3596" max="3596" width="5.42578125" style="13" customWidth="1"/>
    <col min="3597" max="3597" width="6.5703125" style="13" customWidth="1"/>
    <col min="3598" max="3598" width="2.85546875" style="13" customWidth="1"/>
    <col min="3599" max="3599" width="12.5703125" style="13" customWidth="1"/>
    <col min="3600" max="3605" width="2.85546875" style="13" customWidth="1"/>
    <col min="3606" max="3606" width="5" style="13" customWidth="1"/>
    <col min="3607" max="3844" width="9.140625" style="13"/>
    <col min="3845" max="3845" width="2.85546875" style="13" customWidth="1"/>
    <col min="3846" max="3846" width="19.140625" style="13" customWidth="1"/>
    <col min="3847" max="3851" width="2.85546875" style="13" customWidth="1"/>
    <col min="3852" max="3852" width="5.42578125" style="13" customWidth="1"/>
    <col min="3853" max="3853" width="6.5703125" style="13" customWidth="1"/>
    <col min="3854" max="3854" width="2.85546875" style="13" customWidth="1"/>
    <col min="3855" max="3855" width="12.5703125" style="13" customWidth="1"/>
    <col min="3856" max="3861" width="2.85546875" style="13" customWidth="1"/>
    <col min="3862" max="3862" width="5" style="13" customWidth="1"/>
    <col min="3863" max="4100" width="9.140625" style="13"/>
    <col min="4101" max="4101" width="2.85546875" style="13" customWidth="1"/>
    <col min="4102" max="4102" width="19.140625" style="13" customWidth="1"/>
    <col min="4103" max="4107" width="2.85546875" style="13" customWidth="1"/>
    <col min="4108" max="4108" width="5.42578125" style="13" customWidth="1"/>
    <col min="4109" max="4109" width="6.5703125" style="13" customWidth="1"/>
    <col min="4110" max="4110" width="2.85546875" style="13" customWidth="1"/>
    <col min="4111" max="4111" width="12.5703125" style="13" customWidth="1"/>
    <col min="4112" max="4117" width="2.85546875" style="13" customWidth="1"/>
    <col min="4118" max="4118" width="5" style="13" customWidth="1"/>
    <col min="4119" max="4356" width="9.140625" style="13"/>
    <col min="4357" max="4357" width="2.85546875" style="13" customWidth="1"/>
    <col min="4358" max="4358" width="19.140625" style="13" customWidth="1"/>
    <col min="4359" max="4363" width="2.85546875" style="13" customWidth="1"/>
    <col min="4364" max="4364" width="5.42578125" style="13" customWidth="1"/>
    <col min="4365" max="4365" width="6.5703125" style="13" customWidth="1"/>
    <col min="4366" max="4366" width="2.85546875" style="13" customWidth="1"/>
    <col min="4367" max="4367" width="12.5703125" style="13" customWidth="1"/>
    <col min="4368" max="4373" width="2.85546875" style="13" customWidth="1"/>
    <col min="4374" max="4374" width="5" style="13" customWidth="1"/>
    <col min="4375" max="4612" width="9.140625" style="13"/>
    <col min="4613" max="4613" width="2.85546875" style="13" customWidth="1"/>
    <col min="4614" max="4614" width="19.140625" style="13" customWidth="1"/>
    <col min="4615" max="4619" width="2.85546875" style="13" customWidth="1"/>
    <col min="4620" max="4620" width="5.42578125" style="13" customWidth="1"/>
    <col min="4621" max="4621" width="6.5703125" style="13" customWidth="1"/>
    <col min="4622" max="4622" width="2.85546875" style="13" customWidth="1"/>
    <col min="4623" max="4623" width="12.5703125" style="13" customWidth="1"/>
    <col min="4624" max="4629" width="2.85546875" style="13" customWidth="1"/>
    <col min="4630" max="4630" width="5" style="13" customWidth="1"/>
    <col min="4631" max="4868" width="9.140625" style="13"/>
    <col min="4869" max="4869" width="2.85546875" style="13" customWidth="1"/>
    <col min="4870" max="4870" width="19.140625" style="13" customWidth="1"/>
    <col min="4871" max="4875" width="2.85546875" style="13" customWidth="1"/>
    <col min="4876" max="4876" width="5.42578125" style="13" customWidth="1"/>
    <col min="4877" max="4877" width="6.5703125" style="13" customWidth="1"/>
    <col min="4878" max="4878" width="2.85546875" style="13" customWidth="1"/>
    <col min="4879" max="4879" width="12.5703125" style="13" customWidth="1"/>
    <col min="4880" max="4885" width="2.85546875" style="13" customWidth="1"/>
    <col min="4886" max="4886" width="5" style="13" customWidth="1"/>
    <col min="4887" max="5124" width="9.140625" style="13"/>
    <col min="5125" max="5125" width="2.85546875" style="13" customWidth="1"/>
    <col min="5126" max="5126" width="19.140625" style="13" customWidth="1"/>
    <col min="5127" max="5131" width="2.85546875" style="13" customWidth="1"/>
    <col min="5132" max="5132" width="5.42578125" style="13" customWidth="1"/>
    <col min="5133" max="5133" width="6.5703125" style="13" customWidth="1"/>
    <col min="5134" max="5134" width="2.85546875" style="13" customWidth="1"/>
    <col min="5135" max="5135" width="12.5703125" style="13" customWidth="1"/>
    <col min="5136" max="5141" width="2.85546875" style="13" customWidth="1"/>
    <col min="5142" max="5142" width="5" style="13" customWidth="1"/>
    <col min="5143" max="5380" width="9.140625" style="13"/>
    <col min="5381" max="5381" width="2.85546875" style="13" customWidth="1"/>
    <col min="5382" max="5382" width="19.140625" style="13" customWidth="1"/>
    <col min="5383" max="5387" width="2.85546875" style="13" customWidth="1"/>
    <col min="5388" max="5388" width="5.42578125" style="13" customWidth="1"/>
    <col min="5389" max="5389" width="6.5703125" style="13" customWidth="1"/>
    <col min="5390" max="5390" width="2.85546875" style="13" customWidth="1"/>
    <col min="5391" max="5391" width="12.5703125" style="13" customWidth="1"/>
    <col min="5392" max="5397" width="2.85546875" style="13" customWidth="1"/>
    <col min="5398" max="5398" width="5" style="13" customWidth="1"/>
    <col min="5399" max="5636" width="9.140625" style="13"/>
    <col min="5637" max="5637" width="2.85546875" style="13" customWidth="1"/>
    <col min="5638" max="5638" width="19.140625" style="13" customWidth="1"/>
    <col min="5639" max="5643" width="2.85546875" style="13" customWidth="1"/>
    <col min="5644" max="5644" width="5.42578125" style="13" customWidth="1"/>
    <col min="5645" max="5645" width="6.5703125" style="13" customWidth="1"/>
    <col min="5646" max="5646" width="2.85546875" style="13" customWidth="1"/>
    <col min="5647" max="5647" width="12.5703125" style="13" customWidth="1"/>
    <col min="5648" max="5653" width="2.85546875" style="13" customWidth="1"/>
    <col min="5654" max="5654" width="5" style="13" customWidth="1"/>
    <col min="5655" max="5892" width="9.140625" style="13"/>
    <col min="5893" max="5893" width="2.85546875" style="13" customWidth="1"/>
    <col min="5894" max="5894" width="19.140625" style="13" customWidth="1"/>
    <col min="5895" max="5899" width="2.85546875" style="13" customWidth="1"/>
    <col min="5900" max="5900" width="5.42578125" style="13" customWidth="1"/>
    <col min="5901" max="5901" width="6.5703125" style="13" customWidth="1"/>
    <col min="5902" max="5902" width="2.85546875" style="13" customWidth="1"/>
    <col min="5903" max="5903" width="12.5703125" style="13" customWidth="1"/>
    <col min="5904" max="5909" width="2.85546875" style="13" customWidth="1"/>
    <col min="5910" max="5910" width="5" style="13" customWidth="1"/>
    <col min="5911" max="6148" width="9.140625" style="13"/>
    <col min="6149" max="6149" width="2.85546875" style="13" customWidth="1"/>
    <col min="6150" max="6150" width="19.140625" style="13" customWidth="1"/>
    <col min="6151" max="6155" width="2.85546875" style="13" customWidth="1"/>
    <col min="6156" max="6156" width="5.42578125" style="13" customWidth="1"/>
    <col min="6157" max="6157" width="6.5703125" style="13" customWidth="1"/>
    <col min="6158" max="6158" width="2.85546875" style="13" customWidth="1"/>
    <col min="6159" max="6159" width="12.5703125" style="13" customWidth="1"/>
    <col min="6160" max="6165" width="2.85546875" style="13" customWidth="1"/>
    <col min="6166" max="6166" width="5" style="13" customWidth="1"/>
    <col min="6167" max="6404" width="9.140625" style="13"/>
    <col min="6405" max="6405" width="2.85546875" style="13" customWidth="1"/>
    <col min="6406" max="6406" width="19.140625" style="13" customWidth="1"/>
    <col min="6407" max="6411" width="2.85546875" style="13" customWidth="1"/>
    <col min="6412" max="6412" width="5.42578125" style="13" customWidth="1"/>
    <col min="6413" max="6413" width="6.5703125" style="13" customWidth="1"/>
    <col min="6414" max="6414" width="2.85546875" style="13" customWidth="1"/>
    <col min="6415" max="6415" width="12.5703125" style="13" customWidth="1"/>
    <col min="6416" max="6421" width="2.85546875" style="13" customWidth="1"/>
    <col min="6422" max="6422" width="5" style="13" customWidth="1"/>
    <col min="6423" max="6660" width="9.140625" style="13"/>
    <col min="6661" max="6661" width="2.85546875" style="13" customWidth="1"/>
    <col min="6662" max="6662" width="19.140625" style="13" customWidth="1"/>
    <col min="6663" max="6667" width="2.85546875" style="13" customWidth="1"/>
    <col min="6668" max="6668" width="5.42578125" style="13" customWidth="1"/>
    <col min="6669" max="6669" width="6.5703125" style="13" customWidth="1"/>
    <col min="6670" max="6670" width="2.85546875" style="13" customWidth="1"/>
    <col min="6671" max="6671" width="12.5703125" style="13" customWidth="1"/>
    <col min="6672" max="6677" width="2.85546875" style="13" customWidth="1"/>
    <col min="6678" max="6678" width="5" style="13" customWidth="1"/>
    <col min="6679" max="6916" width="9.140625" style="13"/>
    <col min="6917" max="6917" width="2.85546875" style="13" customWidth="1"/>
    <col min="6918" max="6918" width="19.140625" style="13" customWidth="1"/>
    <col min="6919" max="6923" width="2.85546875" style="13" customWidth="1"/>
    <col min="6924" max="6924" width="5.42578125" style="13" customWidth="1"/>
    <col min="6925" max="6925" width="6.5703125" style="13" customWidth="1"/>
    <col min="6926" max="6926" width="2.85546875" style="13" customWidth="1"/>
    <col min="6927" max="6927" width="12.5703125" style="13" customWidth="1"/>
    <col min="6928" max="6933" width="2.85546875" style="13" customWidth="1"/>
    <col min="6934" max="6934" width="5" style="13" customWidth="1"/>
    <col min="6935" max="7172" width="9.140625" style="13"/>
    <col min="7173" max="7173" width="2.85546875" style="13" customWidth="1"/>
    <col min="7174" max="7174" width="19.140625" style="13" customWidth="1"/>
    <col min="7175" max="7179" width="2.85546875" style="13" customWidth="1"/>
    <col min="7180" max="7180" width="5.42578125" style="13" customWidth="1"/>
    <col min="7181" max="7181" width="6.5703125" style="13" customWidth="1"/>
    <col min="7182" max="7182" width="2.85546875" style="13" customWidth="1"/>
    <col min="7183" max="7183" width="12.5703125" style="13" customWidth="1"/>
    <col min="7184" max="7189" width="2.85546875" style="13" customWidth="1"/>
    <col min="7190" max="7190" width="5" style="13" customWidth="1"/>
    <col min="7191" max="7428" width="9.140625" style="13"/>
    <col min="7429" max="7429" width="2.85546875" style="13" customWidth="1"/>
    <col min="7430" max="7430" width="19.140625" style="13" customWidth="1"/>
    <col min="7431" max="7435" width="2.85546875" style="13" customWidth="1"/>
    <col min="7436" max="7436" width="5.42578125" style="13" customWidth="1"/>
    <col min="7437" max="7437" width="6.5703125" style="13" customWidth="1"/>
    <col min="7438" max="7438" width="2.85546875" style="13" customWidth="1"/>
    <col min="7439" max="7439" width="12.5703125" style="13" customWidth="1"/>
    <col min="7440" max="7445" width="2.85546875" style="13" customWidth="1"/>
    <col min="7446" max="7446" width="5" style="13" customWidth="1"/>
    <col min="7447" max="7684" width="9.140625" style="13"/>
    <col min="7685" max="7685" width="2.85546875" style="13" customWidth="1"/>
    <col min="7686" max="7686" width="19.140625" style="13" customWidth="1"/>
    <col min="7687" max="7691" width="2.85546875" style="13" customWidth="1"/>
    <col min="7692" max="7692" width="5.42578125" style="13" customWidth="1"/>
    <col min="7693" max="7693" width="6.5703125" style="13" customWidth="1"/>
    <col min="7694" max="7694" width="2.85546875" style="13" customWidth="1"/>
    <col min="7695" max="7695" width="12.5703125" style="13" customWidth="1"/>
    <col min="7696" max="7701" width="2.85546875" style="13" customWidth="1"/>
    <col min="7702" max="7702" width="5" style="13" customWidth="1"/>
    <col min="7703" max="7940" width="9.140625" style="13"/>
    <col min="7941" max="7941" width="2.85546875" style="13" customWidth="1"/>
    <col min="7942" max="7942" width="19.140625" style="13" customWidth="1"/>
    <col min="7943" max="7947" width="2.85546875" style="13" customWidth="1"/>
    <col min="7948" max="7948" width="5.42578125" style="13" customWidth="1"/>
    <col min="7949" max="7949" width="6.5703125" style="13" customWidth="1"/>
    <col min="7950" max="7950" width="2.85546875" style="13" customWidth="1"/>
    <col min="7951" max="7951" width="12.5703125" style="13" customWidth="1"/>
    <col min="7952" max="7957" width="2.85546875" style="13" customWidth="1"/>
    <col min="7958" max="7958" width="5" style="13" customWidth="1"/>
    <col min="7959" max="8196" width="9.140625" style="13"/>
    <col min="8197" max="8197" width="2.85546875" style="13" customWidth="1"/>
    <col min="8198" max="8198" width="19.140625" style="13" customWidth="1"/>
    <col min="8199" max="8203" width="2.85546875" style="13" customWidth="1"/>
    <col min="8204" max="8204" width="5.42578125" style="13" customWidth="1"/>
    <col min="8205" max="8205" width="6.5703125" style="13" customWidth="1"/>
    <col min="8206" max="8206" width="2.85546875" style="13" customWidth="1"/>
    <col min="8207" max="8207" width="12.5703125" style="13" customWidth="1"/>
    <col min="8208" max="8213" width="2.85546875" style="13" customWidth="1"/>
    <col min="8214" max="8214" width="5" style="13" customWidth="1"/>
    <col min="8215" max="8452" width="9.140625" style="13"/>
    <col min="8453" max="8453" width="2.85546875" style="13" customWidth="1"/>
    <col min="8454" max="8454" width="19.140625" style="13" customWidth="1"/>
    <col min="8455" max="8459" width="2.85546875" style="13" customWidth="1"/>
    <col min="8460" max="8460" width="5.42578125" style="13" customWidth="1"/>
    <col min="8461" max="8461" width="6.5703125" style="13" customWidth="1"/>
    <col min="8462" max="8462" width="2.85546875" style="13" customWidth="1"/>
    <col min="8463" max="8463" width="12.5703125" style="13" customWidth="1"/>
    <col min="8464" max="8469" width="2.85546875" style="13" customWidth="1"/>
    <col min="8470" max="8470" width="5" style="13" customWidth="1"/>
    <col min="8471" max="8708" width="9.140625" style="13"/>
    <col min="8709" max="8709" width="2.85546875" style="13" customWidth="1"/>
    <col min="8710" max="8710" width="19.140625" style="13" customWidth="1"/>
    <col min="8711" max="8715" width="2.85546875" style="13" customWidth="1"/>
    <col min="8716" max="8716" width="5.42578125" style="13" customWidth="1"/>
    <col min="8717" max="8717" width="6.5703125" style="13" customWidth="1"/>
    <col min="8718" max="8718" width="2.85546875" style="13" customWidth="1"/>
    <col min="8719" max="8719" width="12.5703125" style="13" customWidth="1"/>
    <col min="8720" max="8725" width="2.85546875" style="13" customWidth="1"/>
    <col min="8726" max="8726" width="5" style="13" customWidth="1"/>
    <col min="8727" max="8964" width="9.140625" style="13"/>
    <col min="8965" max="8965" width="2.85546875" style="13" customWidth="1"/>
    <col min="8966" max="8966" width="19.140625" style="13" customWidth="1"/>
    <col min="8967" max="8971" width="2.85546875" style="13" customWidth="1"/>
    <col min="8972" max="8972" width="5.42578125" style="13" customWidth="1"/>
    <col min="8973" max="8973" width="6.5703125" style="13" customWidth="1"/>
    <col min="8974" max="8974" width="2.85546875" style="13" customWidth="1"/>
    <col min="8975" max="8975" width="12.5703125" style="13" customWidth="1"/>
    <col min="8976" max="8981" width="2.85546875" style="13" customWidth="1"/>
    <col min="8982" max="8982" width="5" style="13" customWidth="1"/>
    <col min="8983" max="9220" width="9.140625" style="13"/>
    <col min="9221" max="9221" width="2.85546875" style="13" customWidth="1"/>
    <col min="9222" max="9222" width="19.140625" style="13" customWidth="1"/>
    <col min="9223" max="9227" width="2.85546875" style="13" customWidth="1"/>
    <col min="9228" max="9228" width="5.42578125" style="13" customWidth="1"/>
    <col min="9229" max="9229" width="6.5703125" style="13" customWidth="1"/>
    <col min="9230" max="9230" width="2.85546875" style="13" customWidth="1"/>
    <col min="9231" max="9231" width="12.5703125" style="13" customWidth="1"/>
    <col min="9232" max="9237" width="2.85546875" style="13" customWidth="1"/>
    <col min="9238" max="9238" width="5" style="13" customWidth="1"/>
    <col min="9239" max="9476" width="9.140625" style="13"/>
    <col min="9477" max="9477" width="2.85546875" style="13" customWidth="1"/>
    <col min="9478" max="9478" width="19.140625" style="13" customWidth="1"/>
    <col min="9479" max="9483" width="2.85546875" style="13" customWidth="1"/>
    <col min="9484" max="9484" width="5.42578125" style="13" customWidth="1"/>
    <col min="9485" max="9485" width="6.5703125" style="13" customWidth="1"/>
    <col min="9486" max="9486" width="2.85546875" style="13" customWidth="1"/>
    <col min="9487" max="9487" width="12.5703125" style="13" customWidth="1"/>
    <col min="9488" max="9493" width="2.85546875" style="13" customWidth="1"/>
    <col min="9494" max="9494" width="5" style="13" customWidth="1"/>
    <col min="9495" max="9732" width="9.140625" style="13"/>
    <col min="9733" max="9733" width="2.85546875" style="13" customWidth="1"/>
    <col min="9734" max="9734" width="19.140625" style="13" customWidth="1"/>
    <col min="9735" max="9739" width="2.85546875" style="13" customWidth="1"/>
    <col min="9740" max="9740" width="5.42578125" style="13" customWidth="1"/>
    <col min="9741" max="9741" width="6.5703125" style="13" customWidth="1"/>
    <col min="9742" max="9742" width="2.85546875" style="13" customWidth="1"/>
    <col min="9743" max="9743" width="12.5703125" style="13" customWidth="1"/>
    <col min="9744" max="9749" width="2.85546875" style="13" customWidth="1"/>
    <col min="9750" max="9750" width="5" style="13" customWidth="1"/>
    <col min="9751" max="9988" width="9.140625" style="13"/>
    <col min="9989" max="9989" width="2.85546875" style="13" customWidth="1"/>
    <col min="9990" max="9990" width="19.140625" style="13" customWidth="1"/>
    <col min="9991" max="9995" width="2.85546875" style="13" customWidth="1"/>
    <col min="9996" max="9996" width="5.42578125" style="13" customWidth="1"/>
    <col min="9997" max="9997" width="6.5703125" style="13" customWidth="1"/>
    <col min="9998" max="9998" width="2.85546875" style="13" customWidth="1"/>
    <col min="9999" max="9999" width="12.5703125" style="13" customWidth="1"/>
    <col min="10000" max="10005" width="2.85546875" style="13" customWidth="1"/>
    <col min="10006" max="10006" width="5" style="13" customWidth="1"/>
    <col min="10007" max="10244" width="9.140625" style="13"/>
    <col min="10245" max="10245" width="2.85546875" style="13" customWidth="1"/>
    <col min="10246" max="10246" width="19.140625" style="13" customWidth="1"/>
    <col min="10247" max="10251" width="2.85546875" style="13" customWidth="1"/>
    <col min="10252" max="10252" width="5.42578125" style="13" customWidth="1"/>
    <col min="10253" max="10253" width="6.5703125" style="13" customWidth="1"/>
    <col min="10254" max="10254" width="2.85546875" style="13" customWidth="1"/>
    <col min="10255" max="10255" width="12.5703125" style="13" customWidth="1"/>
    <col min="10256" max="10261" width="2.85546875" style="13" customWidth="1"/>
    <col min="10262" max="10262" width="5" style="13" customWidth="1"/>
    <col min="10263" max="10500" width="9.140625" style="13"/>
    <col min="10501" max="10501" width="2.85546875" style="13" customWidth="1"/>
    <col min="10502" max="10502" width="19.140625" style="13" customWidth="1"/>
    <col min="10503" max="10507" width="2.85546875" style="13" customWidth="1"/>
    <col min="10508" max="10508" width="5.42578125" style="13" customWidth="1"/>
    <col min="10509" max="10509" width="6.5703125" style="13" customWidth="1"/>
    <col min="10510" max="10510" width="2.85546875" style="13" customWidth="1"/>
    <col min="10511" max="10511" width="12.5703125" style="13" customWidth="1"/>
    <col min="10512" max="10517" width="2.85546875" style="13" customWidth="1"/>
    <col min="10518" max="10518" width="5" style="13" customWidth="1"/>
    <col min="10519" max="10756" width="9.140625" style="13"/>
    <col min="10757" max="10757" width="2.85546875" style="13" customWidth="1"/>
    <col min="10758" max="10758" width="19.140625" style="13" customWidth="1"/>
    <col min="10759" max="10763" width="2.85546875" style="13" customWidth="1"/>
    <col min="10764" max="10764" width="5.42578125" style="13" customWidth="1"/>
    <col min="10765" max="10765" width="6.5703125" style="13" customWidth="1"/>
    <col min="10766" max="10766" width="2.85546875" style="13" customWidth="1"/>
    <col min="10767" max="10767" width="12.5703125" style="13" customWidth="1"/>
    <col min="10768" max="10773" width="2.85546875" style="13" customWidth="1"/>
    <col min="10774" max="10774" width="5" style="13" customWidth="1"/>
    <col min="10775" max="11012" width="9.140625" style="13"/>
    <col min="11013" max="11013" width="2.85546875" style="13" customWidth="1"/>
    <col min="11014" max="11014" width="19.140625" style="13" customWidth="1"/>
    <col min="11015" max="11019" width="2.85546875" style="13" customWidth="1"/>
    <col min="11020" max="11020" width="5.42578125" style="13" customWidth="1"/>
    <col min="11021" max="11021" width="6.5703125" style="13" customWidth="1"/>
    <col min="11022" max="11022" width="2.85546875" style="13" customWidth="1"/>
    <col min="11023" max="11023" width="12.5703125" style="13" customWidth="1"/>
    <col min="11024" max="11029" width="2.85546875" style="13" customWidth="1"/>
    <col min="11030" max="11030" width="5" style="13" customWidth="1"/>
    <col min="11031" max="11268" width="9.140625" style="13"/>
    <col min="11269" max="11269" width="2.85546875" style="13" customWidth="1"/>
    <col min="11270" max="11270" width="19.140625" style="13" customWidth="1"/>
    <col min="11271" max="11275" width="2.85546875" style="13" customWidth="1"/>
    <col min="11276" max="11276" width="5.42578125" style="13" customWidth="1"/>
    <col min="11277" max="11277" width="6.5703125" style="13" customWidth="1"/>
    <col min="11278" max="11278" width="2.85546875" style="13" customWidth="1"/>
    <col min="11279" max="11279" width="12.5703125" style="13" customWidth="1"/>
    <col min="11280" max="11285" width="2.85546875" style="13" customWidth="1"/>
    <col min="11286" max="11286" width="5" style="13" customWidth="1"/>
    <col min="11287" max="11524" width="9.140625" style="13"/>
    <col min="11525" max="11525" width="2.85546875" style="13" customWidth="1"/>
    <col min="11526" max="11526" width="19.140625" style="13" customWidth="1"/>
    <col min="11527" max="11531" width="2.85546875" style="13" customWidth="1"/>
    <col min="11532" max="11532" width="5.42578125" style="13" customWidth="1"/>
    <col min="11533" max="11533" width="6.5703125" style="13" customWidth="1"/>
    <col min="11534" max="11534" width="2.85546875" style="13" customWidth="1"/>
    <col min="11535" max="11535" width="12.5703125" style="13" customWidth="1"/>
    <col min="11536" max="11541" width="2.85546875" style="13" customWidth="1"/>
    <col min="11542" max="11542" width="5" style="13" customWidth="1"/>
    <col min="11543" max="11780" width="9.140625" style="13"/>
    <col min="11781" max="11781" width="2.85546875" style="13" customWidth="1"/>
    <col min="11782" max="11782" width="19.140625" style="13" customWidth="1"/>
    <col min="11783" max="11787" width="2.85546875" style="13" customWidth="1"/>
    <col min="11788" max="11788" width="5.42578125" style="13" customWidth="1"/>
    <col min="11789" max="11789" width="6.5703125" style="13" customWidth="1"/>
    <col min="11790" max="11790" width="2.85546875" style="13" customWidth="1"/>
    <col min="11791" max="11791" width="12.5703125" style="13" customWidth="1"/>
    <col min="11792" max="11797" width="2.85546875" style="13" customWidth="1"/>
    <col min="11798" max="11798" width="5" style="13" customWidth="1"/>
    <col min="11799" max="12036" width="9.140625" style="13"/>
    <col min="12037" max="12037" width="2.85546875" style="13" customWidth="1"/>
    <col min="12038" max="12038" width="19.140625" style="13" customWidth="1"/>
    <col min="12039" max="12043" width="2.85546875" style="13" customWidth="1"/>
    <col min="12044" max="12044" width="5.42578125" style="13" customWidth="1"/>
    <col min="12045" max="12045" width="6.5703125" style="13" customWidth="1"/>
    <col min="12046" max="12046" width="2.85546875" style="13" customWidth="1"/>
    <col min="12047" max="12047" width="12.5703125" style="13" customWidth="1"/>
    <col min="12048" max="12053" width="2.85546875" style="13" customWidth="1"/>
    <col min="12054" max="12054" width="5" style="13" customWidth="1"/>
    <col min="12055" max="12292" width="9.140625" style="13"/>
    <col min="12293" max="12293" width="2.85546875" style="13" customWidth="1"/>
    <col min="12294" max="12294" width="19.140625" style="13" customWidth="1"/>
    <col min="12295" max="12299" width="2.85546875" style="13" customWidth="1"/>
    <col min="12300" max="12300" width="5.42578125" style="13" customWidth="1"/>
    <col min="12301" max="12301" width="6.5703125" style="13" customWidth="1"/>
    <col min="12302" max="12302" width="2.85546875" style="13" customWidth="1"/>
    <col min="12303" max="12303" width="12.5703125" style="13" customWidth="1"/>
    <col min="12304" max="12309" width="2.85546875" style="13" customWidth="1"/>
    <col min="12310" max="12310" width="5" style="13" customWidth="1"/>
    <col min="12311" max="12548" width="9.140625" style="13"/>
    <col min="12549" max="12549" width="2.85546875" style="13" customWidth="1"/>
    <col min="12550" max="12550" width="19.140625" style="13" customWidth="1"/>
    <col min="12551" max="12555" width="2.85546875" style="13" customWidth="1"/>
    <col min="12556" max="12556" width="5.42578125" style="13" customWidth="1"/>
    <col min="12557" max="12557" width="6.5703125" style="13" customWidth="1"/>
    <col min="12558" max="12558" width="2.85546875" style="13" customWidth="1"/>
    <col min="12559" max="12559" width="12.5703125" style="13" customWidth="1"/>
    <col min="12560" max="12565" width="2.85546875" style="13" customWidth="1"/>
    <col min="12566" max="12566" width="5" style="13" customWidth="1"/>
    <col min="12567" max="12804" width="9.140625" style="13"/>
    <col min="12805" max="12805" width="2.85546875" style="13" customWidth="1"/>
    <col min="12806" max="12806" width="19.140625" style="13" customWidth="1"/>
    <col min="12807" max="12811" width="2.85546875" style="13" customWidth="1"/>
    <col min="12812" max="12812" width="5.42578125" style="13" customWidth="1"/>
    <col min="12813" max="12813" width="6.5703125" style="13" customWidth="1"/>
    <col min="12814" max="12814" width="2.85546875" style="13" customWidth="1"/>
    <col min="12815" max="12815" width="12.5703125" style="13" customWidth="1"/>
    <col min="12816" max="12821" width="2.85546875" style="13" customWidth="1"/>
    <col min="12822" max="12822" width="5" style="13" customWidth="1"/>
    <col min="12823" max="13060" width="9.140625" style="13"/>
    <col min="13061" max="13061" width="2.85546875" style="13" customWidth="1"/>
    <col min="13062" max="13062" width="19.140625" style="13" customWidth="1"/>
    <col min="13063" max="13067" width="2.85546875" style="13" customWidth="1"/>
    <col min="13068" max="13068" width="5.42578125" style="13" customWidth="1"/>
    <col min="13069" max="13069" width="6.5703125" style="13" customWidth="1"/>
    <col min="13070" max="13070" width="2.85546875" style="13" customWidth="1"/>
    <col min="13071" max="13071" width="12.5703125" style="13" customWidth="1"/>
    <col min="13072" max="13077" width="2.85546875" style="13" customWidth="1"/>
    <col min="13078" max="13078" width="5" style="13" customWidth="1"/>
    <col min="13079" max="13316" width="9.140625" style="13"/>
    <col min="13317" max="13317" width="2.85546875" style="13" customWidth="1"/>
    <col min="13318" max="13318" width="19.140625" style="13" customWidth="1"/>
    <col min="13319" max="13323" width="2.85546875" style="13" customWidth="1"/>
    <col min="13324" max="13324" width="5.42578125" style="13" customWidth="1"/>
    <col min="13325" max="13325" width="6.5703125" style="13" customWidth="1"/>
    <col min="13326" max="13326" width="2.85546875" style="13" customWidth="1"/>
    <col min="13327" max="13327" width="12.5703125" style="13" customWidth="1"/>
    <col min="13328" max="13333" width="2.85546875" style="13" customWidth="1"/>
    <col min="13334" max="13334" width="5" style="13" customWidth="1"/>
    <col min="13335" max="13572" width="9.140625" style="13"/>
    <col min="13573" max="13573" width="2.85546875" style="13" customWidth="1"/>
    <col min="13574" max="13574" width="19.140625" style="13" customWidth="1"/>
    <col min="13575" max="13579" width="2.85546875" style="13" customWidth="1"/>
    <col min="13580" max="13580" width="5.42578125" style="13" customWidth="1"/>
    <col min="13581" max="13581" width="6.5703125" style="13" customWidth="1"/>
    <col min="13582" max="13582" width="2.85546875" style="13" customWidth="1"/>
    <col min="13583" max="13583" width="12.5703125" style="13" customWidth="1"/>
    <col min="13584" max="13589" width="2.85546875" style="13" customWidth="1"/>
    <col min="13590" max="13590" width="5" style="13" customWidth="1"/>
    <col min="13591" max="13828" width="9.140625" style="13"/>
    <col min="13829" max="13829" width="2.85546875" style="13" customWidth="1"/>
    <col min="13830" max="13830" width="19.140625" style="13" customWidth="1"/>
    <col min="13831" max="13835" width="2.85546875" style="13" customWidth="1"/>
    <col min="13836" max="13836" width="5.42578125" style="13" customWidth="1"/>
    <col min="13837" max="13837" width="6.5703125" style="13" customWidth="1"/>
    <col min="13838" max="13838" width="2.85546875" style="13" customWidth="1"/>
    <col min="13839" max="13839" width="12.5703125" style="13" customWidth="1"/>
    <col min="13840" max="13845" width="2.85546875" style="13" customWidth="1"/>
    <col min="13846" max="13846" width="5" style="13" customWidth="1"/>
    <col min="13847" max="14084" width="9.140625" style="13"/>
    <col min="14085" max="14085" width="2.85546875" style="13" customWidth="1"/>
    <col min="14086" max="14086" width="19.140625" style="13" customWidth="1"/>
    <col min="14087" max="14091" width="2.85546875" style="13" customWidth="1"/>
    <col min="14092" max="14092" width="5.42578125" style="13" customWidth="1"/>
    <col min="14093" max="14093" width="6.5703125" style="13" customWidth="1"/>
    <col min="14094" max="14094" width="2.85546875" style="13" customWidth="1"/>
    <col min="14095" max="14095" width="12.5703125" style="13" customWidth="1"/>
    <col min="14096" max="14101" width="2.85546875" style="13" customWidth="1"/>
    <col min="14102" max="14102" width="5" style="13" customWidth="1"/>
    <col min="14103" max="14340" width="9.140625" style="13"/>
    <col min="14341" max="14341" width="2.85546875" style="13" customWidth="1"/>
    <col min="14342" max="14342" width="19.140625" style="13" customWidth="1"/>
    <col min="14343" max="14347" width="2.85546875" style="13" customWidth="1"/>
    <col min="14348" max="14348" width="5.42578125" style="13" customWidth="1"/>
    <col min="14349" max="14349" width="6.5703125" style="13" customWidth="1"/>
    <col min="14350" max="14350" width="2.85546875" style="13" customWidth="1"/>
    <col min="14351" max="14351" width="12.5703125" style="13" customWidth="1"/>
    <col min="14352" max="14357" width="2.85546875" style="13" customWidth="1"/>
    <col min="14358" max="14358" width="5" style="13" customWidth="1"/>
    <col min="14359" max="14596" width="9.140625" style="13"/>
    <col min="14597" max="14597" width="2.85546875" style="13" customWidth="1"/>
    <col min="14598" max="14598" width="19.140625" style="13" customWidth="1"/>
    <col min="14599" max="14603" width="2.85546875" style="13" customWidth="1"/>
    <col min="14604" max="14604" width="5.42578125" style="13" customWidth="1"/>
    <col min="14605" max="14605" width="6.5703125" style="13" customWidth="1"/>
    <col min="14606" max="14606" width="2.85546875" style="13" customWidth="1"/>
    <col min="14607" max="14607" width="12.5703125" style="13" customWidth="1"/>
    <col min="14608" max="14613" width="2.85546875" style="13" customWidth="1"/>
    <col min="14614" max="14614" width="5" style="13" customWidth="1"/>
    <col min="14615" max="14852" width="9.140625" style="13"/>
    <col min="14853" max="14853" width="2.85546875" style="13" customWidth="1"/>
    <col min="14854" max="14854" width="19.140625" style="13" customWidth="1"/>
    <col min="14855" max="14859" width="2.85546875" style="13" customWidth="1"/>
    <col min="14860" max="14860" width="5.42578125" style="13" customWidth="1"/>
    <col min="14861" max="14861" width="6.5703125" style="13" customWidth="1"/>
    <col min="14862" max="14862" width="2.85546875" style="13" customWidth="1"/>
    <col min="14863" max="14863" width="12.5703125" style="13" customWidth="1"/>
    <col min="14864" max="14869" width="2.85546875" style="13" customWidth="1"/>
    <col min="14870" max="14870" width="5" style="13" customWidth="1"/>
    <col min="14871" max="15108" width="9.140625" style="13"/>
    <col min="15109" max="15109" width="2.85546875" style="13" customWidth="1"/>
    <col min="15110" max="15110" width="19.140625" style="13" customWidth="1"/>
    <col min="15111" max="15115" width="2.85546875" style="13" customWidth="1"/>
    <col min="15116" max="15116" width="5.42578125" style="13" customWidth="1"/>
    <col min="15117" max="15117" width="6.5703125" style="13" customWidth="1"/>
    <col min="15118" max="15118" width="2.85546875" style="13" customWidth="1"/>
    <col min="15119" max="15119" width="12.5703125" style="13" customWidth="1"/>
    <col min="15120" max="15125" width="2.85546875" style="13" customWidth="1"/>
    <col min="15126" max="15126" width="5" style="13" customWidth="1"/>
    <col min="15127" max="15364" width="9.140625" style="13"/>
    <col min="15365" max="15365" width="2.85546875" style="13" customWidth="1"/>
    <col min="15366" max="15366" width="19.140625" style="13" customWidth="1"/>
    <col min="15367" max="15371" width="2.85546875" style="13" customWidth="1"/>
    <col min="15372" max="15372" width="5.42578125" style="13" customWidth="1"/>
    <col min="15373" max="15373" width="6.5703125" style="13" customWidth="1"/>
    <col min="15374" max="15374" width="2.85546875" style="13" customWidth="1"/>
    <col min="15375" max="15375" width="12.5703125" style="13" customWidth="1"/>
    <col min="15376" max="15381" width="2.85546875" style="13" customWidth="1"/>
    <col min="15382" max="15382" width="5" style="13" customWidth="1"/>
    <col min="15383" max="15620" width="9.140625" style="13"/>
    <col min="15621" max="15621" width="2.85546875" style="13" customWidth="1"/>
    <col min="15622" max="15622" width="19.140625" style="13" customWidth="1"/>
    <col min="15623" max="15627" width="2.85546875" style="13" customWidth="1"/>
    <col min="15628" max="15628" width="5.42578125" style="13" customWidth="1"/>
    <col min="15629" max="15629" width="6.5703125" style="13" customWidth="1"/>
    <col min="15630" max="15630" width="2.85546875" style="13" customWidth="1"/>
    <col min="15631" max="15631" width="12.5703125" style="13" customWidth="1"/>
    <col min="15632" max="15637" width="2.85546875" style="13" customWidth="1"/>
    <col min="15638" max="15638" width="5" style="13" customWidth="1"/>
    <col min="15639" max="15876" width="9.140625" style="13"/>
    <col min="15877" max="15877" width="2.85546875" style="13" customWidth="1"/>
    <col min="15878" max="15878" width="19.140625" style="13" customWidth="1"/>
    <col min="15879" max="15883" width="2.85546875" style="13" customWidth="1"/>
    <col min="15884" max="15884" width="5.42578125" style="13" customWidth="1"/>
    <col min="15885" max="15885" width="6.5703125" style="13" customWidth="1"/>
    <col min="15886" max="15886" width="2.85546875" style="13" customWidth="1"/>
    <col min="15887" max="15887" width="12.5703125" style="13" customWidth="1"/>
    <col min="15888" max="15893" width="2.85546875" style="13" customWidth="1"/>
    <col min="15894" max="15894" width="5" style="13" customWidth="1"/>
    <col min="15895" max="16132" width="9.140625" style="13"/>
    <col min="16133" max="16133" width="2.85546875" style="13" customWidth="1"/>
    <col min="16134" max="16134" width="19.140625" style="13" customWidth="1"/>
    <col min="16135" max="16139" width="2.85546875" style="13" customWidth="1"/>
    <col min="16140" max="16140" width="5.42578125" style="13" customWidth="1"/>
    <col min="16141" max="16141" width="6.5703125" style="13" customWidth="1"/>
    <col min="16142" max="16142" width="2.85546875" style="13" customWidth="1"/>
    <col min="16143" max="16143" width="12.5703125" style="13" customWidth="1"/>
    <col min="16144" max="16149" width="2.85546875" style="13" customWidth="1"/>
    <col min="16150" max="16150" width="5" style="13" customWidth="1"/>
    <col min="16151" max="16384" width="9.140625" style="13"/>
  </cols>
  <sheetData>
    <row r="1" spans="1:31" ht="18">
      <c r="A1" s="40" t="s">
        <v>130</v>
      </c>
      <c r="B1" s="100"/>
      <c r="C1" s="101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69" t="s">
        <v>47</v>
      </c>
      <c r="S1" s="40" t="s">
        <v>135</v>
      </c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43" t="s">
        <v>14</v>
      </c>
    </row>
    <row r="2" spans="1:31">
      <c r="S2" s="8"/>
      <c r="T2" s="12"/>
      <c r="U2" s="12"/>
      <c r="V2"/>
      <c r="W2" s="8"/>
      <c r="X2" s="10"/>
      <c r="Y2" s="8"/>
      <c r="Z2" s="12"/>
      <c r="AA2"/>
      <c r="AB2" s="8"/>
      <c r="AC2" s="10"/>
      <c r="AD2" s="8"/>
      <c r="AE2" s="8"/>
    </row>
    <row r="3" spans="1:31">
      <c r="S3" s="44"/>
      <c r="T3" s="45" t="s">
        <v>15</v>
      </c>
      <c r="U3" s="61">
        <v>10</v>
      </c>
      <c r="V3" s="61">
        <v>10</v>
      </c>
      <c r="W3" s="61">
        <v>8</v>
      </c>
      <c r="X3" s="61">
        <v>7</v>
      </c>
      <c r="Y3" s="61">
        <v>6</v>
      </c>
      <c r="Z3" s="61">
        <v>6</v>
      </c>
      <c r="AA3" s="61">
        <v>4</v>
      </c>
      <c r="AB3" s="61">
        <v>4</v>
      </c>
      <c r="AC3" s="61">
        <v>4</v>
      </c>
      <c r="AD3" s="61">
        <v>1</v>
      </c>
      <c r="AE3" s="61" t="s">
        <v>16</v>
      </c>
    </row>
    <row r="4" spans="1:31">
      <c r="A4" s="102" t="s">
        <v>41</v>
      </c>
      <c r="B4" s="103"/>
      <c r="C4" s="104"/>
      <c r="D4" s="103"/>
      <c r="F4" s="102" t="s">
        <v>42</v>
      </c>
      <c r="G4" s="103"/>
      <c r="H4" s="104"/>
      <c r="I4" s="104"/>
      <c r="J4" s="104"/>
      <c r="K4" s="104"/>
      <c r="L4" s="104"/>
      <c r="M4" s="104"/>
      <c r="N4" s="104"/>
      <c r="O4" s="104"/>
      <c r="P4" s="104"/>
      <c r="Q4" s="103"/>
      <c r="S4" s="47">
        <v>1</v>
      </c>
      <c r="T4" s="62" t="s">
        <v>247</v>
      </c>
      <c r="U4" s="49">
        <v>0</v>
      </c>
      <c r="V4" s="49">
        <v>0</v>
      </c>
      <c r="W4" s="49">
        <v>0</v>
      </c>
      <c r="X4" s="49">
        <v>0</v>
      </c>
      <c r="Y4" s="49">
        <v>4</v>
      </c>
      <c r="Z4" s="49">
        <v>0</v>
      </c>
      <c r="AA4" s="49">
        <v>0</v>
      </c>
      <c r="AB4" s="49">
        <v>0</v>
      </c>
      <c r="AC4" s="49">
        <v>1</v>
      </c>
      <c r="AD4" s="49">
        <v>0</v>
      </c>
      <c r="AE4" s="56">
        <f t="shared" ref="AE4:AE22" si="0">SUMPRODUCT($U$3:$AD$3,U4:AD4)</f>
        <v>28</v>
      </c>
    </row>
    <row r="5" spans="1:31">
      <c r="A5" s="105"/>
      <c r="B5" s="105"/>
      <c r="C5" s="106" t="s">
        <v>77</v>
      </c>
      <c r="D5" s="107" t="s">
        <v>43</v>
      </c>
      <c r="F5" s="105"/>
      <c r="G5" s="105"/>
      <c r="H5" s="106" t="s">
        <v>80</v>
      </c>
      <c r="I5" s="106" t="s">
        <v>81</v>
      </c>
      <c r="J5" s="106" t="s">
        <v>82</v>
      </c>
      <c r="K5" s="108" t="s">
        <v>83</v>
      </c>
      <c r="L5" s="108" t="s">
        <v>84</v>
      </c>
      <c r="M5" s="108" t="s">
        <v>85</v>
      </c>
      <c r="N5" s="108" t="s">
        <v>86</v>
      </c>
      <c r="O5" s="106" t="s">
        <v>79</v>
      </c>
      <c r="P5" s="106" t="s">
        <v>44</v>
      </c>
      <c r="Q5" s="107" t="s">
        <v>45</v>
      </c>
      <c r="S5" s="51">
        <v>2</v>
      </c>
      <c r="T5" s="52" t="s">
        <v>228</v>
      </c>
      <c r="U5" s="49">
        <v>0</v>
      </c>
      <c r="V5" s="49">
        <v>0</v>
      </c>
      <c r="W5" s="49">
        <v>0</v>
      </c>
      <c r="X5" s="49">
        <v>3</v>
      </c>
      <c r="Y5" s="49">
        <v>0</v>
      </c>
      <c r="Z5" s="49">
        <v>0</v>
      </c>
      <c r="AA5" s="49">
        <v>0</v>
      </c>
      <c r="AB5" s="49">
        <v>1</v>
      </c>
      <c r="AC5" s="49">
        <v>0</v>
      </c>
      <c r="AD5" s="49">
        <v>0</v>
      </c>
      <c r="AE5" s="57">
        <f t="shared" si="0"/>
        <v>25</v>
      </c>
    </row>
    <row r="6" spans="1:31">
      <c r="A6" s="17">
        <v>1</v>
      </c>
      <c r="B6" s="16" t="s">
        <v>182</v>
      </c>
      <c r="C6" s="22">
        <v>18</v>
      </c>
      <c r="D6" s="17">
        <f>INDEX('Результаты матчей'!$N$2:$R$65,C6,5)</f>
        <v>0</v>
      </c>
      <c r="F6" s="17">
        <v>1</v>
      </c>
      <c r="G6" s="16" t="s">
        <v>68</v>
      </c>
      <c r="H6" s="22">
        <v>12</v>
      </c>
      <c r="I6" s="22">
        <v>6</v>
      </c>
      <c r="J6" s="22">
        <v>5</v>
      </c>
      <c r="K6" s="22" t="s">
        <v>13</v>
      </c>
      <c r="L6" s="22" t="s">
        <v>13</v>
      </c>
      <c r="M6" s="22" t="s">
        <v>13</v>
      </c>
      <c r="N6" s="22" t="s">
        <v>13</v>
      </c>
      <c r="O6" s="15">
        <f>SUM(H6:N6)</f>
        <v>23</v>
      </c>
      <c r="P6" s="15">
        <f>7-COUNTIF(H6:N6,"-")</f>
        <v>3</v>
      </c>
      <c r="Q6" s="24">
        <f>IF(P6=0,"-",O6/P6)</f>
        <v>7.666666666666667</v>
      </c>
      <c r="S6" s="51">
        <v>3</v>
      </c>
      <c r="T6" s="52" t="s">
        <v>128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4</v>
      </c>
      <c r="AB6" s="49">
        <v>1</v>
      </c>
      <c r="AC6" s="49">
        <v>1</v>
      </c>
      <c r="AD6" s="49">
        <v>0</v>
      </c>
      <c r="AE6" s="57">
        <f t="shared" si="0"/>
        <v>24</v>
      </c>
    </row>
    <row r="7" spans="1:31">
      <c r="A7" s="17">
        <v>2</v>
      </c>
      <c r="B7" s="16" t="s">
        <v>198</v>
      </c>
      <c r="C7" s="22">
        <v>35</v>
      </c>
      <c r="D7" s="17">
        <f>INDEX('Результаты матчей'!$N$2:$R$65,C7,5)</f>
        <v>0</v>
      </c>
      <c r="F7" s="17">
        <v>2</v>
      </c>
      <c r="G7" s="16" t="s">
        <v>150</v>
      </c>
      <c r="H7" s="22">
        <v>2</v>
      </c>
      <c r="I7" s="22">
        <v>21</v>
      </c>
      <c r="J7" s="22">
        <v>8</v>
      </c>
      <c r="K7" s="22" t="s">
        <v>13</v>
      </c>
      <c r="L7" s="22" t="s">
        <v>13</v>
      </c>
      <c r="M7" s="22" t="s">
        <v>13</v>
      </c>
      <c r="N7" s="22" t="s">
        <v>13</v>
      </c>
      <c r="O7" s="15">
        <f>SUM(H7:N7)</f>
        <v>31</v>
      </c>
      <c r="P7" s="15">
        <f>7-COUNTIF(H7:N7,"-")</f>
        <v>3</v>
      </c>
      <c r="Q7" s="24">
        <f>IF(P7=0,"-",O7/P7)</f>
        <v>10.333333333333334</v>
      </c>
      <c r="S7" s="51">
        <v>4</v>
      </c>
      <c r="T7" s="55" t="s">
        <v>124</v>
      </c>
      <c r="U7" s="49">
        <v>0</v>
      </c>
      <c r="V7" s="49">
        <v>0</v>
      </c>
      <c r="W7" s="49">
        <v>1</v>
      </c>
      <c r="X7" s="49">
        <v>0</v>
      </c>
      <c r="Y7" s="49">
        <v>0</v>
      </c>
      <c r="Z7" s="49">
        <v>1</v>
      </c>
      <c r="AA7" s="49">
        <v>0</v>
      </c>
      <c r="AB7" s="49">
        <v>0</v>
      </c>
      <c r="AC7" s="49">
        <v>0</v>
      </c>
      <c r="AD7" s="49">
        <v>0</v>
      </c>
      <c r="AE7" s="57">
        <f t="shared" si="0"/>
        <v>14</v>
      </c>
    </row>
    <row r="8" spans="1:31">
      <c r="A8" s="17">
        <v>3</v>
      </c>
      <c r="B8" s="16" t="s">
        <v>175</v>
      </c>
      <c r="C8" s="22">
        <v>11</v>
      </c>
      <c r="D8" s="17">
        <f>INDEX('Результаты матчей'!$N$2:$R$65,C8,5)</f>
        <v>2</v>
      </c>
      <c r="F8" s="17">
        <v>3</v>
      </c>
      <c r="G8" s="16" t="s">
        <v>151</v>
      </c>
      <c r="H8" s="22">
        <v>2</v>
      </c>
      <c r="I8" s="22">
        <v>27</v>
      </c>
      <c r="J8" s="22">
        <v>3</v>
      </c>
      <c r="K8" s="22">
        <v>12</v>
      </c>
      <c r="L8" s="22" t="s">
        <v>13</v>
      </c>
      <c r="M8" s="22" t="s">
        <v>13</v>
      </c>
      <c r="N8" s="22" t="s">
        <v>13</v>
      </c>
      <c r="O8" s="15">
        <f>SUM(H8:N8)</f>
        <v>44</v>
      </c>
      <c r="P8" s="15">
        <f>7-COUNTIF(H8:N8,"-")</f>
        <v>4</v>
      </c>
      <c r="Q8" s="24">
        <f>IF(P8=0,"-",O8/P8)</f>
        <v>11</v>
      </c>
      <c r="S8" s="51">
        <v>5</v>
      </c>
      <c r="T8" s="52" t="s">
        <v>234</v>
      </c>
      <c r="U8" s="49">
        <v>0</v>
      </c>
      <c r="V8" s="49">
        <v>0</v>
      </c>
      <c r="W8" s="49">
        <v>1</v>
      </c>
      <c r="X8" s="49">
        <v>0</v>
      </c>
      <c r="Y8" s="49">
        <v>0</v>
      </c>
      <c r="Z8" s="49">
        <v>0</v>
      </c>
      <c r="AA8" s="49">
        <v>1</v>
      </c>
      <c r="AB8" s="49">
        <v>0</v>
      </c>
      <c r="AC8" s="49">
        <v>0</v>
      </c>
      <c r="AD8" s="49">
        <v>0</v>
      </c>
      <c r="AE8" s="57">
        <f t="shared" si="0"/>
        <v>12</v>
      </c>
    </row>
    <row r="9" spans="1:31">
      <c r="A9" s="17">
        <v>4</v>
      </c>
      <c r="B9" s="16" t="s">
        <v>197</v>
      </c>
      <c r="C9" s="22">
        <v>34</v>
      </c>
      <c r="D9" s="17">
        <f>INDEX('Результаты матчей'!$N$2:$R$65,C9,5)</f>
        <v>3</v>
      </c>
      <c r="F9" s="17">
        <v>4</v>
      </c>
      <c r="G9" s="16" t="s">
        <v>1</v>
      </c>
      <c r="H9" s="22">
        <v>9</v>
      </c>
      <c r="I9" s="22">
        <v>21</v>
      </c>
      <c r="J9" s="22">
        <v>3</v>
      </c>
      <c r="K9" s="22">
        <v>24</v>
      </c>
      <c r="L9" s="22">
        <v>24</v>
      </c>
      <c r="M9" s="22">
        <v>7</v>
      </c>
      <c r="N9" s="22">
        <v>17</v>
      </c>
      <c r="O9" s="148">
        <f>SUM(H9:N9)</f>
        <v>105</v>
      </c>
      <c r="P9" s="15">
        <f>7-COUNTIF(H9:N9,"-")</f>
        <v>7</v>
      </c>
      <c r="Q9" s="24">
        <f>IF(P9=0,"-",O9/P9)</f>
        <v>15</v>
      </c>
      <c r="S9" s="51">
        <v>6</v>
      </c>
      <c r="T9" s="52" t="s">
        <v>120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49">
        <v>1</v>
      </c>
      <c r="AA9" s="49">
        <v>0</v>
      </c>
      <c r="AB9" s="49">
        <v>1</v>
      </c>
      <c r="AC9" s="49">
        <v>0</v>
      </c>
      <c r="AD9" s="49">
        <v>0</v>
      </c>
      <c r="AE9" s="57">
        <f t="shared" si="0"/>
        <v>10</v>
      </c>
    </row>
    <row r="10" spans="1:31">
      <c r="A10" s="17">
        <v>5</v>
      </c>
      <c r="B10" s="16" t="s">
        <v>195</v>
      </c>
      <c r="C10" s="22">
        <v>32</v>
      </c>
      <c r="D10" s="17">
        <f>INDEX('Результаты матчей'!$N$2:$R$65,C10,5)</f>
        <v>4</v>
      </c>
      <c r="F10" s="17">
        <v>5</v>
      </c>
      <c r="G10" s="16" t="s">
        <v>152</v>
      </c>
      <c r="H10" s="22">
        <v>9</v>
      </c>
      <c r="I10" s="22">
        <v>27</v>
      </c>
      <c r="J10" s="22">
        <v>8</v>
      </c>
      <c r="K10" s="22">
        <v>16</v>
      </c>
      <c r="L10" s="22">
        <v>16</v>
      </c>
      <c r="M10" s="22" t="s">
        <v>13</v>
      </c>
      <c r="N10" s="22" t="s">
        <v>13</v>
      </c>
      <c r="O10" s="15">
        <f>SUM(H10:N10)</f>
        <v>76</v>
      </c>
      <c r="P10" s="15">
        <f>7-COUNTIF(H10:N10,"-")</f>
        <v>5</v>
      </c>
      <c r="Q10" s="24">
        <f>IF(P10=0,"-",O10/P10)</f>
        <v>15.2</v>
      </c>
      <c r="S10" s="51">
        <v>7</v>
      </c>
      <c r="T10" s="52" t="s">
        <v>245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49">
        <v>1</v>
      </c>
      <c r="AA10" s="49">
        <v>0</v>
      </c>
      <c r="AB10" s="49">
        <v>0</v>
      </c>
      <c r="AC10" s="49">
        <v>1</v>
      </c>
      <c r="AD10" s="49">
        <v>0</v>
      </c>
      <c r="AE10" s="57">
        <f t="shared" si="0"/>
        <v>10</v>
      </c>
    </row>
    <row r="11" spans="1:31">
      <c r="A11" s="17">
        <v>6</v>
      </c>
      <c r="B11" s="16" t="s">
        <v>259</v>
      </c>
      <c r="C11" s="22">
        <v>46</v>
      </c>
      <c r="D11" s="17">
        <f>INDEX('Результаты матчей'!$N$2:$R$65,C11,5)</f>
        <v>4</v>
      </c>
      <c r="F11" s="17">
        <v>6</v>
      </c>
      <c r="G11" s="16" t="s">
        <v>142</v>
      </c>
      <c r="H11" s="22">
        <v>34</v>
      </c>
      <c r="I11" s="22">
        <v>6</v>
      </c>
      <c r="J11" s="22">
        <v>12</v>
      </c>
      <c r="K11" s="22">
        <v>16</v>
      </c>
      <c r="L11" s="22" t="s">
        <v>13</v>
      </c>
      <c r="M11" s="22" t="s">
        <v>13</v>
      </c>
      <c r="N11" s="22" t="s">
        <v>13</v>
      </c>
      <c r="O11" s="15">
        <f>SUM(H11:N11)</f>
        <v>68</v>
      </c>
      <c r="P11" s="15">
        <f>7-COUNTIF(H11:N11,"-")</f>
        <v>4</v>
      </c>
      <c r="Q11" s="24">
        <f>IF(P11=0,"-",O11/P11)</f>
        <v>17</v>
      </c>
      <c r="S11" s="51">
        <v>8</v>
      </c>
      <c r="T11" s="52" t="s">
        <v>246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49">
        <v>1</v>
      </c>
      <c r="AA11" s="49">
        <v>0</v>
      </c>
      <c r="AB11" s="49">
        <v>0</v>
      </c>
      <c r="AC11" s="49">
        <v>0</v>
      </c>
      <c r="AD11" s="49">
        <v>0</v>
      </c>
      <c r="AE11" s="57">
        <f t="shared" si="0"/>
        <v>6</v>
      </c>
    </row>
    <row r="12" spans="1:31">
      <c r="A12" s="17">
        <v>7</v>
      </c>
      <c r="B12" s="16" t="s">
        <v>181</v>
      </c>
      <c r="C12" s="22">
        <v>17</v>
      </c>
      <c r="D12" s="17">
        <f>INDEX('Результаты матчей'!$N$2:$R$65,C12,5)</f>
        <v>5</v>
      </c>
      <c r="F12" s="17">
        <v>7</v>
      </c>
      <c r="G12" s="16" t="s">
        <v>139</v>
      </c>
      <c r="H12" s="22">
        <v>26</v>
      </c>
      <c r="I12" s="22">
        <v>21</v>
      </c>
      <c r="J12" s="22">
        <v>8</v>
      </c>
      <c r="K12" s="22" t="s">
        <v>13</v>
      </c>
      <c r="L12" s="22" t="s">
        <v>13</v>
      </c>
      <c r="M12" s="22" t="s">
        <v>13</v>
      </c>
      <c r="N12" s="22" t="s">
        <v>13</v>
      </c>
      <c r="O12" s="15">
        <f>SUM(H12:N12)</f>
        <v>55</v>
      </c>
      <c r="P12" s="15">
        <f>7-COUNTIF(H12:N12,"-")</f>
        <v>3</v>
      </c>
      <c r="Q12" s="24">
        <f>IF(P12=0,"-",O12/P12)</f>
        <v>18.333333333333332</v>
      </c>
      <c r="S12" s="51">
        <v>9</v>
      </c>
      <c r="T12" s="55" t="s">
        <v>237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49">
        <v>0</v>
      </c>
      <c r="AA12" s="49">
        <v>0</v>
      </c>
      <c r="AB12" s="49">
        <v>0</v>
      </c>
      <c r="AC12" s="49">
        <v>0</v>
      </c>
      <c r="AD12" s="49">
        <v>6</v>
      </c>
      <c r="AE12" s="57">
        <f t="shared" si="0"/>
        <v>6</v>
      </c>
    </row>
    <row r="13" spans="1:31">
      <c r="A13" s="17">
        <v>8</v>
      </c>
      <c r="B13" s="16" t="s">
        <v>190</v>
      </c>
      <c r="C13" s="22">
        <v>27</v>
      </c>
      <c r="D13" s="17">
        <f>INDEX('Результаты матчей'!$N$2:$R$65,C13,5)</f>
        <v>5</v>
      </c>
      <c r="F13" s="17">
        <v>8</v>
      </c>
      <c r="G13" s="16" t="s">
        <v>148</v>
      </c>
      <c r="H13" s="22">
        <v>30</v>
      </c>
      <c r="I13" s="22">
        <v>27</v>
      </c>
      <c r="J13" s="22">
        <v>0</v>
      </c>
      <c r="K13" s="22">
        <v>23</v>
      </c>
      <c r="L13" s="22" t="s">
        <v>13</v>
      </c>
      <c r="M13" s="22" t="s">
        <v>13</v>
      </c>
      <c r="N13" s="22" t="s">
        <v>13</v>
      </c>
      <c r="O13" s="15">
        <f>SUM(H13:N13)</f>
        <v>80</v>
      </c>
      <c r="P13" s="15">
        <f>7-COUNTIF(H13:N13,"-")</f>
        <v>4</v>
      </c>
      <c r="Q13" s="24">
        <f>IF(P13=0,"-",O13/P13)</f>
        <v>20</v>
      </c>
      <c r="S13" s="51">
        <v>10</v>
      </c>
      <c r="T13" s="55" t="s">
        <v>123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1</v>
      </c>
      <c r="AC13" s="49">
        <v>0</v>
      </c>
      <c r="AD13" s="49">
        <v>0</v>
      </c>
      <c r="AE13" s="57">
        <f t="shared" si="0"/>
        <v>4</v>
      </c>
    </row>
    <row r="14" spans="1:31">
      <c r="A14" s="17">
        <v>9</v>
      </c>
      <c r="B14" s="16" t="s">
        <v>256</v>
      </c>
      <c r="C14" s="22">
        <v>43</v>
      </c>
      <c r="D14" s="17">
        <f>INDEX('Результаты матчей'!$N$2:$R$65,C14,5)</f>
        <v>5</v>
      </c>
      <c r="F14" s="17">
        <v>9</v>
      </c>
      <c r="G14" s="16" t="s">
        <v>67</v>
      </c>
      <c r="H14" s="22">
        <v>9</v>
      </c>
      <c r="I14" s="22">
        <v>27</v>
      </c>
      <c r="J14" s="22">
        <v>49</v>
      </c>
      <c r="K14" s="22">
        <v>12</v>
      </c>
      <c r="L14" s="22">
        <v>4</v>
      </c>
      <c r="M14" s="22" t="s">
        <v>13</v>
      </c>
      <c r="N14" s="22" t="s">
        <v>13</v>
      </c>
      <c r="O14" s="148">
        <f>SUM(H14:N14)</f>
        <v>101</v>
      </c>
      <c r="P14" s="15">
        <f>7-COUNTIF(H14:N14,"-")</f>
        <v>5</v>
      </c>
      <c r="Q14" s="24">
        <f>IF(P14=0,"-",O14/P14)</f>
        <v>20.2</v>
      </c>
      <c r="S14" s="51">
        <v>11</v>
      </c>
      <c r="T14" s="52" t="s">
        <v>20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49">
        <v>0</v>
      </c>
      <c r="AA14" s="49">
        <v>0</v>
      </c>
      <c r="AB14" s="49">
        <v>0</v>
      </c>
      <c r="AC14" s="49">
        <v>1</v>
      </c>
      <c r="AD14" s="49">
        <v>0</v>
      </c>
      <c r="AE14" s="57">
        <f t="shared" si="0"/>
        <v>4</v>
      </c>
    </row>
    <row r="15" spans="1:31">
      <c r="A15" s="17">
        <v>10</v>
      </c>
      <c r="B15" s="16" t="s">
        <v>177</v>
      </c>
      <c r="C15" s="22">
        <v>13</v>
      </c>
      <c r="D15" s="17">
        <f>INDEX('Результаты матчей'!$N$2:$R$65,C15,5)</f>
        <v>6</v>
      </c>
      <c r="F15" s="17">
        <v>10</v>
      </c>
      <c r="G15" s="16" t="s">
        <v>144</v>
      </c>
      <c r="H15" s="22">
        <v>27</v>
      </c>
      <c r="I15" s="22">
        <v>0</v>
      </c>
      <c r="J15" s="22">
        <v>23</v>
      </c>
      <c r="K15" s="22">
        <v>30</v>
      </c>
      <c r="L15" s="22">
        <v>24</v>
      </c>
      <c r="M15" s="22" t="s">
        <v>13</v>
      </c>
      <c r="N15" s="22" t="s">
        <v>13</v>
      </c>
      <c r="O15" s="148">
        <f>SUM(H15:N15)</f>
        <v>104</v>
      </c>
      <c r="P15" s="15">
        <f>7-COUNTIF(H15:N15,"-")</f>
        <v>5</v>
      </c>
      <c r="Q15" s="24">
        <f>IF(P15=0,"-",O15/P15)</f>
        <v>20.8</v>
      </c>
      <c r="S15" s="51">
        <v>12</v>
      </c>
      <c r="T15" s="52" t="s">
        <v>17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49">
        <v>0</v>
      </c>
      <c r="AA15" s="49">
        <v>0</v>
      </c>
      <c r="AB15" s="49">
        <v>0</v>
      </c>
      <c r="AC15" s="49">
        <v>1</v>
      </c>
      <c r="AD15" s="49">
        <v>0</v>
      </c>
      <c r="AE15" s="57">
        <f t="shared" si="0"/>
        <v>4</v>
      </c>
    </row>
    <row r="16" spans="1:31">
      <c r="A16" s="17">
        <v>11</v>
      </c>
      <c r="B16" s="16" t="s">
        <v>262</v>
      </c>
      <c r="C16" s="22">
        <v>49</v>
      </c>
      <c r="D16" s="17">
        <f>INDEX('Результаты матчей'!$N$2:$R$65,C16,5)</f>
        <v>7</v>
      </c>
      <c r="F16" s="17">
        <v>11</v>
      </c>
      <c r="G16" s="16" t="s">
        <v>12</v>
      </c>
      <c r="H16" s="22">
        <v>41</v>
      </c>
      <c r="I16" s="22">
        <v>35</v>
      </c>
      <c r="J16" s="22">
        <v>4</v>
      </c>
      <c r="K16" s="22">
        <v>5</v>
      </c>
      <c r="L16" s="22" t="s">
        <v>13</v>
      </c>
      <c r="M16" s="22" t="s">
        <v>13</v>
      </c>
      <c r="N16" s="22" t="s">
        <v>13</v>
      </c>
      <c r="O16" s="15">
        <f>SUM(H16:N16)</f>
        <v>85</v>
      </c>
      <c r="P16" s="15">
        <f>7-COUNTIF(H16:N16,"-")</f>
        <v>4</v>
      </c>
      <c r="Q16" s="24">
        <f>IF(P16=0,"-",O16/P16)</f>
        <v>21.25</v>
      </c>
      <c r="S16" s="51">
        <v>13</v>
      </c>
      <c r="T16" s="52" t="s">
        <v>241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49">
        <v>0</v>
      </c>
      <c r="AA16" s="49">
        <v>0</v>
      </c>
      <c r="AB16" s="49">
        <v>1</v>
      </c>
      <c r="AC16" s="49">
        <v>0</v>
      </c>
      <c r="AD16" s="49">
        <v>0</v>
      </c>
      <c r="AE16" s="57">
        <f t="shared" si="0"/>
        <v>4</v>
      </c>
    </row>
    <row r="17" spans="1:31">
      <c r="A17" s="17">
        <v>12</v>
      </c>
      <c r="B17" s="16" t="s">
        <v>189</v>
      </c>
      <c r="C17" s="22">
        <v>25</v>
      </c>
      <c r="D17" s="17">
        <f>INDEX('Результаты матчей'!$N$2:$R$65,C17,5)</f>
        <v>8</v>
      </c>
      <c r="F17" s="17">
        <v>12</v>
      </c>
      <c r="G17" s="16" t="s">
        <v>11</v>
      </c>
      <c r="H17" s="22">
        <v>9</v>
      </c>
      <c r="I17" s="22">
        <v>55</v>
      </c>
      <c r="J17" s="22">
        <v>0</v>
      </c>
      <c r="K17" s="22">
        <v>5</v>
      </c>
      <c r="L17" s="22">
        <v>39</v>
      </c>
      <c r="M17" s="22" t="s">
        <v>13</v>
      </c>
      <c r="N17" s="22" t="s">
        <v>13</v>
      </c>
      <c r="O17" s="148">
        <f>SUM(H17:N17)</f>
        <v>108</v>
      </c>
      <c r="P17" s="15">
        <f>7-COUNTIF(H17:N17,"-")</f>
        <v>5</v>
      </c>
      <c r="Q17" s="24">
        <f>IF(P17=0,"-",O17/P17)</f>
        <v>21.6</v>
      </c>
      <c r="S17" s="51">
        <v>14</v>
      </c>
      <c r="T17" s="52" t="s">
        <v>213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49">
        <v>0</v>
      </c>
      <c r="AA17" s="49">
        <v>0</v>
      </c>
      <c r="AB17" s="49">
        <v>0</v>
      </c>
      <c r="AC17" s="49">
        <v>0</v>
      </c>
      <c r="AD17" s="49">
        <v>0</v>
      </c>
      <c r="AE17" s="57">
        <f t="shared" si="0"/>
        <v>0</v>
      </c>
    </row>
    <row r="18" spans="1:31">
      <c r="A18" s="17">
        <v>13</v>
      </c>
      <c r="B18" s="16" t="s">
        <v>196</v>
      </c>
      <c r="C18" s="22">
        <v>33</v>
      </c>
      <c r="D18" s="17">
        <f>INDEX('Результаты матчей'!$N$2:$R$65,C18,5)</f>
        <v>8</v>
      </c>
      <c r="F18" s="17">
        <v>13</v>
      </c>
      <c r="G18" s="16" t="s">
        <v>10</v>
      </c>
      <c r="H18" s="22">
        <v>26</v>
      </c>
      <c r="I18" s="22">
        <v>64</v>
      </c>
      <c r="J18" s="22">
        <v>15</v>
      </c>
      <c r="K18" s="22">
        <v>23</v>
      </c>
      <c r="L18" s="22">
        <v>16</v>
      </c>
      <c r="M18" s="22">
        <v>13</v>
      </c>
      <c r="N18" s="22">
        <v>17</v>
      </c>
      <c r="O18" s="148">
        <f>SUM(H18:N18)</f>
        <v>174</v>
      </c>
      <c r="P18" s="15">
        <f>7-COUNTIF(H18:N18,"-")</f>
        <v>7</v>
      </c>
      <c r="Q18" s="24">
        <f>IF(P18=0,"-",O18/P18)</f>
        <v>24.857142857142858</v>
      </c>
      <c r="S18" s="51">
        <v>15</v>
      </c>
      <c r="T18" s="52" t="s">
        <v>214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49">
        <v>0</v>
      </c>
      <c r="AA18" s="49">
        <v>0</v>
      </c>
      <c r="AB18" s="49">
        <v>0</v>
      </c>
      <c r="AC18" s="49">
        <v>0</v>
      </c>
      <c r="AD18" s="49">
        <v>0</v>
      </c>
      <c r="AE18" s="57">
        <f t="shared" si="0"/>
        <v>0</v>
      </c>
    </row>
    <row r="19" spans="1:31">
      <c r="A19" s="17">
        <v>14</v>
      </c>
      <c r="B19" s="16" t="s">
        <v>174</v>
      </c>
      <c r="C19" s="22">
        <v>10</v>
      </c>
      <c r="D19" s="17">
        <f>INDEX('Результаты матчей'!$N$2:$R$65,C19,5)</f>
        <v>9</v>
      </c>
      <c r="F19" s="17">
        <v>14</v>
      </c>
      <c r="G19" s="16" t="s">
        <v>2</v>
      </c>
      <c r="H19" s="22">
        <v>70</v>
      </c>
      <c r="I19" s="22">
        <v>0</v>
      </c>
      <c r="J19" s="22">
        <v>34</v>
      </c>
      <c r="K19" s="22">
        <v>16</v>
      </c>
      <c r="L19" s="22">
        <v>39</v>
      </c>
      <c r="M19" s="22">
        <v>13</v>
      </c>
      <c r="N19" s="22" t="s">
        <v>13</v>
      </c>
      <c r="O19" s="148">
        <f>SUM(H19:N19)</f>
        <v>172</v>
      </c>
      <c r="P19" s="15">
        <f>7-COUNTIF(H19:N19,"-")</f>
        <v>6</v>
      </c>
      <c r="Q19" s="24">
        <f>IF(P19=0,"-",O19/P19)</f>
        <v>28.666666666666668</v>
      </c>
      <c r="S19" s="51">
        <v>16</v>
      </c>
      <c r="T19" s="52" t="s">
        <v>122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49">
        <v>0</v>
      </c>
      <c r="AA19" s="49">
        <v>0</v>
      </c>
      <c r="AB19" s="49">
        <v>0</v>
      </c>
      <c r="AC19" s="49">
        <v>0</v>
      </c>
      <c r="AD19" s="49">
        <v>0</v>
      </c>
      <c r="AE19" s="57">
        <f t="shared" si="0"/>
        <v>0</v>
      </c>
    </row>
    <row r="20" spans="1:31">
      <c r="A20" s="17">
        <v>15</v>
      </c>
      <c r="B20" s="16" t="s">
        <v>176</v>
      </c>
      <c r="C20" s="22">
        <v>12</v>
      </c>
      <c r="D20" s="17">
        <f>INDEX('Результаты матчей'!$N$2:$R$65,C20,5)</f>
        <v>9</v>
      </c>
      <c r="F20" s="17">
        <v>15</v>
      </c>
      <c r="G20" s="16" t="s">
        <v>145</v>
      </c>
      <c r="H20" s="22">
        <v>27</v>
      </c>
      <c r="I20" s="22">
        <v>5</v>
      </c>
      <c r="J20" s="22">
        <v>34</v>
      </c>
      <c r="K20" s="22">
        <v>50</v>
      </c>
      <c r="L20" s="22" t="s">
        <v>13</v>
      </c>
      <c r="M20" s="22" t="s">
        <v>13</v>
      </c>
      <c r="N20" s="22" t="s">
        <v>13</v>
      </c>
      <c r="O20" s="148">
        <f>SUM(H20:N20)</f>
        <v>116</v>
      </c>
      <c r="P20" s="15">
        <f>7-COUNTIF(H20:N20,"-")</f>
        <v>4</v>
      </c>
      <c r="Q20" s="24">
        <f>IF(P20=0,"-",O20/P20)</f>
        <v>29</v>
      </c>
      <c r="S20" s="51">
        <v>17</v>
      </c>
      <c r="T20" s="52" t="s">
        <v>121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49">
        <v>0</v>
      </c>
      <c r="AA20" s="49">
        <v>0</v>
      </c>
      <c r="AB20" s="49">
        <v>0</v>
      </c>
      <c r="AC20" s="49">
        <v>0</v>
      </c>
      <c r="AD20" s="49">
        <v>0</v>
      </c>
      <c r="AE20" s="57">
        <f t="shared" si="0"/>
        <v>0</v>
      </c>
    </row>
    <row r="21" spans="1:31">
      <c r="A21" s="17">
        <v>16</v>
      </c>
      <c r="B21" s="16" t="s">
        <v>168</v>
      </c>
      <c r="C21" s="22">
        <v>4</v>
      </c>
      <c r="D21" s="17">
        <f>INDEX('Результаты матчей'!$N$2:$R$65,C21,5)</f>
        <v>12</v>
      </c>
      <c r="F21" s="17">
        <v>16</v>
      </c>
      <c r="G21" s="16" t="s">
        <v>66</v>
      </c>
      <c r="H21" s="22">
        <v>50</v>
      </c>
      <c r="I21" s="22">
        <v>39</v>
      </c>
      <c r="J21" s="22">
        <v>4</v>
      </c>
      <c r="K21" s="22">
        <v>24</v>
      </c>
      <c r="L21" s="22" t="s">
        <v>13</v>
      </c>
      <c r="M21" s="22" t="s">
        <v>13</v>
      </c>
      <c r="N21" s="22" t="s">
        <v>13</v>
      </c>
      <c r="O21" s="148">
        <f>SUM(H21:N21)</f>
        <v>117</v>
      </c>
      <c r="P21" s="15">
        <f>7-COUNTIF(H21:N21,"-")</f>
        <v>4</v>
      </c>
      <c r="Q21" s="24">
        <f>IF(P21=0,"-",O21/P21)</f>
        <v>29.25</v>
      </c>
      <c r="S21" s="51">
        <v>18</v>
      </c>
      <c r="T21" s="52" t="s">
        <v>18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49">
        <v>0</v>
      </c>
      <c r="AA21" s="49">
        <v>0</v>
      </c>
      <c r="AB21" s="49">
        <v>0</v>
      </c>
      <c r="AC21" s="49">
        <v>0</v>
      </c>
      <c r="AD21" s="49">
        <v>0</v>
      </c>
      <c r="AE21" s="57">
        <f t="shared" si="0"/>
        <v>0</v>
      </c>
    </row>
    <row r="22" spans="1:31">
      <c r="A22" s="17">
        <v>17</v>
      </c>
      <c r="B22" s="16" t="s">
        <v>191</v>
      </c>
      <c r="C22" s="22">
        <v>28</v>
      </c>
      <c r="D22" s="17">
        <f>INDEX('Результаты матчей'!$N$2:$R$65,C22,5)</f>
        <v>12</v>
      </c>
      <c r="F22" s="17">
        <v>17</v>
      </c>
      <c r="G22" s="16" t="s">
        <v>21</v>
      </c>
      <c r="H22" s="22">
        <v>12</v>
      </c>
      <c r="I22" s="22">
        <v>77</v>
      </c>
      <c r="J22" s="22">
        <v>12</v>
      </c>
      <c r="K22" s="22">
        <v>16</v>
      </c>
      <c r="L22" s="22" t="s">
        <v>13</v>
      </c>
      <c r="M22" s="22" t="s">
        <v>13</v>
      </c>
      <c r="N22" s="22" t="s">
        <v>13</v>
      </c>
      <c r="O22" s="148">
        <f>SUM(H22:N22)</f>
        <v>117</v>
      </c>
      <c r="P22" s="15">
        <f>7-COUNTIF(H22:N22,"-")</f>
        <v>4</v>
      </c>
      <c r="Q22" s="24">
        <f>IF(P22=0,"-",O22/P22)</f>
        <v>29.25</v>
      </c>
      <c r="S22" s="51">
        <v>19</v>
      </c>
      <c r="T22" s="52" t="s">
        <v>244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49">
        <v>0</v>
      </c>
      <c r="AA22" s="49">
        <v>0</v>
      </c>
      <c r="AB22" s="49">
        <v>0</v>
      </c>
      <c r="AC22" s="49">
        <v>0</v>
      </c>
      <c r="AD22" s="49">
        <v>0</v>
      </c>
      <c r="AE22" s="57">
        <f t="shared" si="0"/>
        <v>0</v>
      </c>
    </row>
    <row r="23" spans="1:31">
      <c r="A23" s="17">
        <v>18</v>
      </c>
      <c r="B23" s="16" t="s">
        <v>255</v>
      </c>
      <c r="C23" s="22">
        <v>42</v>
      </c>
      <c r="D23" s="17">
        <f>INDEX('Результаты матчей'!$N$2:$R$65,C23,5)</f>
        <v>12</v>
      </c>
      <c r="F23" s="17">
        <v>18</v>
      </c>
      <c r="G23" s="16" t="s">
        <v>141</v>
      </c>
      <c r="H23" s="22">
        <v>34</v>
      </c>
      <c r="I23" s="22">
        <v>77</v>
      </c>
      <c r="J23" s="22">
        <v>5</v>
      </c>
      <c r="K23" s="22">
        <v>50</v>
      </c>
      <c r="L23" s="22">
        <v>4</v>
      </c>
      <c r="M23" s="22">
        <v>7</v>
      </c>
      <c r="N23" s="22" t="s">
        <v>13</v>
      </c>
      <c r="O23" s="148">
        <f>SUM(H23:N23)</f>
        <v>177</v>
      </c>
      <c r="P23" s="15">
        <f>7-COUNTIF(H23:N23,"-")</f>
        <v>6</v>
      </c>
      <c r="Q23" s="24">
        <f>IF(P23=0,"-",O23/P23)</f>
        <v>29.5</v>
      </c>
    </row>
    <row r="24" spans="1:31">
      <c r="A24" s="17">
        <v>19</v>
      </c>
      <c r="B24" s="16" t="s">
        <v>194</v>
      </c>
      <c r="C24" s="22">
        <v>31</v>
      </c>
      <c r="D24" s="17">
        <f>INDEX('Результаты матчей'!$N$2:$R$65,C24,5)</f>
        <v>13</v>
      </c>
      <c r="F24" s="17">
        <v>19</v>
      </c>
      <c r="G24" s="16" t="s">
        <v>147</v>
      </c>
      <c r="H24" s="22">
        <v>41</v>
      </c>
      <c r="I24" s="22">
        <v>39</v>
      </c>
      <c r="J24" s="22">
        <v>13</v>
      </c>
      <c r="K24" s="22" t="s">
        <v>13</v>
      </c>
      <c r="L24" s="22" t="s">
        <v>13</v>
      </c>
      <c r="M24" s="22" t="s">
        <v>13</v>
      </c>
      <c r="N24" s="22" t="s">
        <v>13</v>
      </c>
      <c r="O24" s="15">
        <f>SUM(H24:N24)</f>
        <v>93</v>
      </c>
      <c r="P24" s="15">
        <f>7-COUNTIF(H24:N24,"-")</f>
        <v>3</v>
      </c>
      <c r="Q24" s="24">
        <f>IF(P24=0,"-",O24/P24)</f>
        <v>31</v>
      </c>
    </row>
    <row r="25" spans="1:31">
      <c r="A25" s="17">
        <v>20</v>
      </c>
      <c r="B25" s="16" t="s">
        <v>263</v>
      </c>
      <c r="C25" s="22">
        <v>50</v>
      </c>
      <c r="D25" s="17">
        <f>INDEX('Результаты матчей'!$N$2:$R$65,C25,5)</f>
        <v>13</v>
      </c>
      <c r="F25" s="17">
        <v>20</v>
      </c>
      <c r="G25" s="16" t="s">
        <v>0</v>
      </c>
      <c r="H25" s="22">
        <v>61</v>
      </c>
      <c r="I25" s="22">
        <v>21</v>
      </c>
      <c r="J25" s="22">
        <v>15</v>
      </c>
      <c r="K25" s="22">
        <v>30</v>
      </c>
      <c r="L25" s="22" t="s">
        <v>13</v>
      </c>
      <c r="M25" s="22" t="s">
        <v>13</v>
      </c>
      <c r="N25" s="22" t="s">
        <v>13</v>
      </c>
      <c r="O25" s="148">
        <f>SUM(H25:N25)</f>
        <v>127</v>
      </c>
      <c r="P25" s="15">
        <f>7-COUNTIF(H25:N25,"-")</f>
        <v>4</v>
      </c>
      <c r="Q25" s="24">
        <f>IF(P25=0,"-",O25/P25)</f>
        <v>31.75</v>
      </c>
    </row>
    <row r="26" spans="1:31">
      <c r="A26" s="17">
        <v>21</v>
      </c>
      <c r="B26" s="16" t="s">
        <v>78</v>
      </c>
      <c r="C26" s="22">
        <v>26</v>
      </c>
      <c r="D26" s="17">
        <f>INDEX('Результаты матчей'!$N$2:$R$65,C26,5)</f>
        <v>15</v>
      </c>
      <c r="F26" s="17">
        <v>21</v>
      </c>
      <c r="G26" s="16" t="s">
        <v>146</v>
      </c>
      <c r="H26" s="22">
        <v>70</v>
      </c>
      <c r="I26" s="22">
        <v>5</v>
      </c>
      <c r="J26" s="22">
        <v>23</v>
      </c>
      <c r="K26" s="22" t="s">
        <v>13</v>
      </c>
      <c r="L26" s="22" t="s">
        <v>13</v>
      </c>
      <c r="M26" s="22" t="s">
        <v>13</v>
      </c>
      <c r="N26" s="22" t="s">
        <v>13</v>
      </c>
      <c r="O26" s="15">
        <f>SUM(H26:N26)</f>
        <v>98</v>
      </c>
      <c r="P26" s="15">
        <f>7-COUNTIF(H26:N26,"-")</f>
        <v>3</v>
      </c>
      <c r="Q26" s="24">
        <f>IF(P26=0,"-",O26/P26)</f>
        <v>32.666666666666664</v>
      </c>
    </row>
    <row r="27" spans="1:31">
      <c r="A27" s="17">
        <v>22</v>
      </c>
      <c r="B27" s="16" t="s">
        <v>254</v>
      </c>
      <c r="C27" s="22">
        <v>41</v>
      </c>
      <c r="D27" s="17">
        <f>INDEX('Результаты матчей'!$N$2:$R$65,C27,5)</f>
        <v>16</v>
      </c>
      <c r="F27" s="17">
        <v>22</v>
      </c>
      <c r="G27" s="16" t="s">
        <v>143</v>
      </c>
      <c r="H27" s="22">
        <v>50</v>
      </c>
      <c r="I27" s="22">
        <v>35</v>
      </c>
      <c r="J27" s="22">
        <v>13</v>
      </c>
      <c r="K27" s="22" t="s">
        <v>13</v>
      </c>
      <c r="L27" s="22" t="s">
        <v>13</v>
      </c>
      <c r="M27" s="22" t="s">
        <v>13</v>
      </c>
      <c r="N27" s="22" t="s">
        <v>13</v>
      </c>
      <c r="O27" s="15">
        <f>SUM(H27:N27)</f>
        <v>98</v>
      </c>
      <c r="P27" s="15">
        <f>7-COUNTIF(H27:N27,"-")</f>
        <v>3</v>
      </c>
      <c r="Q27" s="24">
        <f>IF(P27=0,"-",O27/P27)</f>
        <v>32.666666666666664</v>
      </c>
    </row>
    <row r="28" spans="1:31">
      <c r="A28" s="17">
        <v>23</v>
      </c>
      <c r="B28" s="16" t="s">
        <v>257</v>
      </c>
      <c r="C28" s="22">
        <v>44</v>
      </c>
      <c r="D28" s="17">
        <f>INDEX('Результаты матчей'!$N$2:$R$65,C28,5)</f>
        <v>16</v>
      </c>
      <c r="F28" s="17">
        <v>23</v>
      </c>
      <c r="G28" s="16" t="s">
        <v>140</v>
      </c>
      <c r="H28" s="22">
        <v>61</v>
      </c>
      <c r="I28" s="22">
        <v>64</v>
      </c>
      <c r="J28" s="22">
        <v>8</v>
      </c>
      <c r="K28" s="22" t="s">
        <v>13</v>
      </c>
      <c r="L28" s="22" t="s">
        <v>13</v>
      </c>
      <c r="M28" s="22" t="s">
        <v>13</v>
      </c>
      <c r="N28" s="22" t="s">
        <v>13</v>
      </c>
      <c r="O28" s="148">
        <f>SUM(H28:N28)</f>
        <v>133</v>
      </c>
      <c r="P28" s="15">
        <f>7-COUNTIF(H28:N28,"-")</f>
        <v>3</v>
      </c>
      <c r="Q28" s="24">
        <f>IF(P28=0,"-",O28/P28)</f>
        <v>44.333333333333336</v>
      </c>
    </row>
    <row r="29" spans="1:31">
      <c r="A29" s="17">
        <v>24</v>
      </c>
      <c r="B29" s="16" t="s">
        <v>261</v>
      </c>
      <c r="C29" s="22">
        <v>48</v>
      </c>
      <c r="D29" s="17">
        <f>INDEX('Результаты матчей'!$N$2:$R$65,C29,5)</f>
        <v>16</v>
      </c>
      <c r="F29" s="17">
        <v>24</v>
      </c>
      <c r="G29" s="16" t="s">
        <v>149</v>
      </c>
      <c r="H29" s="22">
        <v>30</v>
      </c>
      <c r="I29" s="22">
        <v>55</v>
      </c>
      <c r="J29" s="22">
        <v>49</v>
      </c>
      <c r="K29" s="22" t="s">
        <v>13</v>
      </c>
      <c r="L29" s="22" t="s">
        <v>13</v>
      </c>
      <c r="M29" s="22" t="s">
        <v>13</v>
      </c>
      <c r="N29" s="22" t="s">
        <v>13</v>
      </c>
      <c r="O29" s="148">
        <f>SUM(H29:N29)</f>
        <v>134</v>
      </c>
      <c r="P29" s="15">
        <f>7-COUNTIF(H29:N29,"-")</f>
        <v>3</v>
      </c>
      <c r="Q29" s="24">
        <f>IF(P29=0,"-",O29/P29)</f>
        <v>44.666666666666664</v>
      </c>
    </row>
    <row r="30" spans="1:31">
      <c r="A30" s="17">
        <v>25</v>
      </c>
      <c r="B30" s="16" t="s">
        <v>264</v>
      </c>
      <c r="C30" s="22">
        <v>51</v>
      </c>
      <c r="D30" s="17">
        <f>INDEX('Результаты матчей'!$N$2:$R$65,C30,5)</f>
        <v>17</v>
      </c>
      <c r="F30" s="17"/>
      <c r="G30" s="16"/>
      <c r="H30" s="22"/>
      <c r="I30" s="22"/>
      <c r="J30" s="22"/>
      <c r="K30" s="22"/>
      <c r="L30" s="22"/>
      <c r="M30" s="22"/>
      <c r="N30" s="22"/>
      <c r="O30" s="15"/>
      <c r="P30" s="15"/>
      <c r="Q30" s="24"/>
    </row>
    <row r="31" spans="1:31">
      <c r="A31" s="17">
        <v>26</v>
      </c>
      <c r="B31" s="16" t="s">
        <v>178</v>
      </c>
      <c r="C31" s="22">
        <v>14</v>
      </c>
      <c r="D31" s="17">
        <f>INDEX('Результаты матчей'!$N$2:$R$65,C31,5)</f>
        <v>21</v>
      </c>
      <c r="F31" s="102" t="s">
        <v>46</v>
      </c>
      <c r="G31" s="103"/>
      <c r="H31" s="104"/>
      <c r="I31" s="104"/>
      <c r="J31" s="104"/>
      <c r="K31" s="104"/>
      <c r="L31" s="104"/>
      <c r="M31" s="104"/>
      <c r="N31" s="104"/>
      <c r="O31" s="104"/>
      <c r="P31" s="104"/>
      <c r="Q31" s="103"/>
    </row>
    <row r="32" spans="1:31">
      <c r="A32" s="17">
        <v>27</v>
      </c>
      <c r="B32" s="16" t="s">
        <v>188</v>
      </c>
      <c r="C32" s="22">
        <v>24</v>
      </c>
      <c r="D32" s="17">
        <f>INDEX('Результаты матчей'!$N$2:$R$65,C32,5)</f>
        <v>21</v>
      </c>
      <c r="F32" s="135"/>
      <c r="G32" s="135"/>
      <c r="H32" s="136"/>
      <c r="I32" s="136"/>
      <c r="J32" s="136"/>
      <c r="K32" s="136"/>
      <c r="L32" s="136"/>
      <c r="M32" s="136"/>
      <c r="N32" s="136"/>
      <c r="O32" s="136"/>
      <c r="P32" s="136"/>
      <c r="Q32" s="137" t="s">
        <v>27</v>
      </c>
    </row>
    <row r="33" spans="1:17">
      <c r="A33" s="17">
        <v>28</v>
      </c>
      <c r="B33" s="16" t="s">
        <v>192</v>
      </c>
      <c r="C33" s="22">
        <v>29</v>
      </c>
      <c r="D33" s="17">
        <f>INDEX('Результаты матчей'!$N$2:$R$65,C33,5)</f>
        <v>23</v>
      </c>
      <c r="F33" s="17">
        <v>1</v>
      </c>
      <c r="G33" s="16" t="s">
        <v>205</v>
      </c>
      <c r="H33" s="15"/>
      <c r="I33" s="15"/>
      <c r="J33" s="15"/>
      <c r="K33" s="15"/>
      <c r="L33" s="15"/>
      <c r="M33" s="25"/>
      <c r="N33" s="25"/>
      <c r="O33" s="25"/>
      <c r="P33" s="19"/>
      <c r="Q33" s="18">
        <f>(2+9+27+21+3+8)/6</f>
        <v>11.666666666666666</v>
      </c>
    </row>
    <row r="34" spans="1:17">
      <c r="A34" s="17">
        <v>29</v>
      </c>
      <c r="B34" s="16" t="s">
        <v>253</v>
      </c>
      <c r="C34" s="22">
        <v>40</v>
      </c>
      <c r="D34" s="17">
        <f>INDEX('Результаты матчей'!$N$2:$R$65,C34,5)</f>
        <v>23</v>
      </c>
      <c r="F34" s="17">
        <v>2</v>
      </c>
      <c r="G34" s="16" t="s">
        <v>201</v>
      </c>
      <c r="H34" s="15"/>
      <c r="I34" s="15"/>
      <c r="J34" s="15"/>
      <c r="K34" s="15"/>
      <c r="L34" s="15"/>
      <c r="M34" s="25"/>
      <c r="N34" s="25"/>
      <c r="O34" s="25"/>
      <c r="P34" s="19"/>
      <c r="Q34" s="18">
        <f>(34+12+6+77+5+12)/6</f>
        <v>24.333333333333332</v>
      </c>
    </row>
    <row r="35" spans="1:17">
      <c r="A35" s="17">
        <v>30</v>
      </c>
      <c r="B35" s="16" t="s">
        <v>252</v>
      </c>
      <c r="C35" s="22">
        <v>39</v>
      </c>
      <c r="D35" s="17">
        <f>INDEX('Результаты матчей'!$N$2:$R$65,C35,5)</f>
        <v>24</v>
      </c>
      <c r="F35" s="17">
        <v>3</v>
      </c>
      <c r="G35" s="16" t="s">
        <v>202</v>
      </c>
      <c r="H35" s="15"/>
      <c r="I35" s="15"/>
      <c r="J35" s="15"/>
      <c r="K35" s="15"/>
      <c r="L35" s="15"/>
      <c r="M35" s="25"/>
      <c r="N35" s="25"/>
      <c r="O35" s="25"/>
      <c r="P35" s="19"/>
      <c r="Q35" s="18">
        <f>(27+70+5+0+23+34)/6</f>
        <v>26.5</v>
      </c>
    </row>
    <row r="36" spans="1:17">
      <c r="A36" s="17">
        <v>31</v>
      </c>
      <c r="B36" s="16" t="s">
        <v>258</v>
      </c>
      <c r="C36" s="22">
        <v>45</v>
      </c>
      <c r="D36" s="17">
        <f>INDEX('Результаты матчей'!$N$2:$R$65,C36,5)</f>
        <v>24</v>
      </c>
      <c r="F36" s="17">
        <v>4</v>
      </c>
      <c r="G36" s="16" t="s">
        <v>204</v>
      </c>
      <c r="H36" s="15"/>
      <c r="I36" s="15"/>
      <c r="J36" s="15"/>
      <c r="K36" s="15"/>
      <c r="L36" s="15"/>
      <c r="M36" s="25"/>
      <c r="N36" s="25"/>
      <c r="O36" s="25"/>
      <c r="P36" s="19"/>
      <c r="Q36" s="18">
        <f>(30+9+55+27+0+49)/6</f>
        <v>28.333333333333332</v>
      </c>
    </row>
    <row r="37" spans="1:17">
      <c r="A37" s="17">
        <v>32</v>
      </c>
      <c r="B37" s="16" t="s">
        <v>165</v>
      </c>
      <c r="C37" s="22">
        <v>1</v>
      </c>
      <c r="D37" s="17">
        <f>INDEX('Результаты матчей'!$N$2:$R$65,C37,5)</f>
        <v>26</v>
      </c>
      <c r="F37" s="17">
        <v>5</v>
      </c>
      <c r="G37" s="16" t="s">
        <v>203</v>
      </c>
      <c r="H37" s="15"/>
      <c r="I37" s="15"/>
      <c r="J37" s="15"/>
      <c r="K37" s="15"/>
      <c r="L37" s="15"/>
      <c r="M37" s="25"/>
      <c r="N37" s="25"/>
      <c r="O37" s="25"/>
      <c r="P37" s="19"/>
      <c r="Q37" s="18">
        <f>(50+41+39+35+13+4)/6</f>
        <v>30.333333333333332</v>
      </c>
    </row>
    <row r="38" spans="1:17">
      <c r="A38" s="17">
        <v>33</v>
      </c>
      <c r="B38" s="16" t="s">
        <v>170</v>
      </c>
      <c r="C38" s="22">
        <v>6</v>
      </c>
      <c r="D38" s="17">
        <f>INDEX('Результаты матчей'!$N$2:$R$65,C38,5)</f>
        <v>27</v>
      </c>
      <c r="F38" s="17">
        <v>6</v>
      </c>
      <c r="G38" s="16" t="s">
        <v>200</v>
      </c>
      <c r="H38" s="15"/>
      <c r="I38" s="15"/>
      <c r="J38" s="15"/>
      <c r="K38" s="15"/>
      <c r="L38" s="15"/>
      <c r="M38" s="25"/>
      <c r="N38" s="25"/>
      <c r="O38" s="25"/>
      <c r="P38" s="19"/>
      <c r="Q38" s="18">
        <f>(26+61+21+64+8+15)/6</f>
        <v>32.5</v>
      </c>
    </row>
    <row r="39" spans="1:17">
      <c r="A39" s="17">
        <v>34</v>
      </c>
      <c r="B39" s="16" t="s">
        <v>186</v>
      </c>
      <c r="C39" s="22">
        <v>22</v>
      </c>
      <c r="D39" s="17">
        <f>INDEX('Результаты матчей'!$N$2:$R$65,C39,5)</f>
        <v>27</v>
      </c>
      <c r="F39" s="17"/>
      <c r="G39" s="16"/>
      <c r="H39" s="15"/>
      <c r="I39" s="15"/>
      <c r="J39" s="15"/>
      <c r="K39" s="15"/>
      <c r="L39" s="15"/>
      <c r="M39" s="25"/>
      <c r="N39" s="25"/>
      <c r="O39" s="25"/>
      <c r="P39" s="19"/>
      <c r="Q39" s="18"/>
    </row>
    <row r="40" spans="1:17">
      <c r="A40" s="17">
        <v>35</v>
      </c>
      <c r="B40" s="16" t="s">
        <v>187</v>
      </c>
      <c r="C40" s="22">
        <v>23</v>
      </c>
      <c r="D40" s="17">
        <f>INDEX('Результаты матчей'!$N$2:$R$65,C40,5)</f>
        <v>27</v>
      </c>
      <c r="F40" s="102" t="s">
        <v>106</v>
      </c>
      <c r="G40" s="103"/>
      <c r="H40" s="104"/>
      <c r="I40" s="104"/>
      <c r="J40" s="104"/>
      <c r="K40" s="104"/>
      <c r="L40" s="104"/>
      <c r="M40" s="104"/>
      <c r="N40" s="104"/>
      <c r="O40" s="104"/>
      <c r="P40" s="104"/>
      <c r="Q40" s="103"/>
    </row>
    <row r="41" spans="1:17">
      <c r="A41" s="17">
        <v>36</v>
      </c>
      <c r="B41" s="16" t="s">
        <v>173</v>
      </c>
      <c r="C41" s="22">
        <v>9</v>
      </c>
      <c r="D41" s="17">
        <f>INDEX('Результаты матчей'!$N$2:$R$65,C41,5)</f>
        <v>30</v>
      </c>
      <c r="F41" s="135"/>
      <c r="G41" s="135"/>
      <c r="H41" s="136"/>
      <c r="I41" s="136"/>
      <c r="J41" s="136"/>
      <c r="K41" s="136"/>
      <c r="L41" s="136"/>
      <c r="M41" s="136"/>
      <c r="N41" s="136"/>
      <c r="O41" s="136"/>
      <c r="P41" s="136"/>
      <c r="Q41" s="137" t="s">
        <v>107</v>
      </c>
    </row>
    <row r="42" spans="1:17">
      <c r="A42" s="17">
        <v>37</v>
      </c>
      <c r="B42" s="16" t="s">
        <v>250</v>
      </c>
      <c r="C42" s="22">
        <v>37</v>
      </c>
      <c r="D42" s="17">
        <f>INDEX('Результаты матчей'!$N$2:$R$65,C42,5)</f>
        <v>30</v>
      </c>
      <c r="F42" s="17">
        <v>1</v>
      </c>
      <c r="G42" s="28" t="s">
        <v>2</v>
      </c>
      <c r="H42" s="29"/>
      <c r="I42" s="29"/>
      <c r="J42" s="29"/>
      <c r="K42" s="29"/>
      <c r="L42" s="29"/>
      <c r="M42" s="29"/>
      <c r="N42" s="29"/>
      <c r="O42" s="29"/>
      <c r="P42" s="30"/>
      <c r="Q42" s="17">
        <v>6</v>
      </c>
    </row>
    <row r="43" spans="1:17">
      <c r="A43" s="17">
        <v>38</v>
      </c>
      <c r="B43" s="16" t="s">
        <v>167</v>
      </c>
      <c r="C43" s="22">
        <v>3</v>
      </c>
      <c r="D43" s="17">
        <f>INDEX('Результаты матчей'!$N$2:$R$65,C43,5)</f>
        <v>34</v>
      </c>
      <c r="F43" s="17">
        <v>2</v>
      </c>
      <c r="G43" s="28" t="s">
        <v>10</v>
      </c>
      <c r="H43" s="29"/>
      <c r="I43" s="29"/>
      <c r="J43" s="29"/>
      <c r="K43" s="29"/>
      <c r="L43" s="29"/>
      <c r="M43" s="29"/>
      <c r="N43" s="29"/>
      <c r="O43" s="29"/>
      <c r="P43" s="30"/>
      <c r="Q43" s="17">
        <v>4</v>
      </c>
    </row>
    <row r="44" spans="1:17">
      <c r="A44" s="17">
        <v>39</v>
      </c>
      <c r="B44" s="16" t="s">
        <v>193</v>
      </c>
      <c r="C44" s="22">
        <v>30</v>
      </c>
      <c r="D44" s="17">
        <f>INDEX('Результаты матчей'!$N$2:$R$65,C44,5)</f>
        <v>34</v>
      </c>
      <c r="F44" s="17">
        <v>3</v>
      </c>
      <c r="G44" s="28" t="s">
        <v>11</v>
      </c>
      <c r="H44" s="29"/>
      <c r="I44" s="29"/>
      <c r="J44" s="29"/>
      <c r="K44" s="29"/>
      <c r="L44" s="29"/>
      <c r="M44" s="29"/>
      <c r="N44" s="29"/>
      <c r="O44" s="29"/>
      <c r="P44" s="30"/>
      <c r="Q44" s="17">
        <v>2</v>
      </c>
    </row>
    <row r="45" spans="1:17">
      <c r="A45" s="17">
        <v>40</v>
      </c>
      <c r="B45" s="16" t="s">
        <v>185</v>
      </c>
      <c r="C45" s="22">
        <v>21</v>
      </c>
      <c r="D45" s="17">
        <f>INDEX('Результаты матчей'!$N$2:$R$65,C45,5)</f>
        <v>35</v>
      </c>
      <c r="F45" s="17">
        <v>3</v>
      </c>
      <c r="G45" s="28" t="s">
        <v>68</v>
      </c>
      <c r="H45" s="29"/>
      <c r="I45" s="29"/>
      <c r="J45" s="29"/>
      <c r="K45" s="29"/>
      <c r="L45" s="29"/>
      <c r="M45" s="29"/>
      <c r="N45" s="29"/>
      <c r="O45" s="29"/>
      <c r="P45" s="30"/>
      <c r="Q45" s="17">
        <v>2</v>
      </c>
    </row>
    <row r="46" spans="1:17">
      <c r="A46" s="17">
        <v>41</v>
      </c>
      <c r="B46" s="16" t="s">
        <v>184</v>
      </c>
      <c r="C46" s="22">
        <v>20</v>
      </c>
      <c r="D46" s="17">
        <f>INDEX('Результаты матчей'!$N$2:$R$65,C46,5)</f>
        <v>39</v>
      </c>
      <c r="F46" s="17">
        <v>5</v>
      </c>
      <c r="G46" s="28" t="s">
        <v>67</v>
      </c>
      <c r="H46" s="29"/>
      <c r="I46" s="29"/>
      <c r="J46" s="29"/>
      <c r="K46" s="29"/>
      <c r="L46" s="29"/>
      <c r="M46" s="29"/>
      <c r="N46" s="29"/>
      <c r="O46" s="29"/>
      <c r="P46" s="30"/>
      <c r="Q46" s="17">
        <v>1</v>
      </c>
    </row>
    <row r="47" spans="1:17">
      <c r="A47" s="17">
        <v>42</v>
      </c>
      <c r="B47" s="16" t="s">
        <v>260</v>
      </c>
      <c r="C47" s="22">
        <v>47</v>
      </c>
      <c r="D47" s="17">
        <f>INDEX('Результаты матчей'!$N$2:$R$65,C47,5)</f>
        <v>39</v>
      </c>
      <c r="F47" s="17">
        <v>5</v>
      </c>
      <c r="G47" s="28" t="s">
        <v>12</v>
      </c>
      <c r="H47" s="29"/>
      <c r="I47" s="29"/>
      <c r="J47" s="29"/>
      <c r="K47" s="29"/>
      <c r="L47" s="29"/>
      <c r="M47" s="29"/>
      <c r="N47" s="29"/>
      <c r="O47" s="29"/>
      <c r="P47" s="30"/>
      <c r="Q47" s="17">
        <v>1</v>
      </c>
    </row>
    <row r="48" spans="1:17">
      <c r="A48" s="17">
        <v>43</v>
      </c>
      <c r="B48" s="16" t="s">
        <v>172</v>
      </c>
      <c r="C48" s="22">
        <v>8</v>
      </c>
      <c r="D48" s="17">
        <f>INDEX('Результаты матчей'!$N$2:$R$65,C48,5)</f>
        <v>41</v>
      </c>
      <c r="F48" s="17">
        <v>5</v>
      </c>
      <c r="G48" s="28" t="s">
        <v>1</v>
      </c>
      <c r="H48" s="29"/>
      <c r="I48" s="29"/>
      <c r="J48" s="29"/>
      <c r="K48" s="29"/>
      <c r="L48" s="29"/>
      <c r="M48" s="29"/>
      <c r="N48" s="29"/>
      <c r="O48" s="29"/>
      <c r="P48" s="30"/>
      <c r="Q48" s="17">
        <v>1</v>
      </c>
    </row>
    <row r="49" spans="1:17">
      <c r="A49" s="17">
        <v>44</v>
      </c>
      <c r="B49" s="16" t="s">
        <v>199</v>
      </c>
      <c r="C49" s="22">
        <v>36</v>
      </c>
      <c r="D49" s="17">
        <f>INDEX('Результаты матчей'!$N$2:$R$65,C49,5)</f>
        <v>49</v>
      </c>
      <c r="F49" s="17">
        <v>5</v>
      </c>
      <c r="G49" s="28" t="s">
        <v>0</v>
      </c>
      <c r="H49" s="29"/>
      <c r="I49" s="29"/>
      <c r="J49" s="29"/>
      <c r="K49" s="29"/>
      <c r="L49" s="29"/>
      <c r="M49" s="29"/>
      <c r="N49" s="29"/>
      <c r="O49" s="29"/>
      <c r="P49" s="30"/>
      <c r="Q49" s="17">
        <v>1</v>
      </c>
    </row>
    <row r="50" spans="1:17">
      <c r="A50" s="17">
        <v>45</v>
      </c>
      <c r="B50" s="16" t="s">
        <v>169</v>
      </c>
      <c r="C50" s="22">
        <v>5</v>
      </c>
      <c r="D50" s="17">
        <f>INDEX('Результаты матчей'!$N$2:$R$65,C50,5)</f>
        <v>50</v>
      </c>
      <c r="F50" s="17">
        <v>5</v>
      </c>
      <c r="G50" s="28" t="s">
        <v>149</v>
      </c>
      <c r="H50" s="29"/>
      <c r="I50" s="29"/>
      <c r="J50" s="29"/>
      <c r="K50" s="29"/>
      <c r="L50" s="29"/>
      <c r="M50" s="29"/>
      <c r="N50" s="29"/>
      <c r="O50" s="29"/>
      <c r="P50" s="30"/>
      <c r="Q50" s="17">
        <v>1</v>
      </c>
    </row>
    <row r="51" spans="1:17">
      <c r="A51" s="17">
        <v>46</v>
      </c>
      <c r="B51" s="16" t="s">
        <v>251</v>
      </c>
      <c r="C51" s="22">
        <v>38</v>
      </c>
      <c r="D51" s="17">
        <f>INDEX('Результаты матчей'!$N$2:$R$65,C51,5)</f>
        <v>50</v>
      </c>
    </row>
    <row r="52" spans="1:17">
      <c r="A52" s="17">
        <v>47</v>
      </c>
      <c r="B52" s="16" t="s">
        <v>183</v>
      </c>
      <c r="C52" s="22">
        <v>19</v>
      </c>
      <c r="D52" s="17">
        <f>INDEX('Результаты матчей'!$N$2:$R$65,C52,5)</f>
        <v>55</v>
      </c>
    </row>
    <row r="53" spans="1:17">
      <c r="A53" s="17">
        <v>48</v>
      </c>
      <c r="B53" s="16" t="s">
        <v>166</v>
      </c>
      <c r="C53" s="22">
        <v>2</v>
      </c>
      <c r="D53" s="17">
        <f>INDEX('Результаты матчей'!$N$2:$R$65,C53,5)</f>
        <v>61</v>
      </c>
    </row>
    <row r="54" spans="1:17">
      <c r="A54" s="17">
        <v>49</v>
      </c>
      <c r="B54" s="16" t="s">
        <v>179</v>
      </c>
      <c r="C54" s="22">
        <v>15</v>
      </c>
      <c r="D54" s="17">
        <f>INDEX('Результаты матчей'!$N$2:$R$65,C54,5)</f>
        <v>64</v>
      </c>
    </row>
    <row r="55" spans="1:17">
      <c r="A55" s="17">
        <v>50</v>
      </c>
      <c r="B55" s="16" t="s">
        <v>171</v>
      </c>
      <c r="C55" s="22">
        <v>7</v>
      </c>
      <c r="D55" s="17">
        <f>INDEX('Результаты матчей'!$N$2:$R$65,C55,5)</f>
        <v>70</v>
      </c>
    </row>
    <row r="56" spans="1:17">
      <c r="A56" s="17">
        <v>51</v>
      </c>
      <c r="B56" s="16" t="s">
        <v>180</v>
      </c>
      <c r="C56" s="22">
        <v>16</v>
      </c>
      <c r="D56" s="17">
        <f>INDEX('Результаты матчей'!$N$2:$R$65,C56,5)</f>
        <v>77</v>
      </c>
    </row>
    <row r="57" spans="1:17">
      <c r="A57" s="17"/>
      <c r="B57" s="16"/>
      <c r="C57" s="22"/>
      <c r="D57" s="17"/>
    </row>
    <row r="58" spans="1:17">
      <c r="A58" s="17"/>
      <c r="B58" s="16"/>
      <c r="C58" s="22"/>
      <c r="D58" s="17"/>
    </row>
    <row r="59" spans="1:17">
      <c r="A59" s="17"/>
      <c r="B59" s="16"/>
      <c r="C59" s="22"/>
      <c r="D59" s="17"/>
    </row>
    <row r="60" spans="1:17">
      <c r="A60" s="17"/>
      <c r="B60" s="16"/>
      <c r="C60" s="22"/>
      <c r="D60" s="17"/>
    </row>
    <row r="61" spans="1:17">
      <c r="A61" s="17"/>
      <c r="B61" s="16"/>
      <c r="C61" s="22"/>
      <c r="D61" s="17"/>
    </row>
    <row r="62" spans="1:17">
      <c r="A62" s="17"/>
      <c r="B62" s="16"/>
      <c r="C62" s="22"/>
      <c r="D62" s="17"/>
    </row>
    <row r="63" spans="1:17">
      <c r="A63" s="17"/>
      <c r="B63" s="16"/>
      <c r="C63" s="22"/>
      <c r="D63" s="17"/>
    </row>
    <row r="64" spans="1:17">
      <c r="A64" s="17"/>
      <c r="B64" s="16"/>
      <c r="C64" s="22"/>
      <c r="D64" s="17"/>
    </row>
    <row r="65" spans="1:4">
      <c r="A65" s="17"/>
      <c r="B65" s="16"/>
      <c r="C65" s="22"/>
      <c r="D65" s="17"/>
    </row>
    <row r="66" spans="1:4">
      <c r="A66" s="17"/>
      <c r="B66" s="16"/>
      <c r="C66" s="22"/>
      <c r="D66" s="17"/>
    </row>
    <row r="67" spans="1:4">
      <c r="A67" s="17"/>
      <c r="B67" s="16"/>
      <c r="C67" s="22"/>
      <c r="D67" s="17"/>
    </row>
    <row r="68" spans="1:4">
      <c r="A68" s="17"/>
      <c r="B68" s="16"/>
      <c r="C68" s="22"/>
      <c r="D68" s="17"/>
    </row>
    <row r="69" spans="1:4">
      <c r="A69" s="17"/>
      <c r="B69" s="16"/>
      <c r="C69" s="22"/>
      <c r="D69" s="17"/>
    </row>
  </sheetData>
  <sortState ref="G6:Q29">
    <sortCondition ref="Q6"/>
  </sortState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36"/>
  <sheetViews>
    <sheetView workbookViewId="0"/>
  </sheetViews>
  <sheetFormatPr defaultRowHeight="12.75"/>
  <cols>
    <col min="1" max="1" width="78.85546875" style="13" customWidth="1"/>
    <col min="2" max="256" width="9.140625" style="13"/>
    <col min="257" max="257" width="85.28515625" style="13" customWidth="1"/>
    <col min="258" max="512" width="9.140625" style="13"/>
    <col min="513" max="513" width="85.28515625" style="13" customWidth="1"/>
    <col min="514" max="768" width="9.140625" style="13"/>
    <col min="769" max="769" width="85.28515625" style="13" customWidth="1"/>
    <col min="770" max="1024" width="9.140625" style="13"/>
    <col min="1025" max="1025" width="85.28515625" style="13" customWidth="1"/>
    <col min="1026" max="1280" width="9.140625" style="13"/>
    <col min="1281" max="1281" width="85.28515625" style="13" customWidth="1"/>
    <col min="1282" max="1536" width="9.140625" style="13"/>
    <col min="1537" max="1537" width="85.28515625" style="13" customWidth="1"/>
    <col min="1538" max="1792" width="9.140625" style="13"/>
    <col min="1793" max="1793" width="85.28515625" style="13" customWidth="1"/>
    <col min="1794" max="2048" width="9.140625" style="13"/>
    <col min="2049" max="2049" width="85.28515625" style="13" customWidth="1"/>
    <col min="2050" max="2304" width="9.140625" style="13"/>
    <col min="2305" max="2305" width="85.28515625" style="13" customWidth="1"/>
    <col min="2306" max="2560" width="9.140625" style="13"/>
    <col min="2561" max="2561" width="85.28515625" style="13" customWidth="1"/>
    <col min="2562" max="2816" width="9.140625" style="13"/>
    <col min="2817" max="2817" width="85.28515625" style="13" customWidth="1"/>
    <col min="2818" max="3072" width="9.140625" style="13"/>
    <col min="3073" max="3073" width="85.28515625" style="13" customWidth="1"/>
    <col min="3074" max="3328" width="9.140625" style="13"/>
    <col min="3329" max="3329" width="85.28515625" style="13" customWidth="1"/>
    <col min="3330" max="3584" width="9.140625" style="13"/>
    <col min="3585" max="3585" width="85.28515625" style="13" customWidth="1"/>
    <col min="3586" max="3840" width="9.140625" style="13"/>
    <col min="3841" max="3841" width="85.28515625" style="13" customWidth="1"/>
    <col min="3842" max="4096" width="9.140625" style="13"/>
    <col min="4097" max="4097" width="85.28515625" style="13" customWidth="1"/>
    <col min="4098" max="4352" width="9.140625" style="13"/>
    <col min="4353" max="4353" width="85.28515625" style="13" customWidth="1"/>
    <col min="4354" max="4608" width="9.140625" style="13"/>
    <col min="4609" max="4609" width="85.28515625" style="13" customWidth="1"/>
    <col min="4610" max="4864" width="9.140625" style="13"/>
    <col min="4865" max="4865" width="85.28515625" style="13" customWidth="1"/>
    <col min="4866" max="5120" width="9.140625" style="13"/>
    <col min="5121" max="5121" width="85.28515625" style="13" customWidth="1"/>
    <col min="5122" max="5376" width="9.140625" style="13"/>
    <col min="5377" max="5377" width="85.28515625" style="13" customWidth="1"/>
    <col min="5378" max="5632" width="9.140625" style="13"/>
    <col min="5633" max="5633" width="85.28515625" style="13" customWidth="1"/>
    <col min="5634" max="5888" width="9.140625" style="13"/>
    <col min="5889" max="5889" width="85.28515625" style="13" customWidth="1"/>
    <col min="5890" max="6144" width="9.140625" style="13"/>
    <col min="6145" max="6145" width="85.28515625" style="13" customWidth="1"/>
    <col min="6146" max="6400" width="9.140625" style="13"/>
    <col min="6401" max="6401" width="85.28515625" style="13" customWidth="1"/>
    <col min="6402" max="6656" width="9.140625" style="13"/>
    <col min="6657" max="6657" width="85.28515625" style="13" customWidth="1"/>
    <col min="6658" max="6912" width="9.140625" style="13"/>
    <col min="6913" max="6913" width="85.28515625" style="13" customWidth="1"/>
    <col min="6914" max="7168" width="9.140625" style="13"/>
    <col min="7169" max="7169" width="85.28515625" style="13" customWidth="1"/>
    <col min="7170" max="7424" width="9.140625" style="13"/>
    <col min="7425" max="7425" width="85.28515625" style="13" customWidth="1"/>
    <col min="7426" max="7680" width="9.140625" style="13"/>
    <col min="7681" max="7681" width="85.28515625" style="13" customWidth="1"/>
    <col min="7682" max="7936" width="9.140625" style="13"/>
    <col min="7937" max="7937" width="85.28515625" style="13" customWidth="1"/>
    <col min="7938" max="8192" width="9.140625" style="13"/>
    <col min="8193" max="8193" width="85.28515625" style="13" customWidth="1"/>
    <col min="8194" max="8448" width="9.140625" style="13"/>
    <col min="8449" max="8449" width="85.28515625" style="13" customWidth="1"/>
    <col min="8450" max="8704" width="9.140625" style="13"/>
    <col min="8705" max="8705" width="85.28515625" style="13" customWidth="1"/>
    <col min="8706" max="8960" width="9.140625" style="13"/>
    <col min="8961" max="8961" width="85.28515625" style="13" customWidth="1"/>
    <col min="8962" max="9216" width="9.140625" style="13"/>
    <col min="9217" max="9217" width="85.28515625" style="13" customWidth="1"/>
    <col min="9218" max="9472" width="9.140625" style="13"/>
    <col min="9473" max="9473" width="85.28515625" style="13" customWidth="1"/>
    <col min="9474" max="9728" width="9.140625" style="13"/>
    <col min="9729" max="9729" width="85.28515625" style="13" customWidth="1"/>
    <col min="9730" max="9984" width="9.140625" style="13"/>
    <col min="9985" max="9985" width="85.28515625" style="13" customWidth="1"/>
    <col min="9986" max="10240" width="9.140625" style="13"/>
    <col min="10241" max="10241" width="85.28515625" style="13" customWidth="1"/>
    <col min="10242" max="10496" width="9.140625" style="13"/>
    <col min="10497" max="10497" width="85.28515625" style="13" customWidth="1"/>
    <col min="10498" max="10752" width="9.140625" style="13"/>
    <col min="10753" max="10753" width="85.28515625" style="13" customWidth="1"/>
    <col min="10754" max="11008" width="9.140625" style="13"/>
    <col min="11009" max="11009" width="85.28515625" style="13" customWidth="1"/>
    <col min="11010" max="11264" width="9.140625" style="13"/>
    <col min="11265" max="11265" width="85.28515625" style="13" customWidth="1"/>
    <col min="11266" max="11520" width="9.140625" style="13"/>
    <col min="11521" max="11521" width="85.28515625" style="13" customWidth="1"/>
    <col min="11522" max="11776" width="9.140625" style="13"/>
    <col min="11777" max="11777" width="85.28515625" style="13" customWidth="1"/>
    <col min="11778" max="12032" width="9.140625" style="13"/>
    <col min="12033" max="12033" width="85.28515625" style="13" customWidth="1"/>
    <col min="12034" max="12288" width="9.140625" style="13"/>
    <col min="12289" max="12289" width="85.28515625" style="13" customWidth="1"/>
    <col min="12290" max="12544" width="9.140625" style="13"/>
    <col min="12545" max="12545" width="85.28515625" style="13" customWidth="1"/>
    <col min="12546" max="12800" width="9.140625" style="13"/>
    <col min="12801" max="12801" width="85.28515625" style="13" customWidth="1"/>
    <col min="12802" max="13056" width="9.140625" style="13"/>
    <col min="13057" max="13057" width="85.28515625" style="13" customWidth="1"/>
    <col min="13058" max="13312" width="9.140625" style="13"/>
    <col min="13313" max="13313" width="85.28515625" style="13" customWidth="1"/>
    <col min="13314" max="13568" width="9.140625" style="13"/>
    <col min="13569" max="13569" width="85.28515625" style="13" customWidth="1"/>
    <col min="13570" max="13824" width="9.140625" style="13"/>
    <col min="13825" max="13825" width="85.28515625" style="13" customWidth="1"/>
    <col min="13826" max="14080" width="9.140625" style="13"/>
    <col min="14081" max="14081" width="85.28515625" style="13" customWidth="1"/>
    <col min="14082" max="14336" width="9.140625" style="13"/>
    <col min="14337" max="14337" width="85.28515625" style="13" customWidth="1"/>
    <col min="14338" max="14592" width="9.140625" style="13"/>
    <col min="14593" max="14593" width="85.28515625" style="13" customWidth="1"/>
    <col min="14594" max="14848" width="9.140625" style="13"/>
    <col min="14849" max="14849" width="85.28515625" style="13" customWidth="1"/>
    <col min="14850" max="15104" width="9.140625" style="13"/>
    <col min="15105" max="15105" width="85.28515625" style="13" customWidth="1"/>
    <col min="15106" max="15360" width="9.140625" style="13"/>
    <col min="15361" max="15361" width="85.28515625" style="13" customWidth="1"/>
    <col min="15362" max="15616" width="9.140625" style="13"/>
    <col min="15617" max="15617" width="85.28515625" style="13" customWidth="1"/>
    <col min="15618" max="15872" width="9.140625" style="13"/>
    <col min="15873" max="15873" width="85.28515625" style="13" customWidth="1"/>
    <col min="15874" max="16128" width="9.140625" style="13"/>
    <col min="16129" max="16129" width="85.28515625" style="13" customWidth="1"/>
    <col min="16130" max="16384" width="9.140625" style="13"/>
  </cols>
  <sheetData>
    <row r="1" spans="1:1" ht="18">
      <c r="A1" s="40" t="s">
        <v>136</v>
      </c>
    </row>
    <row r="4" spans="1:1">
      <c r="A4" s="109" t="s">
        <v>57</v>
      </c>
    </row>
    <row r="5" spans="1:1">
      <c r="A5" s="85" t="s">
        <v>58</v>
      </c>
    </row>
    <row r="6" spans="1:1">
      <c r="A6" s="88" t="s">
        <v>59</v>
      </c>
    </row>
    <row r="7" spans="1:1">
      <c r="A7" s="16" t="s">
        <v>60</v>
      </c>
    </row>
    <row r="8" spans="1:1">
      <c r="A8" s="111" t="s">
        <v>161</v>
      </c>
    </row>
    <row r="9" spans="1:1">
      <c r="A9" s="110" t="s">
        <v>61</v>
      </c>
    </row>
    <row r="10" spans="1:1">
      <c r="A10" s="111" t="s">
        <v>62</v>
      </c>
    </row>
    <row r="11" spans="1:1">
      <c r="A11" s="110" t="s">
        <v>162</v>
      </c>
    </row>
    <row r="12" spans="1:1">
      <c r="A12" s="109" t="s">
        <v>28</v>
      </c>
    </row>
    <row r="13" spans="1:1">
      <c r="A13" s="16" t="s">
        <v>48</v>
      </c>
    </row>
    <row r="14" spans="1:1">
      <c r="A14" s="16" t="s">
        <v>49</v>
      </c>
    </row>
    <row r="15" spans="1:1">
      <c r="A15" s="16" t="s">
        <v>50</v>
      </c>
    </row>
    <row r="16" spans="1:1">
      <c r="A16" s="16" t="s">
        <v>51</v>
      </c>
    </row>
    <row r="17" spans="1:1">
      <c r="A17" s="111" t="s">
        <v>63</v>
      </c>
    </row>
    <row r="18" spans="1:1">
      <c r="A18" s="110" t="s">
        <v>64</v>
      </c>
    </row>
    <row r="19" spans="1:1">
      <c r="A19" s="109" t="s">
        <v>37</v>
      </c>
    </row>
    <row r="20" spans="1:1">
      <c r="A20" s="16" t="s">
        <v>48</v>
      </c>
    </row>
    <row r="21" spans="1:1">
      <c r="A21" s="16" t="s">
        <v>49</v>
      </c>
    </row>
    <row r="22" spans="1:1">
      <c r="A22" s="16" t="s">
        <v>50</v>
      </c>
    </row>
    <row r="23" spans="1:1">
      <c r="A23" s="16" t="s">
        <v>51</v>
      </c>
    </row>
    <row r="24" spans="1:1">
      <c r="A24" s="111" t="s">
        <v>40</v>
      </c>
    </row>
    <row r="25" spans="1:1">
      <c r="A25" s="112" t="s">
        <v>65</v>
      </c>
    </row>
    <row r="26" spans="1:1">
      <c r="A26" s="112" t="s">
        <v>63</v>
      </c>
    </row>
    <row r="27" spans="1:1">
      <c r="A27" s="110" t="s">
        <v>64</v>
      </c>
    </row>
    <row r="28" spans="1:1">
      <c r="A28" s="109" t="s">
        <v>38</v>
      </c>
    </row>
    <row r="29" spans="1:1">
      <c r="A29" s="16" t="s">
        <v>163</v>
      </c>
    </row>
    <row r="30" spans="1:1">
      <c r="A30" s="16" t="s">
        <v>164</v>
      </c>
    </row>
    <row r="31" spans="1:1">
      <c r="A31" s="110" t="s">
        <v>39</v>
      </c>
    </row>
    <row r="32" spans="1:1">
      <c r="A32" s="109" t="s">
        <v>52</v>
      </c>
    </row>
    <row r="33" spans="1:1">
      <c r="A33" s="16" t="s">
        <v>53</v>
      </c>
    </row>
    <row r="34" spans="1:1">
      <c r="A34" s="16" t="s">
        <v>54</v>
      </c>
    </row>
    <row r="35" spans="1:1">
      <c r="A35" s="110" t="s">
        <v>55</v>
      </c>
    </row>
    <row r="36" spans="1:1">
      <c r="A36" s="110" t="s">
        <v>56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3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123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1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6</v>
      </c>
      <c r="T3">
        <f t="shared" ref="T3:T6" si="0">IF(S3&gt;0,1,0)*N3</f>
        <v>2</v>
      </c>
      <c r="U3">
        <f t="shared" ref="U3:U6" si="1">IF(S3&gt;5,1,0)*N3</f>
        <v>2</v>
      </c>
      <c r="V3">
        <f>IF(S3=0,1,0)*N3*'Результаты матчей'!Q3</f>
        <v>0</v>
      </c>
      <c r="W3">
        <f>IF(S3&lt;6,1,0)*N3*'Результаты матчей'!Q3</f>
        <v>0</v>
      </c>
      <c r="X3" s="159"/>
      <c r="Y3" s="113" t="s">
        <v>88</v>
      </c>
      <c r="Z3" s="113" t="s">
        <v>16</v>
      </c>
      <c r="AA3" s="113" t="s">
        <v>88</v>
      </c>
      <c r="AB3" s="113" t="s">
        <v>16</v>
      </c>
      <c r="AC3" s="113" t="s">
        <v>88</v>
      </c>
      <c r="AD3" s="113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1</v>
      </c>
      <c r="P4">
        <f>J10</f>
        <v>0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4</v>
      </c>
      <c r="T4">
        <f t="shared" si="0"/>
        <v>3</v>
      </c>
      <c r="U4">
        <f t="shared" si="1"/>
        <v>0</v>
      </c>
      <c r="V4">
        <f>IF(S4=0,1,0)*N4*'Результаты матчей'!Q4</f>
        <v>0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4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8</v>
      </c>
      <c r="Z5" s="130">
        <v>70.8</v>
      </c>
      <c r="AA5" s="131">
        <v>5</v>
      </c>
      <c r="AB5" s="58">
        <v>59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1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4</v>
      </c>
      <c r="T6">
        <f t="shared" si="0"/>
        <v>5</v>
      </c>
      <c r="U6">
        <f t="shared" si="1"/>
        <v>0</v>
      </c>
      <c r="V6">
        <f>IF(S6=0,1,0)*N6*'Результаты матчей'!Q6</f>
        <v>0</v>
      </c>
      <c r="W6">
        <f>IF(S6&lt;6,1,0)*N6*'Результаты матчей'!Q6</f>
        <v>5</v>
      </c>
      <c r="X6" s="129" t="s">
        <v>91</v>
      </c>
      <c r="Y6" s="87">
        <v>8</v>
      </c>
      <c r="Z6" s="130">
        <v>42</v>
      </c>
      <c r="AA6" s="131">
        <v>10</v>
      </c>
      <c r="AB6" s="58">
        <v>27</v>
      </c>
      <c r="AC6" s="131">
        <v>2</v>
      </c>
      <c r="AD6" s="58">
        <v>15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2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ref="T7:T52" si="2">IF(S7&gt;0,1,0)*N7</f>
        <v>6</v>
      </c>
      <c r="U7">
        <f t="shared" ref="U7:U52" si="3">IF(S7&gt;5,1,0)*N7</f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1</v>
      </c>
      <c r="Z7" s="130">
        <v>120</v>
      </c>
      <c r="AA7" s="131">
        <v>5</v>
      </c>
      <c r="AB7" s="58">
        <v>65</v>
      </c>
      <c r="AC7" s="131">
        <v>4</v>
      </c>
      <c r="AD7" s="58">
        <v>35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1</v>
      </c>
      <c r="T8">
        <f t="shared" si="2"/>
        <v>7</v>
      </c>
      <c r="U8">
        <f t="shared" si="3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3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1</v>
      </c>
      <c r="K9" s="85" t="s">
        <v>0</v>
      </c>
      <c r="N9">
        <v>8</v>
      </c>
      <c r="O9">
        <f>H13</f>
        <v>2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4</v>
      </c>
      <c r="T9">
        <f t="shared" si="2"/>
        <v>8</v>
      </c>
      <c r="U9">
        <f t="shared" si="3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1</v>
      </c>
      <c r="I10" s="86" t="s">
        <v>13</v>
      </c>
      <c r="J10" s="87">
        <v>0</v>
      </c>
      <c r="K10" s="88" t="s">
        <v>142</v>
      </c>
      <c r="N10">
        <v>9</v>
      </c>
      <c r="O10">
        <f>H14</f>
        <v>0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2"/>
        <v>0</v>
      </c>
      <c r="U10">
        <f t="shared" si="3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IFERROR((AD10*48+AC10*31+AB10*64+AA10*SUM('Результаты матчей'!Q2:Q52))/(48+31+64+SUM('Результаты матчей'!Q2:Q52)),(AD10*48+AC10*31+AB10*64)/(48+31+64))</f>
        <v>1.4175257731958764</v>
      </c>
      <c r="AA10" s="133">
        <f>IFERROR(SUM(S2:S52)/SUM('Результаты матчей'!Q2:Q52),"-")</f>
        <v>1.4509803921568627</v>
      </c>
      <c r="AB10" s="134">
        <f>100/64</f>
        <v>1.5625</v>
      </c>
      <c r="AC10" s="134">
        <f>42/31</f>
        <v>1.3548387096774193</v>
      </c>
      <c r="AD10" s="134">
        <f>59/48</f>
        <v>1.2291666666666667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4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2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2"/>
        <v>0</v>
      </c>
      <c r="U11">
        <f t="shared" si="3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2"/>
        <v>0</v>
      </c>
      <c r="U12">
        <f t="shared" si="3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1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1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2"/>
        <v>0</v>
      </c>
      <c r="U13">
        <f t="shared" si="3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142</v>
      </c>
      <c r="Z13" s="26"/>
      <c r="AA13" s="27"/>
      <c r="AB13" s="27"/>
    </row>
    <row r="14" spans="1:31">
      <c r="A14" s="86" t="s">
        <v>144</v>
      </c>
      <c r="B14" s="87">
        <v>2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2"/>
        <v>0</v>
      </c>
      <c r="U14">
        <f t="shared" si="3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2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1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6</v>
      </c>
      <c r="T15">
        <f t="shared" si="2"/>
        <v>14</v>
      </c>
      <c r="U15">
        <f t="shared" si="3"/>
        <v>14</v>
      </c>
      <c r="V15">
        <f>IF(S15=0,1,0)*N15*'Результаты матчей'!Q15</f>
        <v>0</v>
      </c>
      <c r="W15">
        <f>IF(S15&lt;6,1,0)*N15*'Результаты матчей'!Q15</f>
        <v>0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3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1</v>
      </c>
      <c r="T16">
        <f t="shared" si="2"/>
        <v>15</v>
      </c>
      <c r="U16">
        <f t="shared" si="3"/>
        <v>0</v>
      </c>
      <c r="V16">
        <f>IF(S16=0,1,0)*N16*'Результаты матчей'!Q16</f>
        <v>0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2"/>
        <v>16</v>
      </c>
      <c r="U17">
        <f t="shared" si="3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4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4</v>
      </c>
      <c r="AC17" s="157"/>
      <c r="AD17" s="157"/>
    </row>
    <row r="18" spans="1:30" ht="12.75" customHeight="1">
      <c r="A18" s="86" t="s">
        <v>1</v>
      </c>
      <c r="B18" s="87">
        <v>1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1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2"/>
        <v>0</v>
      </c>
      <c r="U18">
        <f t="shared" si="3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3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2"/>
        <v>0</v>
      </c>
      <c r="U19">
        <f t="shared" si="3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1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0</v>
      </c>
      <c r="T20">
        <f t="shared" si="2"/>
        <v>0</v>
      </c>
      <c r="U20">
        <f t="shared" si="3"/>
        <v>0</v>
      </c>
      <c r="V20">
        <f>IF(S20=0,1,0)*N20*'Результаты матчей'!Q20</f>
        <v>19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1</v>
      </c>
      <c r="K21" s="85" t="s">
        <v>149</v>
      </c>
      <c r="N21">
        <v>20</v>
      </c>
      <c r="O21">
        <f>H22</f>
        <v>1</v>
      </c>
      <c r="P21">
        <f>J22</f>
        <v>1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2"/>
        <v>20</v>
      </c>
      <c r="U21">
        <f t="shared" si="3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1</v>
      </c>
      <c r="K22" s="88" t="s">
        <v>66</v>
      </c>
      <c r="N22">
        <v>21</v>
      </c>
      <c r="O22">
        <f>H23</f>
        <v>2</v>
      </c>
      <c r="P22">
        <f>J23</f>
        <v>0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2"/>
        <v>21</v>
      </c>
      <c r="U22">
        <f t="shared" si="3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0</v>
      </c>
      <c r="K23" s="21" t="s">
        <v>143</v>
      </c>
      <c r="N23">
        <v>22</v>
      </c>
      <c r="O23">
        <f>B25</f>
        <v>3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2"/>
        <v>22</v>
      </c>
      <c r="U23">
        <f t="shared" si="3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2</v>
      </c>
      <c r="P24">
        <f>D26</f>
        <v>1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2"/>
        <v>0</v>
      </c>
      <c r="U24">
        <f t="shared" si="3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3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1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3</v>
      </c>
      <c r="T25">
        <f t="shared" si="2"/>
        <v>24</v>
      </c>
      <c r="U25">
        <f t="shared" si="3"/>
        <v>0</v>
      </c>
      <c r="V25">
        <f>IF(S25=0,1,0)*N25*'Результаты матчей'!Q25</f>
        <v>0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2</v>
      </c>
      <c r="C26" s="86" t="s">
        <v>13</v>
      </c>
      <c r="D26" s="87">
        <v>1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2"/>
        <v>0</v>
      </c>
      <c r="U26">
        <f t="shared" si="3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2"/>
        <v>0</v>
      </c>
      <c r="U27">
        <f t="shared" si="3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0</v>
      </c>
      <c r="P28">
        <f>D29</f>
        <v>2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1</v>
      </c>
      <c r="T28">
        <f t="shared" si="2"/>
        <v>27</v>
      </c>
      <c r="U28">
        <f t="shared" si="3"/>
        <v>0</v>
      </c>
      <c r="V28">
        <f>IF(S28=0,1,0)*N28*'Результаты матчей'!Q28</f>
        <v>0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0</v>
      </c>
      <c r="C29" s="83" t="s">
        <v>13</v>
      </c>
      <c r="D29" s="84">
        <v>2</v>
      </c>
      <c r="E29" s="85" t="s">
        <v>141</v>
      </c>
      <c r="F29" s="9"/>
      <c r="G29" s="83" t="s">
        <v>146</v>
      </c>
      <c r="H29" s="84">
        <v>1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0</v>
      </c>
      <c r="P29">
        <f>D30</f>
        <v>3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2"/>
        <v>0</v>
      </c>
      <c r="U29">
        <f t="shared" si="3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3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1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4</v>
      </c>
      <c r="T30">
        <f t="shared" si="2"/>
        <v>29</v>
      </c>
      <c r="U30">
        <f t="shared" si="3"/>
        <v>0</v>
      </c>
      <c r="V30">
        <f>IF(S30=0,1,0)*N30*'Результаты матчей'!Q30</f>
        <v>0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2"/>
        <v>30</v>
      </c>
      <c r="U31">
        <f t="shared" si="3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1</v>
      </c>
      <c r="K32" s="21" t="s">
        <v>12</v>
      </c>
      <c r="N32">
        <v>31</v>
      </c>
      <c r="O32">
        <f>H31</f>
        <v>1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2"/>
        <v>0</v>
      </c>
      <c r="U32">
        <f t="shared" si="3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1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2"/>
        <v>0</v>
      </c>
      <c r="U33">
        <f t="shared" si="3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1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1</v>
      </c>
      <c r="P34">
        <f>D34</f>
        <v>1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2"/>
        <v>0</v>
      </c>
      <c r="U34">
        <f t="shared" si="3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207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1</v>
      </c>
      <c r="I35" s="86" t="s">
        <v>13</v>
      </c>
      <c r="J35" s="87">
        <v>2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2"/>
        <v>0</v>
      </c>
      <c r="U35">
        <f t="shared" si="3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2"/>
        <v>0</v>
      </c>
      <c r="U36">
        <f t="shared" si="3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208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1</v>
      </c>
      <c r="P37">
        <f>J35</f>
        <v>2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4</v>
      </c>
      <c r="T37">
        <f t="shared" si="2"/>
        <v>36</v>
      </c>
      <c r="U37">
        <f t="shared" si="3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1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6</v>
      </c>
      <c r="T38">
        <f t="shared" si="2"/>
        <v>37</v>
      </c>
      <c r="U38">
        <f t="shared" si="3"/>
        <v>37</v>
      </c>
      <c r="V38">
        <f>IF(S38=0,1,0)*N38*'Результаты матчей'!Q38</f>
        <v>0</v>
      </c>
      <c r="W38">
        <f>IF(S38&lt;6,1,0)*N38*'Результаты матчей'!Q38</f>
        <v>0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2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2"/>
        <v>38</v>
      </c>
      <c r="U39">
        <f t="shared" si="3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1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2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2"/>
        <v>0</v>
      </c>
      <c r="U40">
        <f t="shared" si="3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2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0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2"/>
        <v>40</v>
      </c>
      <c r="U41">
        <f t="shared" si="3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2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0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2</v>
      </c>
      <c r="P42">
        <f>J41</f>
        <v>0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2"/>
        <v>41</v>
      </c>
      <c r="U42">
        <f t="shared" si="3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0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2"/>
        <v>42</v>
      </c>
      <c r="U43">
        <f t="shared" si="3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2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1</v>
      </c>
      <c r="P44">
        <f>D44</f>
        <v>2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2"/>
        <v>0</v>
      </c>
      <c r="U44">
        <f t="shared" si="3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2"/>
        <v>0</v>
      </c>
      <c r="U45">
        <f t="shared" si="3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6</v>
      </c>
      <c r="T46">
        <f t="shared" si="2"/>
        <v>45</v>
      </c>
      <c r="U46">
        <f t="shared" si="3"/>
        <v>45</v>
      </c>
      <c r="V46">
        <f>IF(S46=0,1,0)*N46*'Результаты матчей'!Q46</f>
        <v>0</v>
      </c>
      <c r="W46">
        <f>IF(S46&lt;6,1,0)*N46*'Результаты матчей'!Q46</f>
        <v>0</v>
      </c>
    </row>
    <row r="47" spans="1:24">
      <c r="N47">
        <v>46</v>
      </c>
      <c r="O47">
        <f>H49</f>
        <v>1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2"/>
        <v>0</v>
      </c>
      <c r="U47">
        <f t="shared" si="3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6</v>
      </c>
      <c r="T48">
        <f t="shared" si="2"/>
        <v>47</v>
      </c>
      <c r="U48">
        <f t="shared" si="3"/>
        <v>47</v>
      </c>
      <c r="V48">
        <f>IF(S48=0,1,0)*N48*'Результаты матчей'!Q48</f>
        <v>0</v>
      </c>
      <c r="W48">
        <f>IF(S48&lt;6,1,0)*N48*'Результаты матчей'!Q48</f>
        <v>0</v>
      </c>
    </row>
    <row r="49" spans="1:23">
      <c r="A49" s="11" t="s">
        <v>144</v>
      </c>
      <c r="B49" s="82">
        <v>1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1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2"/>
        <v>0</v>
      </c>
      <c r="U49">
        <f t="shared" si="3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1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2"/>
        <v>0</v>
      </c>
      <c r="U50">
        <f t="shared" si="3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1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2</v>
      </c>
      <c r="P51">
        <f>J56</f>
        <v>1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2"/>
        <v>0</v>
      </c>
      <c r="U51">
        <f t="shared" si="3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0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2"/>
        <v>0</v>
      </c>
      <c r="U52">
        <f t="shared" si="3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1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2</v>
      </c>
      <c r="I56" s="83" t="s">
        <v>13</v>
      </c>
      <c r="J56" s="84">
        <v>1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0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67</v>
      </c>
      <c r="G64" s="114"/>
    </row>
  </sheetData>
  <mergeCells count="11">
    <mergeCell ref="X2:X3"/>
    <mergeCell ref="Y2:Z2"/>
    <mergeCell ref="AA2:AB2"/>
    <mergeCell ref="AC2:AD2"/>
    <mergeCell ref="X9:Y9"/>
    <mergeCell ref="X30:Z31"/>
    <mergeCell ref="AB30:AD31"/>
    <mergeCell ref="X17:Z29"/>
    <mergeCell ref="AB17:AD29"/>
    <mergeCell ref="X15:Z16"/>
    <mergeCell ref="AB15:AD16"/>
  </mergeCells>
  <conditionalFormatting sqref="X30:Z31">
    <cfRule type="containsText" dxfId="37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36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4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20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6</v>
      </c>
      <c r="T4">
        <f t="shared" si="0"/>
        <v>3</v>
      </c>
      <c r="U4">
        <f t="shared" si="1"/>
        <v>3</v>
      </c>
      <c r="V4">
        <f>IF(S4=0,1,0)*N4*'Результаты матчей'!Q4</f>
        <v>0</v>
      </c>
      <c r="W4">
        <f>IF(S4&lt;6,1,0)*N4*'Результаты матчей'!Q4</f>
        <v>0</v>
      </c>
      <c r="X4" s="124" t="s">
        <v>89</v>
      </c>
      <c r="Y4" s="125">
        <v>10</v>
      </c>
      <c r="Z4" s="126">
        <v>20</v>
      </c>
      <c r="AA4" s="127">
        <v>10</v>
      </c>
      <c r="AB4" s="128">
        <v>15</v>
      </c>
      <c r="AC4" s="127">
        <v>6</v>
      </c>
      <c r="AD4" s="128">
        <v>5</v>
      </c>
    </row>
    <row r="5" spans="1:31">
      <c r="B5" s="1"/>
      <c r="C5" s="1"/>
      <c r="F5" s="7"/>
      <c r="G5" s="4"/>
      <c r="H5" s="1"/>
      <c r="N5">
        <v>4</v>
      </c>
      <c r="O5">
        <f>H11</f>
        <v>3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1</v>
      </c>
      <c r="Z5" s="130">
        <v>105</v>
      </c>
      <c r="AA5" s="131">
        <v>1</v>
      </c>
      <c r="AB5" s="58">
        <v>74</v>
      </c>
      <c r="AC5" s="131">
        <v>2</v>
      </c>
      <c r="AD5" s="58">
        <v>31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2</v>
      </c>
      <c r="P6">
        <f>D13</f>
        <v>2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>
        <v>13</v>
      </c>
      <c r="Z6" s="130">
        <v>22</v>
      </c>
      <c r="AA6" s="131">
        <v>13</v>
      </c>
      <c r="AB6" s="58">
        <v>12</v>
      </c>
      <c r="AC6" s="131">
        <v>6</v>
      </c>
      <c r="AD6" s="58">
        <v>10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3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1</v>
      </c>
      <c r="T7">
        <f t="shared" si="0"/>
        <v>6</v>
      </c>
      <c r="U7">
        <f t="shared" si="1"/>
        <v>0</v>
      </c>
      <c r="V7">
        <f>IF(S7=0,1,0)*N7*'Результаты матчей'!Q7</f>
        <v>0</v>
      </c>
      <c r="W7">
        <f>IF(S7&lt;6,1,0)*N7*'Результаты матчей'!Q7</f>
        <v>6</v>
      </c>
      <c r="X7" s="129" t="s">
        <v>159</v>
      </c>
      <c r="Y7" s="87">
        <v>5</v>
      </c>
      <c r="Z7" s="130">
        <v>97</v>
      </c>
      <c r="AA7" s="131">
        <v>2</v>
      </c>
      <c r="AB7" s="58">
        <v>71</v>
      </c>
      <c r="AC7" s="131">
        <v>9</v>
      </c>
      <c r="AD7" s="58">
        <v>26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2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6</v>
      </c>
      <c r="T8">
        <f t="shared" si="0"/>
        <v>7</v>
      </c>
      <c r="U8">
        <f t="shared" si="1"/>
        <v>7</v>
      </c>
      <c r="V8">
        <f>IF(S8=0,1,0)*N8*'Результаты матчей'!Q8</f>
        <v>0</v>
      </c>
      <c r="W8">
        <f>IF(S8&lt;6,1,0)*N8*'Результаты матчей'!Q8</f>
        <v>0</v>
      </c>
    </row>
    <row r="9" spans="1:31">
      <c r="A9" s="83" t="s">
        <v>10</v>
      </c>
      <c r="B9" s="84">
        <v>4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1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4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1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6</v>
      </c>
      <c r="T10">
        <f t="shared" si="0"/>
        <v>9</v>
      </c>
      <c r="U10">
        <f t="shared" si="1"/>
        <v>9</v>
      </c>
      <c r="V10">
        <f>IF(S10=0,1,0)*N10*'Результаты матчей'!Q10</f>
        <v>0</v>
      </c>
      <c r="W10">
        <f>IF(S10&lt;6,1,0)*N10*'Результаты матчей'!Q10</f>
        <v>0</v>
      </c>
      <c r="X10" s="124"/>
      <c r="Y10" s="124" t="s">
        <v>92</v>
      </c>
      <c r="Z10" s="132">
        <f>IFERROR((AE10*31+AD10*64+AC10*31+AB10*64+AA10*SUM('Результаты матчей'!Q2:Q52))/(31+64+31+64+SUM('Результаты матчей'!Q2:Q52)),(AE10*31+AD10*64+AC10*31+AB10*64)/(31+64+31+64))</f>
        <v>1.3319502074688796</v>
      </c>
      <c r="AA10" s="133">
        <f>IFERROR(SUM(S2:S52)/SUM('Результаты матчей'!Q2:Q52),"-")</f>
        <v>1.5098039215686274</v>
      </c>
      <c r="AB10" s="134">
        <f>97/64</f>
        <v>1.515625</v>
      </c>
      <c r="AC10" s="134">
        <f>22/31</f>
        <v>0.70967741935483875</v>
      </c>
      <c r="AD10" s="134">
        <f>105/64</f>
        <v>1.640625</v>
      </c>
      <c r="AE10" s="134">
        <f>20/31</f>
        <v>0.64516129032258063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3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0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1</v>
      </c>
      <c r="T11">
        <f t="shared" si="0"/>
        <v>10</v>
      </c>
      <c r="U11">
        <f t="shared" si="1"/>
        <v>0</v>
      </c>
      <c r="V11">
        <f>IF(S11=0,1,0)*N11*'Результаты матчей'!Q11</f>
        <v>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2</v>
      </c>
      <c r="C13" s="83" t="s">
        <v>13</v>
      </c>
      <c r="D13" s="84">
        <v>2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1</v>
      </c>
      <c r="K13" s="85" t="s">
        <v>147</v>
      </c>
      <c r="N13">
        <v>12</v>
      </c>
      <c r="O13">
        <f>B18</f>
        <v>1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0</v>
      </c>
      <c r="Z13" s="26"/>
      <c r="AA13" s="27"/>
      <c r="AB13" s="27"/>
    </row>
    <row r="14" spans="1:31">
      <c r="A14" s="86" t="s">
        <v>144</v>
      </c>
      <c r="B14" s="87">
        <v>3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2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2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0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2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3</v>
      </c>
      <c r="P17">
        <f>D21</f>
        <v>2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6</v>
      </c>
      <c r="AC17" s="157"/>
      <c r="AD17" s="157"/>
    </row>
    <row r="18" spans="1:30" ht="12.75" customHeight="1">
      <c r="A18" s="86" t="s">
        <v>1</v>
      </c>
      <c r="B18" s="87">
        <v>1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2</v>
      </c>
      <c r="K18" s="88" t="s">
        <v>0</v>
      </c>
      <c r="N18">
        <v>17</v>
      </c>
      <c r="O18">
        <f>B22</f>
        <v>1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1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1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3</v>
      </c>
      <c r="C21" s="83" t="s">
        <v>13</v>
      </c>
      <c r="D21" s="84">
        <v>2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1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3</v>
      </c>
      <c r="P22">
        <f>J23</f>
        <v>2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1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2</v>
      </c>
      <c r="K23" s="21" t="s">
        <v>143</v>
      </c>
      <c r="N23">
        <v>22</v>
      </c>
      <c r="O23">
        <f>B25</f>
        <v>1</v>
      </c>
      <c r="P23">
        <f>D25</f>
        <v>0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1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1</v>
      </c>
      <c r="C25" s="83" t="s">
        <v>13</v>
      </c>
      <c r="D25" s="84">
        <v>0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2</v>
      </c>
      <c r="K25" s="85" t="s">
        <v>140</v>
      </c>
      <c r="N25">
        <v>24</v>
      </c>
      <c r="O25">
        <f>B27</f>
        <v>1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3</v>
      </c>
      <c r="T25">
        <f t="shared" si="0"/>
        <v>24</v>
      </c>
      <c r="U25">
        <f t="shared" si="1"/>
        <v>0</v>
      </c>
      <c r="V25">
        <f>IF(S25=0,1,0)*N25*'Результаты матчей'!Q25</f>
        <v>0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1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2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4</v>
      </c>
      <c r="T26">
        <f t="shared" si="0"/>
        <v>25</v>
      </c>
      <c r="U26">
        <f t="shared" si="1"/>
        <v>0</v>
      </c>
      <c r="V26">
        <f>IF(S26=0,1,0)*N26*'Результаты матчей'!Q26</f>
        <v>0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1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1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1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0</v>
      </c>
      <c r="I29" s="83" t="s">
        <v>13</v>
      </c>
      <c r="J29" s="84">
        <v>0</v>
      </c>
      <c r="K29" s="85" t="s">
        <v>144</v>
      </c>
      <c r="N29">
        <v>28</v>
      </c>
      <c r="O29">
        <f>B30</f>
        <v>0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3</v>
      </c>
      <c r="K30" s="88" t="s">
        <v>2</v>
      </c>
      <c r="N30">
        <v>29</v>
      </c>
      <c r="O30">
        <f>H29</f>
        <v>0</v>
      </c>
      <c r="P30">
        <f>J29</f>
        <v>0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с набранными баллами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1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3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1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1</v>
      </c>
      <c r="C34" s="83" t="s">
        <v>13</v>
      </c>
      <c r="D34" s="84">
        <v>2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1</v>
      </c>
      <c r="P34">
        <f>D34</f>
        <v>2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209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0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210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0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6</v>
      </c>
      <c r="T37">
        <f t="shared" si="0"/>
        <v>36</v>
      </c>
      <c r="U37">
        <f t="shared" si="1"/>
        <v>36</v>
      </c>
      <c r="V37">
        <f>IF(S37=0,1,0)*N37*'Результаты матчей'!Q37</f>
        <v>0</v>
      </c>
      <c r="W37">
        <f>IF(S37&lt;6,1,0)*N37*'Результаты матчей'!Q37</f>
        <v>0</v>
      </c>
    </row>
    <row r="38" spans="1:24" ht="12.75" customHeight="1">
      <c r="N38">
        <v>37</v>
      </c>
      <c r="O38">
        <f>B40</f>
        <v>0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1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6</v>
      </c>
      <c r="T39">
        <f t="shared" si="0"/>
        <v>38</v>
      </c>
      <c r="U39">
        <f t="shared" si="1"/>
        <v>38</v>
      </c>
      <c r="V39">
        <f>IF(S39=0,1,0)*N39*'Результаты матчей'!Q39</f>
        <v>0</v>
      </c>
      <c r="W39">
        <f>IF(S39&lt;6,1,0)*N39*'Результаты матчей'!Q39</f>
        <v>0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3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0</v>
      </c>
      <c r="T40">
        <f t="shared" si="0"/>
        <v>0</v>
      </c>
      <c r="U40">
        <f t="shared" si="1"/>
        <v>0</v>
      </c>
      <c r="V40">
        <f>IF(S40=0,1,0)*N40*'Результаты матчей'!Q40</f>
        <v>39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1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3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4</v>
      </c>
      <c r="K42" s="21" t="s">
        <v>67</v>
      </c>
      <c r="N42">
        <v>41</v>
      </c>
      <c r="O42">
        <f>H41</f>
        <v>2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4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0</v>
      </c>
      <c r="E44" s="85" t="s">
        <v>12</v>
      </c>
      <c r="F44" s="9"/>
      <c r="G44" s="83" t="s">
        <v>21</v>
      </c>
      <c r="H44" s="84">
        <v>3</v>
      </c>
      <c r="I44" s="83" t="s">
        <v>13</v>
      </c>
      <c r="J44" s="84">
        <v>1</v>
      </c>
      <c r="K44" s="85" t="s">
        <v>152</v>
      </c>
      <c r="N44">
        <v>43</v>
      </c>
      <c r="O44">
        <f>B44</f>
        <v>1</v>
      </c>
      <c r="P44">
        <f>D44</f>
        <v>0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1</v>
      </c>
      <c r="T44">
        <f t="shared" si="0"/>
        <v>43</v>
      </c>
      <c r="U44">
        <f t="shared" si="1"/>
        <v>0</v>
      </c>
      <c r="V44">
        <f>IF(S44=0,1,0)*N44*'Результаты матчей'!Q44</f>
        <v>0</v>
      </c>
      <c r="W44">
        <f>IF(S44&lt;6,1,0)*N44*'Результаты матчей'!Q44</f>
        <v>43</v>
      </c>
    </row>
    <row r="45" spans="1:24">
      <c r="N45">
        <v>44</v>
      </c>
      <c r="O45">
        <f>H44</f>
        <v>3</v>
      </c>
      <c r="P45">
        <f>J44</f>
        <v>1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1</v>
      </c>
      <c r="P46">
        <f>D49</f>
        <v>1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6</v>
      </c>
      <c r="T46">
        <f t="shared" si="0"/>
        <v>45</v>
      </c>
      <c r="U46">
        <f t="shared" si="1"/>
        <v>45</v>
      </c>
      <c r="V46">
        <f>IF(S46=0,1,0)*N46*'Результаты матчей'!Q46</f>
        <v>0</v>
      </c>
      <c r="W46">
        <f>IF(S46&lt;6,1,0)*N46*'Результаты матчей'!Q46</f>
        <v>0</v>
      </c>
    </row>
    <row r="47" spans="1:24">
      <c r="N47">
        <v>46</v>
      </c>
      <c r="O47">
        <f>H49</f>
        <v>1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0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1</v>
      </c>
      <c r="C49" s="11" t="s">
        <v>13</v>
      </c>
      <c r="D49" s="82">
        <v>1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1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3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0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1</v>
      </c>
      <c r="K51" s="85" t="s">
        <v>152</v>
      </c>
      <c r="N51">
        <v>50</v>
      </c>
      <c r="O51">
        <f>H56</f>
        <v>4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0</v>
      </c>
      <c r="T51">
        <f t="shared" si="0"/>
        <v>0</v>
      </c>
      <c r="U51">
        <f t="shared" si="1"/>
        <v>0</v>
      </c>
      <c r="V51">
        <f>IF(S51=0,1,0)*N51*'Результаты матчей'!Q51</f>
        <v>50</v>
      </c>
      <c r="W51">
        <f>IF(S51&lt;6,1,0)*N51*'Результаты матчей'!Q51</f>
        <v>50</v>
      </c>
    </row>
    <row r="52" spans="1:23">
      <c r="N52">
        <v>51</v>
      </c>
      <c r="O52">
        <f>D61</f>
        <v>2</v>
      </c>
      <c r="P52">
        <f>H61</f>
        <v>1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4</v>
      </c>
      <c r="T52">
        <f t="shared" si="0"/>
        <v>51</v>
      </c>
      <c r="U52">
        <f t="shared" si="1"/>
        <v>0</v>
      </c>
      <c r="V52">
        <f>IF(S52=0,1,0)*N52*'Результаты матчей'!Q52</f>
        <v>0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3</v>
      </c>
      <c r="E56" s="85" t="s">
        <v>141</v>
      </c>
      <c r="F56" s="9"/>
      <c r="G56" s="83" t="s">
        <v>2</v>
      </c>
      <c r="H56" s="84">
        <v>4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2</v>
      </c>
      <c r="E61" s="83" t="s">
        <v>1</v>
      </c>
      <c r="F61" s="83" t="s">
        <v>13</v>
      </c>
      <c r="G61" s="85" t="s">
        <v>10</v>
      </c>
      <c r="H61" s="84">
        <v>1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149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35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34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4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0</v>
      </c>
      <c r="T2">
        <f>IF(S2&gt;0,1,0)*N2</f>
        <v>0</v>
      </c>
      <c r="U2">
        <f>IF(S2&gt;5,1,0)*N2</f>
        <v>0</v>
      </c>
      <c r="V2">
        <f>IF(S2=0,1,0)*N2*'Результаты матчей'!Q2</f>
        <v>1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120</v>
      </c>
      <c r="G3" s="72"/>
      <c r="H3" s="71"/>
      <c r="I3" s="71"/>
      <c r="J3" s="71"/>
      <c r="K3" s="72"/>
      <c r="N3">
        <v>2</v>
      </c>
      <c r="O3">
        <f>H9</f>
        <v>1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4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2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0</v>
      </c>
      <c r="T4">
        <f t="shared" si="0"/>
        <v>0</v>
      </c>
      <c r="U4">
        <f t="shared" si="1"/>
        <v>0</v>
      </c>
      <c r="V4">
        <f>IF(S4=0,1,0)*N4*'Результаты матчей'!Q4</f>
        <v>3</v>
      </c>
      <c r="W4">
        <f>IF(S4&lt;6,1,0)*N4*'Результаты матчей'!Q4</f>
        <v>3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2</v>
      </c>
      <c r="P5">
        <f>J11</f>
        <v>1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>
        <v>7</v>
      </c>
      <c r="Z5" s="130">
        <v>74</v>
      </c>
      <c r="AA5" s="131">
        <v>6</v>
      </c>
      <c r="AB5" s="58">
        <v>57</v>
      </c>
      <c r="AC5" s="131">
        <v>10</v>
      </c>
      <c r="AD5" s="58">
        <v>17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3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0</v>
      </c>
      <c r="T6">
        <f t="shared" si="0"/>
        <v>0</v>
      </c>
      <c r="U6">
        <f t="shared" si="1"/>
        <v>0</v>
      </c>
      <c r="V6">
        <f>IF(S6=0,1,0)*N6*'Результаты матчей'!Q6</f>
        <v>5</v>
      </c>
      <c r="W6">
        <f>IF(S6&lt;6,1,0)*N6*'Результаты матчей'!Q6</f>
        <v>5</v>
      </c>
      <c r="X6" s="129" t="s">
        <v>91</v>
      </c>
      <c r="Y6" s="87">
        <v>12</v>
      </c>
      <c r="Z6" s="130">
        <v>25</v>
      </c>
      <c r="AA6" s="131">
        <v>12</v>
      </c>
      <c r="AB6" s="58">
        <v>21</v>
      </c>
      <c r="AC6" s="131">
        <v>12</v>
      </c>
      <c r="AD6" s="58">
        <v>4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0</v>
      </c>
      <c r="P7">
        <f>D14</f>
        <v>1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>
        <v>6</v>
      </c>
      <c r="Z7" s="130">
        <v>92</v>
      </c>
      <c r="AA7" s="131">
        <v>6</v>
      </c>
      <c r="AB7" s="58">
        <v>60</v>
      </c>
      <c r="AC7" s="131">
        <v>6</v>
      </c>
      <c r="AD7" s="58">
        <v>32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0</v>
      </c>
      <c r="P8">
        <f>D15</f>
        <v>0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0</v>
      </c>
      <c r="T8">
        <f t="shared" si="0"/>
        <v>0</v>
      </c>
      <c r="U8">
        <f t="shared" si="1"/>
        <v>0</v>
      </c>
      <c r="V8">
        <f>IF(S8=0,1,0)*N8*'Результаты матчей'!Q8</f>
        <v>7</v>
      </c>
      <c r="W8">
        <f>IF(S8&lt;6,1,0)*N8*'Результаты матчей'!Q8</f>
        <v>7</v>
      </c>
    </row>
    <row r="9" spans="1:31">
      <c r="A9" s="83" t="s">
        <v>10</v>
      </c>
      <c r="B9" s="84">
        <v>2</v>
      </c>
      <c r="C9" s="83" t="s">
        <v>13</v>
      </c>
      <c r="D9" s="84">
        <v>4</v>
      </c>
      <c r="E9" s="85" t="s">
        <v>139</v>
      </c>
      <c r="F9" s="11"/>
      <c r="G9" s="83" t="s">
        <v>140</v>
      </c>
      <c r="H9" s="84">
        <v>1</v>
      </c>
      <c r="I9" s="83" t="s">
        <v>13</v>
      </c>
      <c r="J9" s="84">
        <v>2</v>
      </c>
      <c r="K9" s="85" t="s">
        <v>0</v>
      </c>
      <c r="N9">
        <v>8</v>
      </c>
      <c r="O9">
        <f>H13</f>
        <v>2</v>
      </c>
      <c r="P9">
        <f>J13</f>
        <v>2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0</v>
      </c>
      <c r="T9">
        <f t="shared" si="0"/>
        <v>0</v>
      </c>
      <c r="U9">
        <f t="shared" si="1"/>
        <v>0</v>
      </c>
      <c r="V9">
        <f>IF(S9=0,1,0)*N9*'Результаты матчей'!Q9</f>
        <v>8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2</v>
      </c>
      <c r="K10" s="88" t="s">
        <v>142</v>
      </c>
      <c r="N10">
        <v>9</v>
      </c>
      <c r="O10">
        <f>H14</f>
        <v>1</v>
      </c>
      <c r="P10">
        <f>J14</f>
        <v>2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IFERROR((AD10*64+AC10*31+AB10*64+AA10*SUM('Результаты матчей'!Q2:Q52))/(64+31+64+SUM('Результаты матчей'!Q2:Q52)),(AD10*64+AC10*31+AB10*64)/(64+31+64))</f>
        <v>1.0904761904761904</v>
      </c>
      <c r="AA10" s="133">
        <f>IFERROR(SUM(S2:S52)/SUM('Результаты матчей'!Q2:Q52),"-")</f>
        <v>0.74509803921568629</v>
      </c>
      <c r="AB10" s="134">
        <f>92/64</f>
        <v>1.4375</v>
      </c>
      <c r="AC10" s="134">
        <f>25/31</f>
        <v>0.80645161290322576</v>
      </c>
      <c r="AD10" s="134">
        <f>74/64</f>
        <v>1.15625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2</v>
      </c>
      <c r="I11" s="11" t="s">
        <v>13</v>
      </c>
      <c r="J11" s="82">
        <v>1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1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3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2</v>
      </c>
      <c r="I13" s="83" t="s">
        <v>13</v>
      </c>
      <c r="J13" s="84">
        <v>2</v>
      </c>
      <c r="K13" s="85" t="s">
        <v>147</v>
      </c>
      <c r="N13">
        <v>12</v>
      </c>
      <c r="O13">
        <f>B18</f>
        <v>3</v>
      </c>
      <c r="P13">
        <f>D18</f>
        <v>1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68</v>
      </c>
      <c r="Z13" s="26"/>
      <c r="AA13" s="27"/>
      <c r="AB13" s="27"/>
    </row>
    <row r="14" spans="1:31">
      <c r="A14" s="86" t="s">
        <v>144</v>
      </c>
      <c r="B14" s="87">
        <v>0</v>
      </c>
      <c r="C14" s="86" t="s">
        <v>13</v>
      </c>
      <c r="D14" s="87">
        <v>1</v>
      </c>
      <c r="E14" s="88" t="s">
        <v>145</v>
      </c>
      <c r="F14" s="11"/>
      <c r="G14" s="86" t="s">
        <v>148</v>
      </c>
      <c r="H14" s="87">
        <v>1</v>
      </c>
      <c r="I14" s="86" t="s">
        <v>13</v>
      </c>
      <c r="J14" s="87">
        <v>2</v>
      </c>
      <c r="K14" s="88" t="s">
        <v>149</v>
      </c>
      <c r="N14">
        <v>13</v>
      </c>
      <c r="O14">
        <f>H17</f>
        <v>1</v>
      </c>
      <c r="P14">
        <f>J17</f>
        <v>1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0</v>
      </c>
      <c r="C15" s="11" t="s">
        <v>13</v>
      </c>
      <c r="D15" s="82">
        <v>0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2</v>
      </c>
      <c r="P15">
        <f>J18</f>
        <v>3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2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0</v>
      </c>
      <c r="T16">
        <f t="shared" si="0"/>
        <v>0</v>
      </c>
      <c r="U16">
        <f t="shared" si="1"/>
        <v>0</v>
      </c>
      <c r="V16">
        <f>IF(S16=0,1,0)*N16*'Результаты матчей'!Q16</f>
        <v>15</v>
      </c>
      <c r="W16">
        <f>IF(S16&lt;6,1,0)*N16*'Результаты матчей'!Q16</f>
        <v>15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1</v>
      </c>
      <c r="E17" s="85" t="s">
        <v>151</v>
      </c>
      <c r="F17" s="9"/>
      <c r="G17" s="83" t="s">
        <v>68</v>
      </c>
      <c r="H17" s="84">
        <v>1</v>
      </c>
      <c r="I17" s="83" t="s">
        <v>13</v>
      </c>
      <c r="J17" s="84">
        <v>1</v>
      </c>
      <c r="K17" s="85" t="s">
        <v>142</v>
      </c>
      <c r="N17">
        <v>16</v>
      </c>
      <c r="O17">
        <f>B21</f>
        <v>1</v>
      </c>
      <c r="P17">
        <f>D21</f>
        <v>0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4</v>
      </c>
      <c r="T17">
        <f t="shared" si="0"/>
        <v>16</v>
      </c>
      <c r="U17">
        <f t="shared" si="1"/>
        <v>0</v>
      </c>
      <c r="V17">
        <f>IF(S17=0,1,0)*N17*'Результаты матчей'!Q17</f>
        <v>0</v>
      </c>
      <c r="W17">
        <f>IF(S17&lt;6,1,0)*N17*'Результаты матчей'!Q17</f>
        <v>16</v>
      </c>
      <c r="X17" s="157">
        <f>IF(SUM('Результаты матчей'!Q2:Q65)=MAX(T2:T66),SUM('Результаты матчей'!Q2:Q65)-MAX(V2:V66),SUM('Результаты матчей'!Q2:Q65)-MAX(T2:T66))</f>
        <v>2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21</v>
      </c>
      <c r="AC17" s="157"/>
      <c r="AD17" s="157"/>
    </row>
    <row r="18" spans="1:30" ht="12.75" customHeight="1">
      <c r="A18" s="86" t="s">
        <v>1</v>
      </c>
      <c r="B18" s="87">
        <v>3</v>
      </c>
      <c r="C18" s="86" t="s">
        <v>13</v>
      </c>
      <c r="D18" s="87">
        <v>1</v>
      </c>
      <c r="E18" s="88" t="s">
        <v>152</v>
      </c>
      <c r="F18" s="9"/>
      <c r="G18" s="86" t="s">
        <v>139</v>
      </c>
      <c r="H18" s="87">
        <v>2</v>
      </c>
      <c r="I18" s="86" t="s">
        <v>13</v>
      </c>
      <c r="J18" s="87">
        <v>3</v>
      </c>
      <c r="K18" s="88" t="s">
        <v>0</v>
      </c>
      <c r="N18">
        <v>17</v>
      </c>
      <c r="O18">
        <f>B22</f>
        <v>0</v>
      </c>
      <c r="P18">
        <f>D22</f>
        <v>0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2</v>
      </c>
      <c r="K19" s="21" t="s">
        <v>140</v>
      </c>
      <c r="N19">
        <v>18</v>
      </c>
      <c r="O19">
        <f>B23</f>
        <v>1</v>
      </c>
      <c r="P19">
        <f>D23</f>
        <v>2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2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1</v>
      </c>
      <c r="T20">
        <f t="shared" si="0"/>
        <v>19</v>
      </c>
      <c r="U20">
        <f t="shared" si="1"/>
        <v>0</v>
      </c>
      <c r="V20">
        <f>IF(S20=0,1,0)*N20*'Результаты матчей'!Q20</f>
        <v>0</v>
      </c>
      <c r="W20">
        <f>IF(S20&lt;6,1,0)*N20*'Результаты матчей'!Q20</f>
        <v>19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1</v>
      </c>
      <c r="C21" s="83" t="s">
        <v>13</v>
      </c>
      <c r="D21" s="84">
        <v>0</v>
      </c>
      <c r="E21" s="85" t="s">
        <v>141</v>
      </c>
      <c r="F21" s="9"/>
      <c r="G21" s="83" t="s">
        <v>11</v>
      </c>
      <c r="H21" s="84">
        <v>2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0</v>
      </c>
      <c r="P21">
        <f>J22</f>
        <v>0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3</v>
      </c>
      <c r="T21">
        <f t="shared" si="0"/>
        <v>20</v>
      </c>
      <c r="U21">
        <f t="shared" si="1"/>
        <v>0</v>
      </c>
      <c r="V21">
        <f>IF(S21=0,1,0)*N21*'Результаты матчей'!Q21</f>
        <v>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0</v>
      </c>
      <c r="C22" s="86" t="s">
        <v>13</v>
      </c>
      <c r="D22" s="87">
        <v>0</v>
      </c>
      <c r="E22" s="88" t="s">
        <v>145</v>
      </c>
      <c r="F22" s="9"/>
      <c r="G22" s="86" t="s">
        <v>147</v>
      </c>
      <c r="H22" s="87">
        <v>0</v>
      </c>
      <c r="I22" s="86" t="s">
        <v>13</v>
      </c>
      <c r="J22" s="87">
        <v>0</v>
      </c>
      <c r="K22" s="88" t="s">
        <v>66</v>
      </c>
      <c r="N22">
        <v>21</v>
      </c>
      <c r="O22">
        <f>H23</f>
        <v>2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1</v>
      </c>
      <c r="C23" s="11" t="s">
        <v>13</v>
      </c>
      <c r="D23" s="82">
        <v>2</v>
      </c>
      <c r="E23" s="21" t="s">
        <v>144</v>
      </c>
      <c r="F23" s="2"/>
      <c r="G23" s="11" t="s">
        <v>12</v>
      </c>
      <c r="H23" s="82">
        <v>2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1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0</v>
      </c>
      <c r="T23">
        <f t="shared" si="0"/>
        <v>0</v>
      </c>
      <c r="U23">
        <f t="shared" si="1"/>
        <v>0</v>
      </c>
      <c r="V23">
        <f>IF(S23=0,1,0)*N23*'Результаты матчей'!Q23</f>
        <v>22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3</v>
      </c>
      <c r="P24">
        <f>D26</f>
        <v>3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3</v>
      </c>
      <c r="T24">
        <f t="shared" si="0"/>
        <v>23</v>
      </c>
      <c r="U24">
        <f t="shared" si="1"/>
        <v>0</v>
      </c>
      <c r="V24">
        <f>IF(S24=0,1,0)*N24*'Результаты матчей'!Q24</f>
        <v>0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1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0</v>
      </c>
      <c r="K25" s="85" t="s">
        <v>140</v>
      </c>
      <c r="N25">
        <v>24</v>
      </c>
      <c r="O25">
        <f>B27</f>
        <v>2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3</v>
      </c>
      <c r="C26" s="86" t="s">
        <v>13</v>
      </c>
      <c r="D26" s="87">
        <v>3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0</v>
      </c>
      <c r="K26" s="88" t="s">
        <v>10</v>
      </c>
      <c r="N26">
        <v>25</v>
      </c>
      <c r="O26">
        <f>H25</f>
        <v>1</v>
      </c>
      <c r="P26">
        <f>J25</f>
        <v>0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0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0</v>
      </c>
      <c r="P28">
        <f>D29</f>
        <v>1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1</v>
      </c>
      <c r="T28">
        <f t="shared" si="0"/>
        <v>27</v>
      </c>
      <c r="U28">
        <f t="shared" si="1"/>
        <v>0</v>
      </c>
      <c r="V28">
        <f>IF(S28=0,1,0)*N28*'Результаты матчей'!Q28</f>
        <v>0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0</v>
      </c>
      <c r="C29" s="83" t="s">
        <v>13</v>
      </c>
      <c r="D29" s="84">
        <v>1</v>
      </c>
      <c r="E29" s="85" t="s">
        <v>141</v>
      </c>
      <c r="F29" s="9"/>
      <c r="G29" s="83" t="s">
        <v>146</v>
      </c>
      <c r="H29" s="84">
        <v>0</v>
      </c>
      <c r="I29" s="83" t="s">
        <v>13</v>
      </c>
      <c r="J29" s="84">
        <v>1</v>
      </c>
      <c r="K29" s="85" t="s">
        <v>144</v>
      </c>
      <c r="N29">
        <v>28</v>
      </c>
      <c r="O29">
        <f>B30</f>
        <v>3</v>
      </c>
      <c r="P29">
        <f>D30</f>
        <v>1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3</v>
      </c>
      <c r="C30" s="86" t="s">
        <v>13</v>
      </c>
      <c r="D30" s="87">
        <v>1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1</v>
      </c>
      <c r="K30" s="88" t="s">
        <v>2</v>
      </c>
      <c r="N30">
        <v>29</v>
      </c>
      <c r="O30">
        <f>H29</f>
        <v>0</v>
      </c>
      <c r="P30">
        <f>J29</f>
        <v>1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6</v>
      </c>
      <c r="T30">
        <f t="shared" si="0"/>
        <v>29</v>
      </c>
      <c r="U30">
        <f t="shared" si="1"/>
        <v>29</v>
      </c>
      <c r="V30">
        <f>IF(S30=0,1,0)*N30*'Результаты матчей'!Q30</f>
        <v>0</v>
      </c>
      <c r="W30">
        <f>IF(S30&lt;6,1,0)*N30*'Результаты матчей'!Q30</f>
        <v>0</v>
      </c>
      <c r="X30" s="156" t="str">
        <f>IF(SUM('Результаты матчей'!Q2:Q65)=MAX(T2:T66),"с набранными баллами","без набранных баллов")</f>
        <v>с набранными баллами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0</v>
      </c>
      <c r="I31" s="86" t="s">
        <v>13</v>
      </c>
      <c r="J31" s="87">
        <v>1</v>
      </c>
      <c r="K31" s="88" t="s">
        <v>143</v>
      </c>
      <c r="N31">
        <v>30</v>
      </c>
      <c r="O31">
        <f>H30</f>
        <v>0</v>
      </c>
      <c r="P31">
        <f>J30</f>
        <v>1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6</v>
      </c>
      <c r="T31">
        <f t="shared" si="0"/>
        <v>30</v>
      </c>
      <c r="U31">
        <f t="shared" si="1"/>
        <v>30</v>
      </c>
      <c r="V31">
        <f>IF(S31=0,1,0)*N31*'Результаты матчей'!Q31</f>
        <v>0</v>
      </c>
      <c r="W31">
        <f>IF(S31&lt;6,1,0)*N31*'Результаты матчей'!Q31</f>
        <v>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0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0</v>
      </c>
      <c r="P32">
        <f>J31</f>
        <v>1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1</v>
      </c>
      <c r="T32">
        <f t="shared" si="0"/>
        <v>31</v>
      </c>
      <c r="U32">
        <f t="shared" si="1"/>
        <v>0</v>
      </c>
      <c r="V32">
        <f>IF(S32=0,1,0)*N32*'Результаты матчей'!Q32</f>
        <v>0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0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2</v>
      </c>
      <c r="C34" s="83" t="s">
        <v>13</v>
      </c>
      <c r="D34" s="84">
        <v>0</v>
      </c>
      <c r="E34" s="85" t="s">
        <v>150</v>
      </c>
      <c r="F34" s="9"/>
      <c r="G34" s="83" t="s">
        <v>11</v>
      </c>
      <c r="H34" s="84">
        <v>1</v>
      </c>
      <c r="I34" s="83" t="s">
        <v>13</v>
      </c>
      <c r="J34" s="84">
        <v>1</v>
      </c>
      <c r="K34" s="85" t="s">
        <v>148</v>
      </c>
      <c r="N34">
        <v>33</v>
      </c>
      <c r="O34">
        <f>B34</f>
        <v>2</v>
      </c>
      <c r="P34">
        <f>D34</f>
        <v>0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1</v>
      </c>
      <c r="T34">
        <f t="shared" si="0"/>
        <v>33</v>
      </c>
      <c r="U34">
        <f t="shared" si="1"/>
        <v>0</v>
      </c>
      <c r="V34">
        <f>IF(S34=0,1,0)*N34*'Результаты матчей'!Q34</f>
        <v>0</v>
      </c>
      <c r="W34">
        <f>IF(S34&lt;6,1,0)*N34*'Результаты матчей'!Q34</f>
        <v>33</v>
      </c>
      <c r="X34" s="27" t="s">
        <v>211</v>
      </c>
    </row>
    <row r="35" spans="1:24" ht="12.75" customHeight="1">
      <c r="A35" s="86" t="s">
        <v>151</v>
      </c>
      <c r="B35" s="87">
        <v>4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1</v>
      </c>
      <c r="K35" s="88" t="s">
        <v>67</v>
      </c>
      <c r="N35">
        <v>34</v>
      </c>
      <c r="O35">
        <f>B35</f>
        <v>4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1</v>
      </c>
      <c r="P36">
        <f>J34</f>
        <v>1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212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1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0</v>
      </c>
      <c r="T37">
        <f t="shared" si="0"/>
        <v>0</v>
      </c>
      <c r="U37">
        <f t="shared" si="1"/>
        <v>0</v>
      </c>
      <c r="V37">
        <f>IF(S37=0,1,0)*N37*'Результаты матчей'!Q37</f>
        <v>36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0</v>
      </c>
      <c r="P38">
        <f>D40</f>
        <v>2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0</v>
      </c>
      <c r="P39">
        <f>D41</f>
        <v>2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0</v>
      </c>
      <c r="T39">
        <f t="shared" si="0"/>
        <v>0</v>
      </c>
      <c r="U39">
        <f t="shared" si="1"/>
        <v>0</v>
      </c>
      <c r="V39">
        <f>IF(S39=0,1,0)*N39*'Результаты матчей'!Q39</f>
        <v>38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0</v>
      </c>
      <c r="C40" s="83" t="s">
        <v>13</v>
      </c>
      <c r="D40" s="84">
        <v>2</v>
      </c>
      <c r="E40" s="85" t="s">
        <v>144</v>
      </c>
      <c r="F40" s="9"/>
      <c r="G40" s="83" t="s">
        <v>10</v>
      </c>
      <c r="H40" s="84">
        <v>1</v>
      </c>
      <c r="I40" s="83" t="s">
        <v>13</v>
      </c>
      <c r="J40" s="84">
        <v>1</v>
      </c>
      <c r="K40" s="85" t="s">
        <v>148</v>
      </c>
      <c r="N40">
        <v>39</v>
      </c>
      <c r="O40">
        <f>B42</f>
        <v>0</v>
      </c>
      <c r="P40">
        <f>D42</f>
        <v>2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1</v>
      </c>
      <c r="T40">
        <f t="shared" si="0"/>
        <v>39</v>
      </c>
      <c r="U40">
        <f t="shared" si="1"/>
        <v>0</v>
      </c>
      <c r="V40">
        <f>IF(S40=0,1,0)*N40*'Результаты матчей'!Q40</f>
        <v>0</v>
      </c>
      <c r="W40">
        <f>IF(S40&lt;6,1,0)*N40*'Результаты матчей'!Q40</f>
        <v>39</v>
      </c>
    </row>
    <row r="41" spans="1:24" ht="12.75" customHeight="1">
      <c r="A41" s="86" t="s">
        <v>141</v>
      </c>
      <c r="B41" s="87">
        <v>0</v>
      </c>
      <c r="C41" s="86" t="s">
        <v>13</v>
      </c>
      <c r="D41" s="87">
        <v>2</v>
      </c>
      <c r="E41" s="88" t="s">
        <v>145</v>
      </c>
      <c r="F41" s="9"/>
      <c r="G41" s="86" t="s">
        <v>2</v>
      </c>
      <c r="H41" s="87">
        <v>2</v>
      </c>
      <c r="I41" s="86" t="s">
        <v>13</v>
      </c>
      <c r="J41" s="87">
        <v>3</v>
      </c>
      <c r="K41" s="88" t="s">
        <v>142</v>
      </c>
      <c r="N41">
        <v>40</v>
      </c>
      <c r="O41">
        <f>H40</f>
        <v>1</v>
      </c>
      <c r="P41">
        <f>J40</f>
        <v>1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0</v>
      </c>
      <c r="T41">
        <f t="shared" si="0"/>
        <v>0</v>
      </c>
      <c r="U41">
        <f t="shared" si="1"/>
        <v>0</v>
      </c>
      <c r="V41">
        <f>IF(S41=0,1,0)*N41*'Результаты матчей'!Q41</f>
        <v>40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0</v>
      </c>
      <c r="C42" s="11" t="s">
        <v>13</v>
      </c>
      <c r="D42" s="82">
        <v>2</v>
      </c>
      <c r="E42" s="21" t="s">
        <v>1</v>
      </c>
      <c r="F42" s="2"/>
      <c r="G42" s="11" t="s">
        <v>151</v>
      </c>
      <c r="H42" s="82">
        <v>2</v>
      </c>
      <c r="I42" s="11" t="s">
        <v>13</v>
      </c>
      <c r="J42" s="82">
        <v>1</v>
      </c>
      <c r="K42" s="21" t="s">
        <v>67</v>
      </c>
      <c r="N42">
        <v>41</v>
      </c>
      <c r="O42">
        <f>H41</f>
        <v>2</v>
      </c>
      <c r="P42">
        <f>J41</f>
        <v>3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0</v>
      </c>
      <c r="T42">
        <f t="shared" si="0"/>
        <v>0</v>
      </c>
      <c r="U42">
        <f t="shared" si="1"/>
        <v>0</v>
      </c>
      <c r="V42">
        <f>IF(S42=0,1,0)*N42*'Результаты матчей'!Q42</f>
        <v>41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2</v>
      </c>
      <c r="P43">
        <f>J42</f>
        <v>1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0</v>
      </c>
      <c r="T43">
        <f t="shared" si="0"/>
        <v>0</v>
      </c>
      <c r="U43">
        <f t="shared" si="1"/>
        <v>0</v>
      </c>
      <c r="V43">
        <f>IF(S43=0,1,0)*N43*'Результаты матчей'!Q43</f>
        <v>42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1</v>
      </c>
      <c r="K44" s="85" t="s">
        <v>152</v>
      </c>
      <c r="N44">
        <v>43</v>
      </c>
      <c r="O44">
        <f>B44</f>
        <v>1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1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2</v>
      </c>
      <c r="P46">
        <f>D49</f>
        <v>3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2</v>
      </c>
      <c r="P47">
        <f>J49</f>
        <v>1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1</v>
      </c>
      <c r="T47">
        <f t="shared" si="0"/>
        <v>46</v>
      </c>
      <c r="U47">
        <f t="shared" si="1"/>
        <v>0</v>
      </c>
      <c r="V47">
        <f>IF(S47=0,1,0)*N47*'Результаты матчей'!Q47</f>
        <v>0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2</v>
      </c>
      <c r="P48">
        <f>D51</f>
        <v>4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0</v>
      </c>
      <c r="T48">
        <f t="shared" si="0"/>
        <v>0</v>
      </c>
      <c r="U48">
        <f t="shared" si="1"/>
        <v>0</v>
      </c>
      <c r="V48">
        <f>IF(S48=0,1,0)*N48*'Результаты матчей'!Q48</f>
        <v>47</v>
      </c>
      <c r="W48">
        <f>IF(S48&lt;6,1,0)*N48*'Результаты матчей'!Q48</f>
        <v>47</v>
      </c>
    </row>
    <row r="49" spans="1:23">
      <c r="A49" s="11" t="s">
        <v>144</v>
      </c>
      <c r="B49" s="82">
        <v>2</v>
      </c>
      <c r="C49" s="11" t="s">
        <v>13</v>
      </c>
      <c r="D49" s="82">
        <v>3</v>
      </c>
      <c r="E49" s="21" t="s">
        <v>1</v>
      </c>
      <c r="F49" s="2"/>
      <c r="G49" s="11" t="s">
        <v>141</v>
      </c>
      <c r="H49" s="82">
        <v>2</v>
      </c>
      <c r="I49" s="11" t="s">
        <v>13</v>
      </c>
      <c r="J49" s="82">
        <v>1</v>
      </c>
      <c r="K49" s="21" t="s">
        <v>67</v>
      </c>
      <c r="N49">
        <v>48</v>
      </c>
      <c r="O49">
        <f>H51</f>
        <v>2</v>
      </c>
      <c r="P49">
        <f>J51</f>
        <v>2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0</v>
      </c>
      <c r="T49">
        <f t="shared" si="0"/>
        <v>0</v>
      </c>
      <c r="U49">
        <f t="shared" si="1"/>
        <v>0</v>
      </c>
      <c r="V49">
        <f>IF(S49=0,1,0)*N49*'Результаты матчей'!Q49</f>
        <v>48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2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0</v>
      </c>
      <c r="T50">
        <f t="shared" si="0"/>
        <v>0</v>
      </c>
      <c r="U50">
        <f t="shared" si="1"/>
        <v>0</v>
      </c>
      <c r="V50">
        <f>IF(S50=0,1,0)*N50*'Результаты матчей'!Q50</f>
        <v>49</v>
      </c>
      <c r="W50">
        <f>IF(S50&lt;6,1,0)*N50*'Результаты матчей'!Q50</f>
        <v>49</v>
      </c>
    </row>
    <row r="51" spans="1:23">
      <c r="A51" s="83" t="s">
        <v>2</v>
      </c>
      <c r="B51" s="84">
        <v>2</v>
      </c>
      <c r="C51" s="83" t="s">
        <v>13</v>
      </c>
      <c r="D51" s="84">
        <v>4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2</v>
      </c>
      <c r="K51" s="85" t="s">
        <v>152</v>
      </c>
      <c r="N51">
        <v>50</v>
      </c>
      <c r="O51">
        <f>H56</f>
        <v>4</v>
      </c>
      <c r="P51">
        <f>J56</f>
        <v>5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3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4</v>
      </c>
      <c r="T52">
        <f t="shared" si="0"/>
        <v>51</v>
      </c>
      <c r="U52">
        <f t="shared" si="1"/>
        <v>0</v>
      </c>
      <c r="V52">
        <f>IF(S52=0,1,0)*N52*'Результаты матчей'!Q52</f>
        <v>0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2</v>
      </c>
      <c r="E56" s="85" t="s">
        <v>141</v>
      </c>
      <c r="F56" s="9"/>
      <c r="G56" s="83" t="s">
        <v>2</v>
      </c>
      <c r="H56" s="84">
        <v>4</v>
      </c>
      <c r="I56" s="83" t="s">
        <v>13</v>
      </c>
      <c r="J56" s="84">
        <v>5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3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33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32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64"/>
  <sheetViews>
    <sheetView workbookViewId="0"/>
  </sheetViews>
  <sheetFormatPr defaultRowHeight="12.75"/>
  <cols>
    <col min="1" max="1" width="13.7109375" style="2" customWidth="1"/>
    <col min="2" max="2" width="4.7109375" customWidth="1"/>
    <col min="3" max="3" width="1.7109375" customWidth="1"/>
    <col min="4" max="4" width="4.7109375" customWidth="1"/>
    <col min="5" max="5" width="13.7109375" style="2" customWidth="1"/>
    <col min="6" max="6" width="1.7109375" customWidth="1"/>
    <col min="7" max="7" width="13.7109375" style="2" customWidth="1"/>
    <col min="8" max="8" width="4.7109375" customWidth="1"/>
    <col min="9" max="9" width="1.7109375" customWidth="1"/>
    <col min="10" max="10" width="4.7109375" customWidth="1"/>
    <col min="11" max="11" width="13.7109375" style="2" customWidth="1"/>
    <col min="13" max="13" width="9.140625" customWidth="1"/>
    <col min="14" max="23" width="9.140625" hidden="1" customWidth="1"/>
    <col min="28" max="28" width="9.5703125" bestFit="1" customWidth="1"/>
    <col min="31" max="31" width="0" hidden="1" customWidth="1"/>
  </cols>
  <sheetData>
    <row r="1" spans="1:31" ht="18">
      <c r="A1" s="119" t="s">
        <v>130</v>
      </c>
      <c r="B1" s="119"/>
      <c r="C1" s="120"/>
      <c r="D1" s="120"/>
      <c r="E1" s="121"/>
      <c r="F1" s="120"/>
      <c r="G1" s="121"/>
      <c r="H1" s="120"/>
      <c r="I1" s="120"/>
      <c r="J1" s="120"/>
      <c r="K1" s="122" t="s">
        <v>35</v>
      </c>
      <c r="N1" t="s">
        <v>71</v>
      </c>
      <c r="O1" t="s">
        <v>73</v>
      </c>
      <c r="P1" t="s">
        <v>74</v>
      </c>
      <c r="Q1" t="s">
        <v>72</v>
      </c>
      <c r="R1" t="s">
        <v>75</v>
      </c>
      <c r="S1" t="s">
        <v>16</v>
      </c>
      <c r="T1" t="s">
        <v>94</v>
      </c>
      <c r="U1" t="s">
        <v>95</v>
      </c>
      <c r="V1" s="23" t="s">
        <v>96</v>
      </c>
      <c r="W1" s="23" t="s">
        <v>97</v>
      </c>
    </row>
    <row r="2" spans="1:31">
      <c r="A2" s="6"/>
      <c r="B2" s="3"/>
      <c r="C2" s="3"/>
      <c r="D2" s="3"/>
      <c r="E2" s="5"/>
      <c r="F2" s="3"/>
      <c r="G2" s="5"/>
      <c r="H2" s="3"/>
      <c r="I2" s="3"/>
      <c r="J2" s="3"/>
      <c r="K2" s="5"/>
      <c r="N2">
        <v>1</v>
      </c>
      <c r="O2">
        <f>B9</f>
        <v>2</v>
      </c>
      <c r="P2">
        <f>D9</f>
        <v>0</v>
      </c>
      <c r="Q2">
        <f>'Результаты матчей'!O2</f>
        <v>2</v>
      </c>
      <c r="R2">
        <f>'Результаты матчей'!P2</f>
        <v>1</v>
      </c>
      <c r="S2">
        <f>'Результаты матчей'!Q2*IF(AND(O2=Q2,P2=R2,O2+P2&gt;4),12,IF(AND(O2=Q2,P2=R2),6,IF(AND(O2-P2=Q2-R2,O2-P2&lt;&gt;0),4,IF(O2-P2=Q2-R2,3,IF(AND(O2&gt;P2,Q2&gt;R2),1,IF(AND(O2&lt;P2,Q2&lt;R2),1,0))))))</f>
        <v>1</v>
      </c>
      <c r="T2">
        <f>IF(S2&gt;0,1,0)*N2</f>
        <v>1</v>
      </c>
      <c r="U2">
        <f>IF(S2&gt;5,1,0)*N2</f>
        <v>0</v>
      </c>
      <c r="V2">
        <f>IF(S2=0,1,0)*N2*'Результаты матчей'!Q2</f>
        <v>0</v>
      </c>
      <c r="W2">
        <f>IF(S2&lt;6,1,0)*N2*'Результаты матчей'!Q2</f>
        <v>1</v>
      </c>
      <c r="X2" s="159" t="s">
        <v>87</v>
      </c>
      <c r="Y2" s="160" t="s">
        <v>38</v>
      </c>
      <c r="Z2" s="160"/>
      <c r="AA2" s="160" t="s">
        <v>28</v>
      </c>
      <c r="AB2" s="160"/>
      <c r="AC2" s="160" t="s">
        <v>37</v>
      </c>
      <c r="AD2" s="160"/>
    </row>
    <row r="3" spans="1:31">
      <c r="A3" s="70"/>
      <c r="B3" s="71"/>
      <c r="C3" s="71"/>
      <c r="D3" s="71"/>
      <c r="E3" s="72"/>
      <c r="F3" s="73" t="s">
        <v>213</v>
      </c>
      <c r="G3" s="72"/>
      <c r="H3" s="71"/>
      <c r="I3" s="71"/>
      <c r="J3" s="71"/>
      <c r="K3" s="72"/>
      <c r="N3">
        <v>2</v>
      </c>
      <c r="O3">
        <f>H9</f>
        <v>0</v>
      </c>
      <c r="P3">
        <f>J9</f>
        <v>2</v>
      </c>
      <c r="Q3">
        <f>'Результаты матчей'!O3</f>
        <v>0</v>
      </c>
      <c r="R3">
        <f>'Результаты матчей'!P3</f>
        <v>1</v>
      </c>
      <c r="S3">
        <f>'Результаты матчей'!Q3*IF(AND(O3=Q3,P3=R3,O3+P3&gt;4),12,IF(AND(O3=Q3,P3=R3),6,IF(AND(O3-P3=Q3-R3,O3-P3&lt;&gt;0),4,IF(O3-P3=Q3-R3,3,IF(AND(O3&gt;P3,Q3&gt;R3),1,IF(AND(O3&lt;P3,Q3&lt;R3),1,0))))))</f>
        <v>1</v>
      </c>
      <c r="T3">
        <f t="shared" ref="T3:T52" si="0">IF(S3&gt;0,1,0)*N3</f>
        <v>2</v>
      </c>
      <c r="U3">
        <f t="shared" ref="U3:U52" si="1">IF(S3&gt;5,1,0)*N3</f>
        <v>0</v>
      </c>
      <c r="V3">
        <f>IF(S3=0,1,0)*N3*'Результаты матчей'!Q3</f>
        <v>0</v>
      </c>
      <c r="W3">
        <f>IF(S3&lt;6,1,0)*N3*'Результаты матчей'!Q3</f>
        <v>2</v>
      </c>
      <c r="X3" s="159"/>
      <c r="Y3" s="138" t="s">
        <v>88</v>
      </c>
      <c r="Z3" s="138" t="s">
        <v>16</v>
      </c>
      <c r="AA3" s="138" t="s">
        <v>88</v>
      </c>
      <c r="AB3" s="138" t="s">
        <v>16</v>
      </c>
      <c r="AC3" s="138" t="s">
        <v>88</v>
      </c>
      <c r="AD3" s="138" t="s">
        <v>16</v>
      </c>
    </row>
    <row r="4" spans="1:31">
      <c r="B4" s="1"/>
      <c r="C4" s="1"/>
      <c r="F4" s="7" t="s">
        <v>36</v>
      </c>
      <c r="G4" s="4"/>
      <c r="H4" s="1"/>
      <c r="N4">
        <v>3</v>
      </c>
      <c r="O4">
        <f>H10</f>
        <v>2</v>
      </c>
      <c r="P4">
        <f>J10</f>
        <v>1</v>
      </c>
      <c r="Q4">
        <f>'Результаты матчей'!O4</f>
        <v>2</v>
      </c>
      <c r="R4">
        <f>'Результаты матчей'!P4</f>
        <v>1</v>
      </c>
      <c r="S4">
        <f>'Результаты матчей'!Q4*IF(AND(O4=Q4,P4=R4,O4+P4&gt;4),12,IF(AND(O4=Q4,P4=R4),6,IF(AND(O4-P4=Q4-R4,O4-P4&lt;&gt;0),4,IF(O4-P4=Q4-R4,3,IF(AND(O4&gt;P4,Q4&gt;R4),1,IF(AND(O4&lt;P4,Q4&lt;R4),1,0))))))</f>
        <v>6</v>
      </c>
      <c r="T4">
        <f t="shared" si="0"/>
        <v>3</v>
      </c>
      <c r="U4">
        <f t="shared" si="1"/>
        <v>3</v>
      </c>
      <c r="V4">
        <f>IF(S4=0,1,0)*N4*'Результаты матчей'!Q4</f>
        <v>0</v>
      </c>
      <c r="W4">
        <f>IF(S4&lt;6,1,0)*N4*'Результаты матчей'!Q4</f>
        <v>0</v>
      </c>
      <c r="X4" s="124" t="s">
        <v>89</v>
      </c>
      <c r="Y4" s="125" t="s">
        <v>13</v>
      </c>
      <c r="Z4" s="126" t="s">
        <v>13</v>
      </c>
      <c r="AA4" s="127" t="s">
        <v>13</v>
      </c>
      <c r="AB4" s="128" t="s">
        <v>13</v>
      </c>
      <c r="AC4" s="127" t="s">
        <v>13</v>
      </c>
      <c r="AD4" s="128" t="s">
        <v>13</v>
      </c>
    </row>
    <row r="5" spans="1:31">
      <c r="B5" s="1"/>
      <c r="C5" s="1"/>
      <c r="F5" s="7"/>
      <c r="G5" s="4"/>
      <c r="H5" s="1"/>
      <c r="N5">
        <v>4</v>
      </c>
      <c r="O5">
        <f>H11</f>
        <v>1</v>
      </c>
      <c r="P5">
        <f>J11</f>
        <v>0</v>
      </c>
      <c r="Q5">
        <f>'Результаты матчей'!O5</f>
        <v>1</v>
      </c>
      <c r="R5">
        <f>'Результаты матчей'!P5</f>
        <v>1</v>
      </c>
      <c r="S5">
        <f>'Результаты матчей'!Q5*IF(AND(O5=Q5,P5=R5,O5+P5&gt;4),12,IF(AND(O5=Q5,P5=R5),6,IF(AND(O5-P5=Q5-R5,O5-P5&lt;&gt;0),4,IF(O5-P5=Q5-R5,3,IF(AND(O5&gt;P5,Q5&gt;R5),1,IF(AND(O5&lt;P5,Q5&lt;R5),1,0))))))</f>
        <v>0</v>
      </c>
      <c r="T5">
        <f t="shared" si="0"/>
        <v>0</v>
      </c>
      <c r="U5">
        <f t="shared" si="1"/>
        <v>0</v>
      </c>
      <c r="V5">
        <f>IF(S5=0,1,0)*N5*'Результаты матчей'!Q5</f>
        <v>4</v>
      </c>
      <c r="W5">
        <f>IF(S5&lt;6,1,0)*N5*'Результаты матчей'!Q5</f>
        <v>4</v>
      </c>
      <c r="X5" s="129" t="s">
        <v>90</v>
      </c>
      <c r="Y5" s="87" t="s">
        <v>13</v>
      </c>
      <c r="Z5" s="130" t="s">
        <v>13</v>
      </c>
      <c r="AA5" s="131" t="s">
        <v>13</v>
      </c>
      <c r="AB5" s="58" t="s">
        <v>13</v>
      </c>
      <c r="AC5" s="131" t="s">
        <v>13</v>
      </c>
      <c r="AD5" s="58" t="s">
        <v>13</v>
      </c>
    </row>
    <row r="6" spans="1:31">
      <c r="A6" s="78"/>
      <c r="B6" s="79"/>
      <c r="C6" s="79"/>
      <c r="D6" s="79"/>
      <c r="E6" s="80"/>
      <c r="F6" s="81" t="s">
        <v>28</v>
      </c>
      <c r="G6" s="80"/>
      <c r="H6" s="79"/>
      <c r="I6" s="39"/>
      <c r="J6" s="39"/>
      <c r="K6" s="78"/>
      <c r="N6">
        <v>5</v>
      </c>
      <c r="O6">
        <f>B13</f>
        <v>0</v>
      </c>
      <c r="P6">
        <f>D13</f>
        <v>1</v>
      </c>
      <c r="Q6">
        <f>'Результаты матчей'!O6</f>
        <v>0</v>
      </c>
      <c r="R6">
        <f>'Результаты матчей'!P6</f>
        <v>1</v>
      </c>
      <c r="S6">
        <f>'Результаты матчей'!Q6*IF(AND(O6=Q6,P6=R6,O6+P6&gt;4),12,IF(AND(O6=Q6,P6=R6),6,IF(AND(O6-P6=Q6-R6,O6-P6&lt;&gt;0),4,IF(O6-P6=Q6-R6,3,IF(AND(O6&gt;P6,Q6&gt;R6),1,IF(AND(O6&lt;P6,Q6&lt;R6),1,0))))))</f>
        <v>6</v>
      </c>
      <c r="T6">
        <f t="shared" si="0"/>
        <v>5</v>
      </c>
      <c r="U6">
        <f t="shared" si="1"/>
        <v>5</v>
      </c>
      <c r="V6">
        <f>IF(S6=0,1,0)*N6*'Результаты матчей'!Q6</f>
        <v>0</v>
      </c>
      <c r="W6">
        <f>IF(S6&lt;6,1,0)*N6*'Результаты матчей'!Q6</f>
        <v>0</v>
      </c>
      <c r="X6" s="129" t="s">
        <v>91</v>
      </c>
      <c r="Y6" s="87" t="s">
        <v>13</v>
      </c>
      <c r="Z6" s="130" t="s">
        <v>13</v>
      </c>
      <c r="AA6" s="131" t="s">
        <v>13</v>
      </c>
      <c r="AB6" s="58" t="s">
        <v>13</v>
      </c>
      <c r="AC6" s="131" t="s">
        <v>13</v>
      </c>
      <c r="AD6" s="58" t="s">
        <v>13</v>
      </c>
    </row>
    <row r="7" spans="1:31">
      <c r="B7" s="1"/>
      <c r="C7" s="1"/>
      <c r="D7" s="1"/>
      <c r="E7" s="4"/>
      <c r="F7" s="1"/>
      <c r="G7" s="4"/>
      <c r="H7" s="1"/>
      <c r="N7">
        <v>6</v>
      </c>
      <c r="O7">
        <f>B14</f>
        <v>0</v>
      </c>
      <c r="P7">
        <f>D14</f>
        <v>0</v>
      </c>
      <c r="Q7">
        <f>'Результаты матчей'!O7</f>
        <v>1</v>
      </c>
      <c r="R7">
        <f>'Результаты матчей'!P7</f>
        <v>0</v>
      </c>
      <c r="S7">
        <f>'Результаты матчей'!Q7*IF(AND(O7=Q7,P7=R7,O7+P7&gt;4),12,IF(AND(O7=Q7,P7=R7),6,IF(AND(O7-P7=Q7-R7,O7-P7&lt;&gt;0),4,IF(O7-P7=Q7-R7,3,IF(AND(O7&gt;P7,Q7&gt;R7),1,IF(AND(O7&lt;P7,Q7&lt;R7),1,0))))))</f>
        <v>0</v>
      </c>
      <c r="T7">
        <f t="shared" si="0"/>
        <v>0</v>
      </c>
      <c r="U7">
        <f t="shared" si="1"/>
        <v>0</v>
      </c>
      <c r="V7">
        <f>IF(S7=0,1,0)*N7*'Результаты матчей'!Q7</f>
        <v>6</v>
      </c>
      <c r="W7">
        <f>IF(S7&lt;6,1,0)*N7*'Результаты матчей'!Q7</f>
        <v>6</v>
      </c>
      <c r="X7" s="129" t="s">
        <v>159</v>
      </c>
      <c r="Y7" s="87" t="s">
        <v>13</v>
      </c>
      <c r="Z7" s="130" t="s">
        <v>13</v>
      </c>
      <c r="AA7" s="131" t="s">
        <v>13</v>
      </c>
      <c r="AB7" s="58" t="s">
        <v>13</v>
      </c>
      <c r="AC7" s="131" t="s">
        <v>13</v>
      </c>
      <c r="AD7" s="58" t="s">
        <v>13</v>
      </c>
    </row>
    <row r="8" spans="1:31">
      <c r="A8" s="74"/>
      <c r="B8" s="75"/>
      <c r="C8" s="76" t="s">
        <v>137</v>
      </c>
      <c r="D8" s="75"/>
      <c r="E8" s="77"/>
      <c r="F8" s="8"/>
      <c r="G8" s="74"/>
      <c r="H8" s="75"/>
      <c r="I8" s="76" t="s">
        <v>138</v>
      </c>
      <c r="J8" s="75"/>
      <c r="K8" s="77"/>
      <c r="N8">
        <v>7</v>
      </c>
      <c r="O8">
        <f>B15</f>
        <v>3</v>
      </c>
      <c r="P8">
        <f>D15</f>
        <v>1</v>
      </c>
      <c r="Q8">
        <f>'Результаты матчей'!O8</f>
        <v>2</v>
      </c>
      <c r="R8">
        <f>'Результаты матчей'!P8</f>
        <v>0</v>
      </c>
      <c r="S8">
        <f>'Результаты матчей'!Q8*IF(AND(O8=Q8,P8=R8,O8+P8&gt;4),12,IF(AND(O8=Q8,P8=R8),6,IF(AND(O8-P8=Q8-R8,O8-P8&lt;&gt;0),4,IF(O8-P8=Q8-R8,3,IF(AND(O8&gt;P8,Q8&gt;R8),1,IF(AND(O8&lt;P8,Q8&lt;R8),1,0))))))</f>
        <v>4</v>
      </c>
      <c r="T8">
        <f t="shared" si="0"/>
        <v>7</v>
      </c>
      <c r="U8">
        <f t="shared" si="1"/>
        <v>0</v>
      </c>
      <c r="V8">
        <f>IF(S8=0,1,0)*N8*'Результаты матчей'!Q8</f>
        <v>0</v>
      </c>
      <c r="W8">
        <f>IF(S8&lt;6,1,0)*N8*'Результаты матчей'!Q8</f>
        <v>7</v>
      </c>
    </row>
    <row r="9" spans="1:31">
      <c r="A9" s="83" t="s">
        <v>10</v>
      </c>
      <c r="B9" s="84">
        <v>2</v>
      </c>
      <c r="C9" s="83" t="s">
        <v>13</v>
      </c>
      <c r="D9" s="84">
        <v>0</v>
      </c>
      <c r="E9" s="85" t="s">
        <v>139</v>
      </c>
      <c r="F9" s="11"/>
      <c r="G9" s="83" t="s">
        <v>140</v>
      </c>
      <c r="H9" s="84">
        <v>0</v>
      </c>
      <c r="I9" s="83" t="s">
        <v>13</v>
      </c>
      <c r="J9" s="84">
        <v>2</v>
      </c>
      <c r="K9" s="85" t="s">
        <v>0</v>
      </c>
      <c r="N9">
        <v>8</v>
      </c>
      <c r="O9">
        <f>H13</f>
        <v>3</v>
      </c>
      <c r="P9">
        <f>J13</f>
        <v>0</v>
      </c>
      <c r="Q9">
        <f>'Результаты матчей'!O9</f>
        <v>1</v>
      </c>
      <c r="R9">
        <f>'Результаты матчей'!P9</f>
        <v>0</v>
      </c>
      <c r="S9">
        <f>'Результаты матчей'!Q9*IF(AND(O9=Q9,P9=R9,O9+P9&gt;4),12,IF(AND(O9=Q9,P9=R9),6,IF(AND(O9-P9=Q9-R9,O9-P9&lt;&gt;0),4,IF(O9-P9=Q9-R9,3,IF(AND(O9&gt;P9,Q9&gt;R9),1,IF(AND(O9&lt;P9,Q9&lt;R9),1,0))))))</f>
        <v>1</v>
      </c>
      <c r="T9">
        <f t="shared" si="0"/>
        <v>8</v>
      </c>
      <c r="U9">
        <f t="shared" si="1"/>
        <v>0</v>
      </c>
      <c r="V9">
        <f>IF(S9=0,1,0)*N9*'Результаты матчей'!Q9</f>
        <v>0</v>
      </c>
      <c r="W9">
        <f>IF(S9&lt;6,1,0)*N9*'Результаты матчей'!Q9</f>
        <v>8</v>
      </c>
      <c r="X9" s="161" t="s">
        <v>160</v>
      </c>
      <c r="Y9" s="162"/>
      <c r="Z9" s="123" t="s">
        <v>93</v>
      </c>
      <c r="AA9" s="123">
        <v>2016</v>
      </c>
      <c r="AB9" s="123">
        <v>2014</v>
      </c>
      <c r="AC9" s="123">
        <v>2012</v>
      </c>
      <c r="AD9" s="123">
        <v>2010</v>
      </c>
      <c r="AE9" s="123">
        <v>2008</v>
      </c>
    </row>
    <row r="10" spans="1:31">
      <c r="A10" s="86"/>
      <c r="B10" s="87"/>
      <c r="C10" s="86"/>
      <c r="D10" s="87"/>
      <c r="E10" s="88"/>
      <c r="F10" s="11"/>
      <c r="G10" s="86" t="s">
        <v>141</v>
      </c>
      <c r="H10" s="87">
        <v>2</v>
      </c>
      <c r="I10" s="86" t="s">
        <v>13</v>
      </c>
      <c r="J10" s="87">
        <v>1</v>
      </c>
      <c r="K10" s="88" t="s">
        <v>142</v>
      </c>
      <c r="N10">
        <v>9</v>
      </c>
      <c r="O10">
        <f>H14</f>
        <v>0</v>
      </c>
      <c r="P10">
        <f>J14</f>
        <v>1</v>
      </c>
      <c r="Q10">
        <f>'Результаты матчей'!O10</f>
        <v>1</v>
      </c>
      <c r="R10">
        <f>'Результаты матчей'!P10</f>
        <v>1</v>
      </c>
      <c r="S10">
        <f>'Результаты матчей'!Q10*IF(AND(O10=Q10,P10=R10,O10+P10&gt;4),12,IF(AND(O10=Q10,P10=R10),6,IF(AND(O10-P10=Q10-R10,O10-P10&lt;&gt;0),4,IF(O10-P10=Q10-R10,3,IF(AND(O10&gt;P10,Q10&gt;R10),1,IF(AND(O10&lt;P10,Q10&lt;R10),1,0))))))</f>
        <v>0</v>
      </c>
      <c r="T10">
        <f t="shared" si="0"/>
        <v>0</v>
      </c>
      <c r="U10">
        <f t="shared" si="1"/>
        <v>0</v>
      </c>
      <c r="V10">
        <f>IF(S10=0,1,0)*N10*'Результаты матчей'!Q10</f>
        <v>9</v>
      </c>
      <c r="W10">
        <f>IF(S10&lt;6,1,0)*N10*'Результаты матчей'!Q10</f>
        <v>9</v>
      </c>
      <c r="X10" s="124"/>
      <c r="Y10" s="124" t="s">
        <v>92</v>
      </c>
      <c r="Z10" s="132">
        <f>IFERROR((AA10*SUM('Результаты матчей'!Q2:Q52))/(SUM('Результаты матчей'!Q2:Q52)),"-")</f>
        <v>1.2352941176470589</v>
      </c>
      <c r="AA10" s="133">
        <f>IFERROR(SUM(S2:S52)/SUM('Результаты матчей'!Q2:Q52),"-")</f>
        <v>1.2352941176470589</v>
      </c>
      <c r="AB10" s="134" t="s">
        <v>13</v>
      </c>
      <c r="AC10" s="134" t="s">
        <v>13</v>
      </c>
      <c r="AD10" s="134" t="s">
        <v>13</v>
      </c>
      <c r="AE10" s="134" t="s">
        <v>13</v>
      </c>
    </row>
    <row r="11" spans="1:31">
      <c r="A11" s="11"/>
      <c r="B11" s="82"/>
      <c r="C11" s="11"/>
      <c r="D11" s="82"/>
      <c r="E11" s="21"/>
      <c r="F11" s="20"/>
      <c r="G11" s="11" t="s">
        <v>21</v>
      </c>
      <c r="H11" s="82">
        <v>1</v>
      </c>
      <c r="I11" s="11" t="s">
        <v>13</v>
      </c>
      <c r="J11" s="82">
        <v>0</v>
      </c>
      <c r="K11" s="21" t="s">
        <v>68</v>
      </c>
      <c r="N11">
        <v>10</v>
      </c>
      <c r="O11">
        <f>H15</f>
        <v>1</v>
      </c>
      <c r="P11">
        <f>J15</f>
        <v>1</v>
      </c>
      <c r="Q11">
        <f>'Результаты матчей'!O11</f>
        <v>0</v>
      </c>
      <c r="R11">
        <f>'Результаты матчей'!P11</f>
        <v>2</v>
      </c>
      <c r="S11">
        <f>'Результаты матчей'!Q11*IF(AND(O11=Q11,P11=R11,O11+P11&gt;4),12,IF(AND(O11=Q11,P11=R11),6,IF(AND(O11-P11=Q11-R11,O11-P11&lt;&gt;0),4,IF(O11-P11=Q11-R11,3,IF(AND(O11&gt;P11,Q11&gt;R11),1,IF(AND(O11&lt;P11,Q11&lt;R11),1,0))))))</f>
        <v>0</v>
      </c>
      <c r="T11">
        <f t="shared" si="0"/>
        <v>0</v>
      </c>
      <c r="U11">
        <f t="shared" si="1"/>
        <v>0</v>
      </c>
      <c r="V11">
        <f>IF(S11=0,1,0)*N11*'Результаты матчей'!Q11</f>
        <v>10</v>
      </c>
      <c r="W11">
        <f>IF(S11&lt;6,1,0)*N11*'Результаты матчей'!Q11</f>
        <v>10</v>
      </c>
    </row>
    <row r="12" spans="1:31">
      <c r="A12" s="74"/>
      <c r="B12" s="75"/>
      <c r="C12" s="76" t="s">
        <v>3</v>
      </c>
      <c r="D12" s="75"/>
      <c r="E12" s="77"/>
      <c r="F12" s="8"/>
      <c r="G12" s="74"/>
      <c r="H12" s="75"/>
      <c r="I12" s="76" t="s">
        <v>4</v>
      </c>
      <c r="J12" s="75"/>
      <c r="K12" s="77"/>
      <c r="N12">
        <v>11</v>
      </c>
      <c r="O12">
        <f>B17</f>
        <v>2</v>
      </c>
      <c r="P12">
        <f>D17</f>
        <v>0</v>
      </c>
      <c r="Q12">
        <f>'Результаты матчей'!O12</f>
        <v>0</v>
      </c>
      <c r="R12">
        <f>'Результаты матчей'!P12</f>
        <v>2</v>
      </c>
      <c r="S12">
        <f>'Результаты матчей'!Q12*IF(AND(O12=Q12,P12=R12,O12+P12&gt;4),12,IF(AND(O12=Q12,P12=R12),6,IF(AND(O12-P12=Q12-R12,O12-P12&lt;&gt;0),4,IF(O12-P12=Q12-R12,3,IF(AND(O12&gt;P12,Q12&gt;R12),1,IF(AND(O12&lt;P12,Q12&lt;R12),1,0))))))</f>
        <v>0</v>
      </c>
      <c r="T12">
        <f t="shared" si="0"/>
        <v>0</v>
      </c>
      <c r="U12">
        <f t="shared" si="1"/>
        <v>0</v>
      </c>
      <c r="V12">
        <f>IF(S12=0,1,0)*N12*'Результаты матчей'!Q12</f>
        <v>11</v>
      </c>
      <c r="W12">
        <f>IF(S12&lt;6,1,0)*N12*'Результаты матчей'!Q12</f>
        <v>11</v>
      </c>
      <c r="X12" s="36" t="s">
        <v>125</v>
      </c>
      <c r="Z12" s="26"/>
      <c r="AA12" s="27"/>
      <c r="AB12" s="27"/>
    </row>
    <row r="13" spans="1:31">
      <c r="A13" s="83" t="s">
        <v>143</v>
      </c>
      <c r="B13" s="84">
        <v>0</v>
      </c>
      <c r="C13" s="83" t="s">
        <v>13</v>
      </c>
      <c r="D13" s="84">
        <v>1</v>
      </c>
      <c r="E13" s="85" t="s">
        <v>66</v>
      </c>
      <c r="F13" s="11"/>
      <c r="G13" s="83" t="s">
        <v>12</v>
      </c>
      <c r="H13" s="84">
        <v>3</v>
      </c>
      <c r="I13" s="83" t="s">
        <v>13</v>
      </c>
      <c r="J13" s="84">
        <v>0</v>
      </c>
      <c r="K13" s="85" t="s">
        <v>147</v>
      </c>
      <c r="N13">
        <v>12</v>
      </c>
      <c r="O13">
        <f>B18</f>
        <v>1</v>
      </c>
      <c r="P13">
        <f>D18</f>
        <v>0</v>
      </c>
      <c r="Q13">
        <f>'Результаты матчей'!O13</f>
        <v>1</v>
      </c>
      <c r="R13">
        <f>'Результаты матчей'!P13</f>
        <v>1</v>
      </c>
      <c r="S13">
        <f>'Результаты матчей'!Q13*IF(AND(O13=Q13,P13=R13,O13+P13&gt;4),12,IF(AND(O13=Q13,P13=R13),6,IF(AND(O13-P13=Q13-R13,O13-P13&lt;&gt;0),4,IF(O13-P13=Q13-R13,3,IF(AND(O13&gt;P13,Q13&gt;R13),1,IF(AND(O13&lt;P13,Q13&lt;R13),1,0))))))</f>
        <v>0</v>
      </c>
      <c r="T13">
        <f t="shared" si="0"/>
        <v>0</v>
      </c>
      <c r="U13">
        <f t="shared" si="1"/>
        <v>0</v>
      </c>
      <c r="V13">
        <f>IF(S13=0,1,0)*N13*'Результаты матчей'!Q13</f>
        <v>12</v>
      </c>
      <c r="W13">
        <f>IF(S13&lt;6,1,0)*N13*'Результаты матчей'!Q13</f>
        <v>12</v>
      </c>
      <c r="X13" s="27" t="s">
        <v>13</v>
      </c>
      <c r="Z13" s="26"/>
      <c r="AA13" s="27"/>
      <c r="AB13" s="27"/>
    </row>
    <row r="14" spans="1:31">
      <c r="A14" s="86" t="s">
        <v>144</v>
      </c>
      <c r="B14" s="87">
        <v>0</v>
      </c>
      <c r="C14" s="86" t="s">
        <v>13</v>
      </c>
      <c r="D14" s="87">
        <v>0</v>
      </c>
      <c r="E14" s="88" t="s">
        <v>145</v>
      </c>
      <c r="F14" s="11"/>
      <c r="G14" s="86" t="s">
        <v>148</v>
      </c>
      <c r="H14" s="87">
        <v>0</v>
      </c>
      <c r="I14" s="86" t="s">
        <v>13</v>
      </c>
      <c r="J14" s="87">
        <v>1</v>
      </c>
      <c r="K14" s="88" t="s">
        <v>149</v>
      </c>
      <c r="N14">
        <v>13</v>
      </c>
      <c r="O14">
        <f>H17</f>
        <v>2</v>
      </c>
      <c r="P14">
        <f>J17</f>
        <v>0</v>
      </c>
      <c r="Q14">
        <f>'Результаты матчей'!O14</f>
        <v>1</v>
      </c>
      <c r="R14">
        <f>'Результаты матчей'!P14</f>
        <v>2</v>
      </c>
      <c r="S14">
        <f>'Результаты матчей'!Q14*IF(AND(O14=Q14,P14=R14,O14+P14&gt;4),12,IF(AND(O14=Q14,P14=R14),6,IF(AND(O14-P14=Q14-R14,O14-P14&lt;&gt;0),4,IF(O14-P14=Q14-R14,3,IF(AND(O14&gt;P14,Q14&gt;R14),1,IF(AND(O14&lt;P14,Q14&lt;R14),1,0))))))</f>
        <v>0</v>
      </c>
      <c r="T14">
        <f t="shared" si="0"/>
        <v>0</v>
      </c>
      <c r="U14">
        <f t="shared" si="1"/>
        <v>0</v>
      </c>
      <c r="V14">
        <f>IF(S14=0,1,0)*N14*'Результаты матчей'!Q14</f>
        <v>13</v>
      </c>
      <c r="W14">
        <f>IF(S14&lt;6,1,0)*N14*'Результаты матчей'!Q14</f>
        <v>13</v>
      </c>
    </row>
    <row r="15" spans="1:31" ht="12.75" customHeight="1">
      <c r="A15" s="11" t="s">
        <v>2</v>
      </c>
      <c r="B15" s="82">
        <v>3</v>
      </c>
      <c r="C15" s="11" t="s">
        <v>13</v>
      </c>
      <c r="D15" s="82">
        <v>1</v>
      </c>
      <c r="E15" s="21" t="s">
        <v>146</v>
      </c>
      <c r="F15" s="20"/>
      <c r="G15" s="11" t="s">
        <v>67</v>
      </c>
      <c r="H15" s="82">
        <v>1</v>
      </c>
      <c r="I15" s="11" t="s">
        <v>13</v>
      </c>
      <c r="J15" s="82">
        <v>1</v>
      </c>
      <c r="K15" s="21" t="s">
        <v>11</v>
      </c>
      <c r="N15">
        <v>14</v>
      </c>
      <c r="O15">
        <f>H18</f>
        <v>0</v>
      </c>
      <c r="P15">
        <f>J18</f>
        <v>1</v>
      </c>
      <c r="Q15">
        <f>'Результаты матчей'!O15</f>
        <v>1</v>
      </c>
      <c r="R15">
        <f>'Результаты матчей'!P15</f>
        <v>1</v>
      </c>
      <c r="S15">
        <f>'Результаты матчей'!Q15*IF(AND(O15=Q15,P15=R15,O15+P15&gt;4),12,IF(AND(O15=Q15,P15=R15),6,IF(AND(O15-P15=Q15-R15,O15-P15&lt;&gt;0),4,IF(O15-P15=Q15-R15,3,IF(AND(O15&gt;P15,Q15&gt;R15),1,IF(AND(O15&lt;P15,Q15&lt;R15),1,0))))))</f>
        <v>0</v>
      </c>
      <c r="T15">
        <f t="shared" si="0"/>
        <v>0</v>
      </c>
      <c r="U15">
        <f t="shared" si="1"/>
        <v>0</v>
      </c>
      <c r="V15">
        <f>IF(S15=0,1,0)*N15*'Результаты матчей'!Q15</f>
        <v>14</v>
      </c>
      <c r="W15">
        <f>IF(S15&lt;6,1,0)*N15*'Результаты матчей'!Q15</f>
        <v>14</v>
      </c>
      <c r="X15" s="158" t="s">
        <v>98</v>
      </c>
      <c r="Y15" s="158"/>
      <c r="Z15" s="158"/>
      <c r="AB15" s="158" t="s">
        <v>98</v>
      </c>
      <c r="AC15" s="158"/>
      <c r="AD15" s="158"/>
    </row>
    <row r="16" spans="1:31" ht="12.75" customHeight="1">
      <c r="A16" s="74"/>
      <c r="B16" s="75"/>
      <c r="C16" s="76" t="s">
        <v>5</v>
      </c>
      <c r="D16" s="75"/>
      <c r="E16" s="77"/>
      <c r="F16" s="8"/>
      <c r="G16" s="74"/>
      <c r="H16" s="75"/>
      <c r="I16" s="76" t="s">
        <v>6</v>
      </c>
      <c r="J16" s="75"/>
      <c r="K16" s="77"/>
      <c r="N16">
        <v>15</v>
      </c>
      <c r="O16">
        <f>H19</f>
        <v>2</v>
      </c>
      <c r="P16">
        <f>J19</f>
        <v>0</v>
      </c>
      <c r="Q16">
        <f>'Результаты матчей'!O16</f>
        <v>2</v>
      </c>
      <c r="R16">
        <f>'Результаты матчей'!P16</f>
        <v>0</v>
      </c>
      <c r="S16">
        <f>'Результаты матчей'!Q16*IF(AND(O16=Q16,P16=R16,O16+P16&gt;4),12,IF(AND(O16=Q16,P16=R16),6,IF(AND(O16-P16=Q16-R16,O16-P16&lt;&gt;0),4,IF(O16-P16=Q16-R16,3,IF(AND(O16&gt;P16,Q16&gt;R16),1,IF(AND(O16&lt;P16,Q16&lt;R16),1,0))))))</f>
        <v>6</v>
      </c>
      <c r="T16">
        <f t="shared" si="0"/>
        <v>15</v>
      </c>
      <c r="U16">
        <f t="shared" si="1"/>
        <v>15</v>
      </c>
      <c r="V16">
        <f>IF(S16=0,1,0)*N16*'Результаты матчей'!Q16</f>
        <v>0</v>
      </c>
      <c r="W16">
        <f>IF(S16&lt;6,1,0)*N16*'Результаты матчей'!Q16</f>
        <v>0</v>
      </c>
      <c r="X16" s="158"/>
      <c r="Y16" s="158"/>
      <c r="Z16" s="158"/>
      <c r="AB16" s="158"/>
      <c r="AC16" s="158"/>
      <c r="AD16" s="158"/>
    </row>
    <row r="17" spans="1:30" ht="12.75" customHeight="1">
      <c r="A17" s="83" t="s">
        <v>150</v>
      </c>
      <c r="B17" s="84">
        <v>2</v>
      </c>
      <c r="C17" s="83" t="s">
        <v>13</v>
      </c>
      <c r="D17" s="84">
        <v>0</v>
      </c>
      <c r="E17" s="85" t="s">
        <v>151</v>
      </c>
      <c r="F17" s="9"/>
      <c r="G17" s="83" t="s">
        <v>68</v>
      </c>
      <c r="H17" s="84">
        <v>2</v>
      </c>
      <c r="I17" s="83" t="s">
        <v>13</v>
      </c>
      <c r="J17" s="84">
        <v>0</v>
      </c>
      <c r="K17" s="85" t="s">
        <v>142</v>
      </c>
      <c r="N17">
        <v>16</v>
      </c>
      <c r="O17">
        <f>B21</f>
        <v>2</v>
      </c>
      <c r="P17">
        <f>D21</f>
        <v>1</v>
      </c>
      <c r="Q17">
        <f>'Результаты матчей'!O17</f>
        <v>2</v>
      </c>
      <c r="R17">
        <f>'Результаты матчей'!P17</f>
        <v>1</v>
      </c>
      <c r="S17">
        <f>'Результаты матчей'!Q17*IF(AND(O17=Q17,P17=R17,O17+P17&gt;4),12,IF(AND(O17=Q17,P17=R17),6,IF(AND(O17-P17=Q17-R17,O17-P17&lt;&gt;0),4,IF(O17-P17=Q17-R17,3,IF(AND(O17&gt;P17,Q17&gt;R17),1,IF(AND(O17&lt;P17,Q17&lt;R17),1,0))))))</f>
        <v>6</v>
      </c>
      <c r="T17">
        <f t="shared" si="0"/>
        <v>16</v>
      </c>
      <c r="U17">
        <f t="shared" si="1"/>
        <v>16</v>
      </c>
      <c r="V17">
        <f>IF(S17=0,1,0)*N17*'Результаты матчей'!Q17</f>
        <v>0</v>
      </c>
      <c r="W17">
        <f>IF(S17&lt;6,1,0)*N17*'Результаты матчей'!Q17</f>
        <v>0</v>
      </c>
      <c r="X17" s="157">
        <f>IF(SUM('Результаты матчей'!Q2:Q65)=MAX(T2:T66),SUM('Результаты матчей'!Q2:Q65)-MAX(V2:V66),SUM('Результаты матчей'!Q2:Q65)-MAX(T2:T66))</f>
        <v>1</v>
      </c>
      <c r="Y17" s="157"/>
      <c r="Z17" s="157"/>
      <c r="AB17" s="157">
        <f>IF(SUM('Результаты матчей'!Q2:Q65)=MAX(U2:U66),SUM('Результаты матчей'!Q2:Q65)-MAX(W2:W66),SUM('Результаты матчей'!Q2:Q65)-MAX(U2:U66))</f>
        <v>4</v>
      </c>
      <c r="AC17" s="157"/>
      <c r="AD17" s="157"/>
    </row>
    <row r="18" spans="1:30" ht="12.75" customHeight="1">
      <c r="A18" s="86" t="s">
        <v>1</v>
      </c>
      <c r="B18" s="87">
        <v>1</v>
      </c>
      <c r="C18" s="86" t="s">
        <v>13</v>
      </c>
      <c r="D18" s="87">
        <v>0</v>
      </c>
      <c r="E18" s="88" t="s">
        <v>152</v>
      </c>
      <c r="F18" s="9"/>
      <c r="G18" s="86" t="s">
        <v>139</v>
      </c>
      <c r="H18" s="87">
        <v>0</v>
      </c>
      <c r="I18" s="86" t="s">
        <v>13</v>
      </c>
      <c r="J18" s="87">
        <v>1</v>
      </c>
      <c r="K18" s="88" t="s">
        <v>0</v>
      </c>
      <c r="N18">
        <v>17</v>
      </c>
      <c r="O18">
        <f>B22</f>
        <v>1</v>
      </c>
      <c r="P18">
        <f>D22</f>
        <v>1</v>
      </c>
      <c r="Q18">
        <f>'Результаты матчей'!O18</f>
        <v>0</v>
      </c>
      <c r="R18">
        <f>'Результаты матчей'!P18</f>
        <v>2</v>
      </c>
      <c r="S18">
        <f>'Результаты матчей'!Q18*IF(AND(O18=Q18,P18=R18,O18+P18&gt;4),12,IF(AND(O18=Q18,P18=R18),6,IF(AND(O18-P18=Q18-R18,O18-P18&lt;&gt;0),4,IF(O18-P18=Q18-R18,3,IF(AND(O18&gt;P18,Q18&gt;R18),1,IF(AND(O18&lt;P18,Q18&lt;R18),1,0))))))</f>
        <v>0</v>
      </c>
      <c r="T18">
        <f t="shared" si="0"/>
        <v>0</v>
      </c>
      <c r="U18">
        <f t="shared" si="1"/>
        <v>0</v>
      </c>
      <c r="V18">
        <f>IF(S18=0,1,0)*N18*'Результаты матчей'!Q18</f>
        <v>17</v>
      </c>
      <c r="W18">
        <f>IF(S18&lt;6,1,0)*N18*'Результаты матчей'!Q18</f>
        <v>17</v>
      </c>
      <c r="X18" s="157"/>
      <c r="Y18" s="157"/>
      <c r="Z18" s="157"/>
      <c r="AB18" s="157"/>
      <c r="AC18" s="157"/>
      <c r="AD18" s="157"/>
    </row>
    <row r="19" spans="1:30" ht="12.75" customHeight="1">
      <c r="A19" s="11"/>
      <c r="B19" s="82"/>
      <c r="C19" s="11"/>
      <c r="D19" s="82"/>
      <c r="E19" s="21"/>
      <c r="F19" s="2"/>
      <c r="G19" s="11" t="s">
        <v>10</v>
      </c>
      <c r="H19" s="82">
        <v>2</v>
      </c>
      <c r="I19" s="11" t="s">
        <v>13</v>
      </c>
      <c r="J19" s="82">
        <v>0</v>
      </c>
      <c r="K19" s="21" t="s">
        <v>140</v>
      </c>
      <c r="N19">
        <v>18</v>
      </c>
      <c r="O19">
        <f>B23</f>
        <v>2</v>
      </c>
      <c r="P19">
        <f>D23</f>
        <v>0</v>
      </c>
      <c r="Q19">
        <f>'Результаты матчей'!O19</f>
        <v>0</v>
      </c>
      <c r="R19">
        <f>'Результаты матчей'!P19</f>
        <v>0</v>
      </c>
      <c r="S19">
        <f>'Результаты матчей'!Q19*IF(AND(O19=Q19,P19=R19,O19+P19&gt;4),12,IF(AND(O19=Q19,P19=R19),6,IF(AND(O19-P19=Q19-R19,O19-P19&lt;&gt;0),4,IF(O19-P19=Q19-R19,3,IF(AND(O19&gt;P19,Q19&gt;R19),1,IF(AND(O19&lt;P19,Q19&lt;R19),1,0))))))</f>
        <v>0</v>
      </c>
      <c r="T19">
        <f t="shared" si="0"/>
        <v>0</v>
      </c>
      <c r="U19">
        <f t="shared" si="1"/>
        <v>0</v>
      </c>
      <c r="V19">
        <f>IF(S19=0,1,0)*N19*'Результаты матчей'!Q19</f>
        <v>18</v>
      </c>
      <c r="W19">
        <f>IF(S19&lt;6,1,0)*N19*'Результаты матчей'!Q19</f>
        <v>18</v>
      </c>
      <c r="X19" s="157"/>
      <c r="Y19" s="157"/>
      <c r="Z19" s="157"/>
      <c r="AB19" s="157"/>
      <c r="AC19" s="157"/>
      <c r="AD19" s="157"/>
    </row>
    <row r="20" spans="1:30" ht="12.75" customHeight="1">
      <c r="A20" s="74"/>
      <c r="B20" s="75"/>
      <c r="C20" s="76" t="s">
        <v>7</v>
      </c>
      <c r="D20" s="75"/>
      <c r="E20" s="77"/>
      <c r="F20" s="8"/>
      <c r="G20" s="74"/>
      <c r="H20" s="75"/>
      <c r="I20" s="76" t="s">
        <v>8</v>
      </c>
      <c r="J20" s="75"/>
      <c r="K20" s="77"/>
      <c r="N20">
        <v>19</v>
      </c>
      <c r="O20">
        <f>H21</f>
        <v>1</v>
      </c>
      <c r="P20">
        <f>J21</f>
        <v>0</v>
      </c>
      <c r="Q20">
        <f>'Результаты матчей'!O20</f>
        <v>1</v>
      </c>
      <c r="R20">
        <f>'Результаты матчей'!P20</f>
        <v>0</v>
      </c>
      <c r="S20">
        <f>'Результаты матчей'!Q20*IF(AND(O20=Q20,P20=R20,O20+P20&gt;4),12,IF(AND(O20=Q20,P20=R20),6,IF(AND(O20-P20=Q20-R20,O20-P20&lt;&gt;0),4,IF(O20-P20=Q20-R20,3,IF(AND(O20&gt;P20,Q20&gt;R20),1,IF(AND(O20&lt;P20,Q20&lt;R20),1,0))))))</f>
        <v>6</v>
      </c>
      <c r="T20">
        <f t="shared" si="0"/>
        <v>19</v>
      </c>
      <c r="U20">
        <f t="shared" si="1"/>
        <v>19</v>
      </c>
      <c r="V20">
        <f>IF(S20=0,1,0)*N20*'Результаты матчей'!Q20</f>
        <v>0</v>
      </c>
      <c r="W20">
        <f>IF(S20&lt;6,1,0)*N20*'Результаты матчей'!Q20</f>
        <v>0</v>
      </c>
      <c r="X20" s="157"/>
      <c r="Y20" s="157"/>
      <c r="Z20" s="157"/>
      <c r="AB20" s="157"/>
      <c r="AC20" s="157"/>
      <c r="AD20" s="157"/>
    </row>
    <row r="21" spans="1:30" ht="12.75" customHeight="1">
      <c r="A21" s="83" t="s">
        <v>21</v>
      </c>
      <c r="B21" s="84">
        <v>2</v>
      </c>
      <c r="C21" s="83" t="s">
        <v>13</v>
      </c>
      <c r="D21" s="84">
        <v>1</v>
      </c>
      <c r="E21" s="85" t="s">
        <v>141</v>
      </c>
      <c r="F21" s="9"/>
      <c r="G21" s="83" t="s">
        <v>11</v>
      </c>
      <c r="H21" s="84">
        <v>1</v>
      </c>
      <c r="I21" s="83" t="s">
        <v>13</v>
      </c>
      <c r="J21" s="84">
        <v>0</v>
      </c>
      <c r="K21" s="85" t="s">
        <v>149</v>
      </c>
      <c r="N21">
        <v>20</v>
      </c>
      <c r="O21">
        <f>H22</f>
        <v>1</v>
      </c>
      <c r="P21">
        <f>J22</f>
        <v>2</v>
      </c>
      <c r="Q21">
        <f>'Результаты матчей'!O21</f>
        <v>2</v>
      </c>
      <c r="R21">
        <f>'Результаты матчей'!P21</f>
        <v>2</v>
      </c>
      <c r="S21">
        <f>'Результаты матчей'!Q21*IF(AND(O21=Q21,P21=R21,O21+P21&gt;4),12,IF(AND(O21=Q21,P21=R21),6,IF(AND(O21-P21=Q21-R21,O21-P21&lt;&gt;0),4,IF(O21-P21=Q21-R21,3,IF(AND(O21&gt;P21,Q21&gt;R21),1,IF(AND(O21&lt;P21,Q21&lt;R21),1,0))))))</f>
        <v>0</v>
      </c>
      <c r="T21">
        <f t="shared" si="0"/>
        <v>0</v>
      </c>
      <c r="U21">
        <f t="shared" si="1"/>
        <v>0</v>
      </c>
      <c r="V21">
        <f>IF(S21=0,1,0)*N21*'Результаты матчей'!Q21</f>
        <v>20</v>
      </c>
      <c r="W21">
        <f>IF(S21&lt;6,1,0)*N21*'Результаты матчей'!Q21</f>
        <v>20</v>
      </c>
      <c r="X21" s="157"/>
      <c r="Y21" s="157"/>
      <c r="Z21" s="157"/>
      <c r="AB21" s="157"/>
      <c r="AC21" s="157"/>
      <c r="AD21" s="157"/>
    </row>
    <row r="22" spans="1:30" ht="12.75" customHeight="1">
      <c r="A22" s="86" t="s">
        <v>146</v>
      </c>
      <c r="B22" s="87">
        <v>1</v>
      </c>
      <c r="C22" s="86" t="s">
        <v>13</v>
      </c>
      <c r="D22" s="87">
        <v>1</v>
      </c>
      <c r="E22" s="88" t="s">
        <v>145</v>
      </c>
      <c r="F22" s="9"/>
      <c r="G22" s="86" t="s">
        <v>147</v>
      </c>
      <c r="H22" s="87">
        <v>1</v>
      </c>
      <c r="I22" s="86" t="s">
        <v>13</v>
      </c>
      <c r="J22" s="87">
        <v>2</v>
      </c>
      <c r="K22" s="88" t="s">
        <v>66</v>
      </c>
      <c r="N22">
        <v>21</v>
      </c>
      <c r="O22">
        <f>H23</f>
        <v>3</v>
      </c>
      <c r="P22">
        <f>J23</f>
        <v>1</v>
      </c>
      <c r="Q22">
        <f>'Результаты матчей'!O22</f>
        <v>3</v>
      </c>
      <c r="R22">
        <f>'Результаты матчей'!P22</f>
        <v>0</v>
      </c>
      <c r="S22">
        <f>'Результаты матчей'!Q22*IF(AND(O22=Q22,P22=R22,O22+P22&gt;4),12,IF(AND(O22=Q22,P22=R22),6,IF(AND(O22-P22=Q22-R22,O22-P22&lt;&gt;0),4,IF(O22-P22=Q22-R22,3,IF(AND(O22&gt;P22,Q22&gt;R22),1,IF(AND(O22&lt;P22,Q22&lt;R22),1,0))))))</f>
        <v>1</v>
      </c>
      <c r="T22">
        <f t="shared" si="0"/>
        <v>21</v>
      </c>
      <c r="U22">
        <f t="shared" si="1"/>
        <v>0</v>
      </c>
      <c r="V22">
        <f>IF(S22=0,1,0)*N22*'Результаты матчей'!Q22</f>
        <v>0</v>
      </c>
      <c r="W22">
        <f>IF(S22&lt;6,1,0)*N22*'Результаты матчей'!Q22</f>
        <v>21</v>
      </c>
      <c r="X22" s="157"/>
      <c r="Y22" s="157"/>
      <c r="Z22" s="157"/>
      <c r="AB22" s="157"/>
      <c r="AC22" s="157"/>
      <c r="AD22" s="157"/>
    </row>
    <row r="23" spans="1:30" ht="12.75" customHeight="1">
      <c r="A23" s="11" t="s">
        <v>2</v>
      </c>
      <c r="B23" s="82">
        <v>2</v>
      </c>
      <c r="C23" s="11" t="s">
        <v>13</v>
      </c>
      <c r="D23" s="82">
        <v>0</v>
      </c>
      <c r="E23" s="21" t="s">
        <v>144</v>
      </c>
      <c r="F23" s="2"/>
      <c r="G23" s="11" t="s">
        <v>12</v>
      </c>
      <c r="H23" s="82">
        <v>3</v>
      </c>
      <c r="I23" s="11" t="s">
        <v>13</v>
      </c>
      <c r="J23" s="82">
        <v>1</v>
      </c>
      <c r="K23" s="21" t="s">
        <v>143</v>
      </c>
      <c r="N23">
        <v>22</v>
      </c>
      <c r="O23">
        <f>B25</f>
        <v>2</v>
      </c>
      <c r="P23">
        <f>D25</f>
        <v>1</v>
      </c>
      <c r="Q23">
        <f>'Результаты матчей'!O23</f>
        <v>3</v>
      </c>
      <c r="R23">
        <f>'Результаты матчей'!P23</f>
        <v>0</v>
      </c>
      <c r="S23">
        <f>'Результаты матчей'!Q23*IF(AND(O23=Q23,P23=R23,O23+P23&gt;4),12,IF(AND(O23=Q23,P23=R23),6,IF(AND(O23-P23=Q23-R23,O23-P23&lt;&gt;0),4,IF(O23-P23=Q23-R23,3,IF(AND(O23&gt;P23,Q23&gt;R23),1,IF(AND(O23&lt;P23,Q23&lt;R23),1,0))))))</f>
        <v>1</v>
      </c>
      <c r="T23">
        <f t="shared" si="0"/>
        <v>22</v>
      </c>
      <c r="U23">
        <f t="shared" si="1"/>
        <v>0</v>
      </c>
      <c r="V23">
        <f>IF(S23=0,1,0)*N23*'Результаты матчей'!Q23</f>
        <v>0</v>
      </c>
      <c r="W23">
        <f>IF(S23&lt;6,1,0)*N23*'Результаты матчей'!Q23</f>
        <v>22</v>
      </c>
      <c r="X23" s="157"/>
      <c r="Y23" s="157"/>
      <c r="Z23" s="157"/>
      <c r="AB23" s="157"/>
      <c r="AC23" s="157"/>
      <c r="AD23" s="157"/>
    </row>
    <row r="24" spans="1:30" ht="12.75" customHeight="1">
      <c r="A24" s="74"/>
      <c r="B24" s="75"/>
      <c r="C24" s="76" t="s">
        <v>9</v>
      </c>
      <c r="D24" s="75"/>
      <c r="E24" s="77"/>
      <c r="F24" s="8"/>
      <c r="G24" s="74"/>
      <c r="H24" s="75"/>
      <c r="I24" s="76" t="s">
        <v>22</v>
      </c>
      <c r="J24" s="75"/>
      <c r="K24" s="77"/>
      <c r="N24">
        <v>23</v>
      </c>
      <c r="O24">
        <f>B26</f>
        <v>1</v>
      </c>
      <c r="P24">
        <f>D26</f>
        <v>0</v>
      </c>
      <c r="Q24">
        <f>'Результаты матчей'!O24</f>
        <v>1</v>
      </c>
      <c r="R24">
        <f>'Результаты матчей'!P24</f>
        <v>1</v>
      </c>
      <c r="S24">
        <f>'Результаты матчей'!Q24*IF(AND(O24=Q24,P24=R24,O24+P24&gt;4),12,IF(AND(O24=Q24,P24=R24),6,IF(AND(O24-P24=Q24-R24,O24-P24&lt;&gt;0),4,IF(O24-P24=Q24-R24,3,IF(AND(O24&gt;P24,Q24&gt;R24),1,IF(AND(O24&lt;P24,Q24&lt;R24),1,0))))))</f>
        <v>0</v>
      </c>
      <c r="T24">
        <f t="shared" si="0"/>
        <v>0</v>
      </c>
      <c r="U24">
        <f t="shared" si="1"/>
        <v>0</v>
      </c>
      <c r="V24">
        <f>IF(S24=0,1,0)*N24*'Результаты матчей'!Q24</f>
        <v>23</v>
      </c>
      <c r="W24">
        <f>IF(S24&lt;6,1,0)*N24*'Результаты матчей'!Q24</f>
        <v>23</v>
      </c>
      <c r="X24" s="157"/>
      <c r="Y24" s="157"/>
      <c r="Z24" s="157"/>
      <c r="AB24" s="157"/>
      <c r="AC24" s="157"/>
      <c r="AD24" s="157"/>
    </row>
    <row r="25" spans="1:30" ht="12.75" customHeight="1">
      <c r="A25" s="83" t="s">
        <v>67</v>
      </c>
      <c r="B25" s="84">
        <v>2</v>
      </c>
      <c r="C25" s="83" t="s">
        <v>13</v>
      </c>
      <c r="D25" s="84">
        <v>1</v>
      </c>
      <c r="E25" s="85" t="s">
        <v>148</v>
      </c>
      <c r="F25" s="9"/>
      <c r="G25" s="83" t="s">
        <v>139</v>
      </c>
      <c r="H25" s="84">
        <v>1</v>
      </c>
      <c r="I25" s="83" t="s">
        <v>13</v>
      </c>
      <c r="J25" s="84">
        <v>1</v>
      </c>
      <c r="K25" s="85" t="s">
        <v>140</v>
      </c>
      <c r="N25">
        <v>24</v>
      </c>
      <c r="O25">
        <f>B27</f>
        <v>2</v>
      </c>
      <c r="P25">
        <f>D27</f>
        <v>1</v>
      </c>
      <c r="Q25">
        <f>'Результаты матчей'!O25</f>
        <v>0</v>
      </c>
      <c r="R25">
        <f>'Результаты матчей'!P25</f>
        <v>0</v>
      </c>
      <c r="S25">
        <f>'Результаты матчей'!Q25*IF(AND(O25=Q25,P25=R25,O25+P25&gt;4),12,IF(AND(O25=Q25,P25=R25),6,IF(AND(O25-P25=Q25-R25,O25-P25&lt;&gt;0),4,IF(O25-P25=Q25-R25,3,IF(AND(O25&gt;P25,Q25&gt;R25),1,IF(AND(O25&lt;P25,Q25&lt;R25),1,0))))))</f>
        <v>0</v>
      </c>
      <c r="T25">
        <f t="shared" si="0"/>
        <v>0</v>
      </c>
      <c r="U25">
        <f t="shared" si="1"/>
        <v>0</v>
      </c>
      <c r="V25">
        <f>IF(S25=0,1,0)*N25*'Результаты матчей'!Q25</f>
        <v>24</v>
      </c>
      <c r="W25">
        <f>IF(S25&lt;6,1,0)*N25*'Результаты матчей'!Q25</f>
        <v>24</v>
      </c>
      <c r="X25" s="157"/>
      <c r="Y25" s="157"/>
      <c r="Z25" s="157"/>
      <c r="AB25" s="157"/>
      <c r="AC25" s="157"/>
      <c r="AD25" s="157"/>
    </row>
    <row r="26" spans="1:30" ht="12.75" customHeight="1">
      <c r="A26" s="86" t="s">
        <v>152</v>
      </c>
      <c r="B26" s="87">
        <v>1</v>
      </c>
      <c r="C26" s="86" t="s">
        <v>13</v>
      </c>
      <c r="D26" s="87">
        <v>0</v>
      </c>
      <c r="E26" s="88" t="s">
        <v>151</v>
      </c>
      <c r="F26" s="9"/>
      <c r="G26" s="86" t="s">
        <v>0</v>
      </c>
      <c r="H26" s="87">
        <v>1</v>
      </c>
      <c r="I26" s="86" t="s">
        <v>13</v>
      </c>
      <c r="J26" s="87">
        <v>2</v>
      </c>
      <c r="K26" s="88" t="s">
        <v>10</v>
      </c>
      <c r="N26">
        <v>25</v>
      </c>
      <c r="O26">
        <f>H25</f>
        <v>1</v>
      </c>
      <c r="P26">
        <f>J25</f>
        <v>1</v>
      </c>
      <c r="Q26">
        <f>'Результаты матчей'!O26</f>
        <v>0</v>
      </c>
      <c r="R26">
        <f>'Результаты матчей'!P26</f>
        <v>1</v>
      </c>
      <c r="S26">
        <f>'Результаты матчей'!Q26*IF(AND(O26=Q26,P26=R26,O26+P26&gt;4),12,IF(AND(O26=Q26,P26=R26),6,IF(AND(O26-P26=Q26-R26,O26-P26&lt;&gt;0),4,IF(O26-P26=Q26-R26,3,IF(AND(O26&gt;P26,Q26&gt;R26),1,IF(AND(O26&lt;P26,Q26&lt;R26),1,0))))))</f>
        <v>0</v>
      </c>
      <c r="T26">
        <f t="shared" si="0"/>
        <v>0</v>
      </c>
      <c r="U26">
        <f t="shared" si="1"/>
        <v>0</v>
      </c>
      <c r="V26">
        <f>IF(S26=0,1,0)*N26*'Результаты матчей'!Q26</f>
        <v>25</v>
      </c>
      <c r="W26">
        <f>IF(S26&lt;6,1,0)*N26*'Результаты матчей'!Q26</f>
        <v>25</v>
      </c>
      <c r="X26" s="157"/>
      <c r="Y26" s="157"/>
      <c r="Z26" s="157"/>
      <c r="AB26" s="157"/>
      <c r="AC26" s="157"/>
      <c r="AD26" s="157"/>
    </row>
    <row r="27" spans="1:30" ht="12.75" customHeight="1">
      <c r="A27" s="11" t="s">
        <v>1</v>
      </c>
      <c r="B27" s="82">
        <v>2</v>
      </c>
      <c r="C27" s="11" t="s">
        <v>13</v>
      </c>
      <c r="D27" s="82">
        <v>1</v>
      </c>
      <c r="E27" s="21" t="s">
        <v>150</v>
      </c>
      <c r="F27" s="2"/>
      <c r="G27" s="11"/>
      <c r="H27" s="82"/>
      <c r="I27" s="11"/>
      <c r="J27" s="82"/>
      <c r="K27" s="21"/>
      <c r="N27">
        <v>26</v>
      </c>
      <c r="O27">
        <f>H26</f>
        <v>1</v>
      </c>
      <c r="P27">
        <f>J26</f>
        <v>2</v>
      </c>
      <c r="Q27">
        <f>'Результаты матчей'!O27</f>
        <v>0</v>
      </c>
      <c r="R27">
        <f>'Результаты матчей'!P27</f>
        <v>0</v>
      </c>
      <c r="S27">
        <f>'Результаты матчей'!Q27*IF(AND(O27=Q27,P27=R27,O27+P27&gt;4),12,IF(AND(O27=Q27,P27=R27),6,IF(AND(O27-P27=Q27-R27,O27-P27&lt;&gt;0),4,IF(O27-P27=Q27-R27,3,IF(AND(O27&gt;P27,Q27&gt;R27),1,IF(AND(O27&lt;P27,Q27&lt;R27),1,0))))))</f>
        <v>0</v>
      </c>
      <c r="T27">
        <f t="shared" si="0"/>
        <v>0</v>
      </c>
      <c r="U27">
        <f t="shared" si="1"/>
        <v>0</v>
      </c>
      <c r="V27">
        <f>IF(S27=0,1,0)*N27*'Результаты матчей'!Q27</f>
        <v>26</v>
      </c>
      <c r="W27">
        <f>IF(S27&lt;6,1,0)*N27*'Результаты матчей'!Q27</f>
        <v>26</v>
      </c>
      <c r="X27" s="157"/>
      <c r="Y27" s="157"/>
      <c r="Z27" s="157"/>
      <c r="AB27" s="157"/>
      <c r="AC27" s="157"/>
      <c r="AD27" s="157"/>
    </row>
    <row r="28" spans="1:30" ht="12.75" customHeight="1">
      <c r="A28" s="74"/>
      <c r="B28" s="75"/>
      <c r="C28" s="76" t="s">
        <v>23</v>
      </c>
      <c r="D28" s="75"/>
      <c r="E28" s="77"/>
      <c r="F28" s="8"/>
      <c r="G28" s="74"/>
      <c r="H28" s="75"/>
      <c r="I28" s="76" t="s">
        <v>24</v>
      </c>
      <c r="J28" s="75"/>
      <c r="K28" s="77"/>
      <c r="N28">
        <v>27</v>
      </c>
      <c r="O28">
        <f>B29</f>
        <v>2</v>
      </c>
      <c r="P28">
        <f>D29</f>
        <v>0</v>
      </c>
      <c r="Q28">
        <f>'Результаты матчей'!O28</f>
        <v>0</v>
      </c>
      <c r="R28">
        <f>'Результаты матчей'!P28</f>
        <v>3</v>
      </c>
      <c r="S28">
        <f>'Результаты матчей'!Q28*IF(AND(O28=Q28,P28=R28,O28+P28&gt;4),12,IF(AND(O28=Q28,P28=R28),6,IF(AND(O28-P28=Q28-R28,O28-P28&lt;&gt;0),4,IF(O28-P28=Q28-R28,3,IF(AND(O28&gt;P28,Q28&gt;R28),1,IF(AND(O28&lt;P28,Q28&lt;R28),1,0))))))</f>
        <v>0</v>
      </c>
      <c r="T28">
        <f t="shared" si="0"/>
        <v>0</v>
      </c>
      <c r="U28">
        <f t="shared" si="1"/>
        <v>0</v>
      </c>
      <c r="V28">
        <f>IF(S28=0,1,0)*N28*'Результаты матчей'!Q28</f>
        <v>27</v>
      </c>
      <c r="W28">
        <f>IF(S28&lt;6,1,0)*N28*'Результаты матчей'!Q28</f>
        <v>27</v>
      </c>
      <c r="X28" s="157"/>
      <c r="Y28" s="157"/>
      <c r="Z28" s="157"/>
      <c r="AB28" s="157"/>
      <c r="AC28" s="157"/>
      <c r="AD28" s="157"/>
    </row>
    <row r="29" spans="1:30" ht="12.75" customHeight="1">
      <c r="A29" s="83" t="s">
        <v>68</v>
      </c>
      <c r="B29" s="84">
        <v>2</v>
      </c>
      <c r="C29" s="83" t="s">
        <v>13</v>
      </c>
      <c r="D29" s="84">
        <v>0</v>
      </c>
      <c r="E29" s="85" t="s">
        <v>141</v>
      </c>
      <c r="F29" s="9"/>
      <c r="G29" s="83" t="s">
        <v>146</v>
      </c>
      <c r="H29" s="84">
        <v>2</v>
      </c>
      <c r="I29" s="83" t="s">
        <v>13</v>
      </c>
      <c r="J29" s="84">
        <v>2</v>
      </c>
      <c r="K29" s="85" t="s">
        <v>144</v>
      </c>
      <c r="N29">
        <v>28</v>
      </c>
      <c r="O29">
        <f>B30</f>
        <v>0</v>
      </c>
      <c r="P29">
        <f>D30</f>
        <v>2</v>
      </c>
      <c r="Q29">
        <f>'Результаты матчей'!O29</f>
        <v>0</v>
      </c>
      <c r="R29">
        <f>'Результаты матчей'!P29</f>
        <v>0</v>
      </c>
      <c r="S29">
        <f>'Результаты матчей'!Q29*IF(AND(O29=Q29,P29=R29,O29+P29&gt;4),12,IF(AND(O29=Q29,P29=R29),6,IF(AND(O29-P29=Q29-R29,O29-P29&lt;&gt;0),4,IF(O29-P29=Q29-R29,3,IF(AND(O29&gt;P29,Q29&gt;R29),1,IF(AND(O29&lt;P29,Q29&lt;R29),1,0))))))</f>
        <v>0</v>
      </c>
      <c r="T29">
        <f t="shared" si="0"/>
        <v>0</v>
      </c>
      <c r="U29">
        <f t="shared" si="1"/>
        <v>0</v>
      </c>
      <c r="V29">
        <f>IF(S29=0,1,0)*N29*'Результаты матчей'!Q29</f>
        <v>28</v>
      </c>
      <c r="W29">
        <f>IF(S29&lt;6,1,0)*N29*'Результаты матчей'!Q29</f>
        <v>28</v>
      </c>
      <c r="X29" s="157"/>
      <c r="Y29" s="157"/>
      <c r="Z29" s="157"/>
      <c r="AB29" s="157"/>
      <c r="AC29" s="157"/>
      <c r="AD29" s="157"/>
    </row>
    <row r="30" spans="1:30" ht="12.75" customHeight="1">
      <c r="A30" s="86" t="s">
        <v>142</v>
      </c>
      <c r="B30" s="87">
        <v>0</v>
      </c>
      <c r="C30" s="86" t="s">
        <v>13</v>
      </c>
      <c r="D30" s="87">
        <v>2</v>
      </c>
      <c r="E30" s="88" t="s">
        <v>21</v>
      </c>
      <c r="F30" s="9"/>
      <c r="G30" s="86" t="s">
        <v>145</v>
      </c>
      <c r="H30" s="87">
        <v>0</v>
      </c>
      <c r="I30" s="86" t="s">
        <v>13</v>
      </c>
      <c r="J30" s="87">
        <v>2</v>
      </c>
      <c r="K30" s="88" t="s">
        <v>2</v>
      </c>
      <c r="N30">
        <v>29</v>
      </c>
      <c r="O30">
        <f>H29</f>
        <v>2</v>
      </c>
      <c r="P30">
        <f>J29</f>
        <v>2</v>
      </c>
      <c r="Q30">
        <f>'Результаты матчей'!O30</f>
        <v>0</v>
      </c>
      <c r="R30">
        <f>'Результаты матчей'!P30</f>
        <v>1</v>
      </c>
      <c r="S30">
        <f>'Результаты матчей'!Q30*IF(AND(O30=Q30,P30=R30,O30+P30&gt;4),12,IF(AND(O30=Q30,P30=R30),6,IF(AND(O30-P30=Q30-R30,O30-P30&lt;&gt;0),4,IF(O30-P30=Q30-R30,3,IF(AND(O30&gt;P30,Q30&gt;R30),1,IF(AND(O30&lt;P30,Q30&lt;R30),1,0))))))</f>
        <v>0</v>
      </c>
      <c r="T30">
        <f t="shared" si="0"/>
        <v>0</v>
      </c>
      <c r="U30">
        <f t="shared" si="1"/>
        <v>0</v>
      </c>
      <c r="V30">
        <f>IF(S30=0,1,0)*N30*'Результаты матчей'!Q30</f>
        <v>29</v>
      </c>
      <c r="W30">
        <f>IF(S30&lt;6,1,0)*N30*'Результаты матчей'!Q30</f>
        <v>29</v>
      </c>
      <c r="X30" s="156" t="str">
        <f>IF(SUM('Результаты матчей'!Q2:Q65)=MAX(T2:T66),"с набранными баллами","без набранных баллов")</f>
        <v>без набранных баллов</v>
      </c>
      <c r="Y30" s="156"/>
      <c r="Z30" s="156"/>
      <c r="AB30" s="156" t="str">
        <f>IF(SUM('Результаты матчей'!Q2:Q65)=MAX(U2:U66),"с угаданными счетами","без угаданных счетов")</f>
        <v>без угаданных счетов</v>
      </c>
      <c r="AC30" s="156"/>
      <c r="AD30" s="156"/>
    </row>
    <row r="31" spans="1:30" ht="12.75" customHeight="1">
      <c r="A31" s="86"/>
      <c r="B31" s="87"/>
      <c r="C31" s="86"/>
      <c r="D31" s="87"/>
      <c r="E31" s="88"/>
      <c r="F31" s="2"/>
      <c r="G31" s="86" t="s">
        <v>147</v>
      </c>
      <c r="H31" s="87">
        <v>0</v>
      </c>
      <c r="I31" s="86" t="s">
        <v>13</v>
      </c>
      <c r="J31" s="87">
        <v>0</v>
      </c>
      <c r="K31" s="88" t="s">
        <v>143</v>
      </c>
      <c r="N31">
        <v>30</v>
      </c>
      <c r="O31">
        <f>H30</f>
        <v>0</v>
      </c>
      <c r="P31">
        <f>J30</f>
        <v>2</v>
      </c>
      <c r="Q31">
        <f>'Результаты матчей'!O31</f>
        <v>0</v>
      </c>
      <c r="R31">
        <f>'Результаты матчей'!P31</f>
        <v>1</v>
      </c>
      <c r="S31">
        <f>'Результаты матчей'!Q31*IF(AND(O31=Q31,P31=R31,O31+P31&gt;4),12,IF(AND(O31=Q31,P31=R31),6,IF(AND(O31-P31=Q31-R31,O31-P31&lt;&gt;0),4,IF(O31-P31=Q31-R31,3,IF(AND(O31&gt;P31,Q31&gt;R31),1,IF(AND(O31&lt;P31,Q31&lt;R31),1,0))))))</f>
        <v>1</v>
      </c>
      <c r="T31">
        <f t="shared" si="0"/>
        <v>30</v>
      </c>
      <c r="U31">
        <f t="shared" si="1"/>
        <v>0</v>
      </c>
      <c r="V31">
        <f>IF(S31=0,1,0)*N31*'Результаты матчей'!Q31</f>
        <v>0</v>
      </c>
      <c r="W31">
        <f>IF(S31&lt;6,1,0)*N31*'Результаты матчей'!Q31</f>
        <v>30</v>
      </c>
      <c r="X31" s="156"/>
      <c r="Y31" s="156"/>
      <c r="Z31" s="156"/>
      <c r="AB31" s="156"/>
      <c r="AC31" s="156"/>
      <c r="AD31" s="156"/>
    </row>
    <row r="32" spans="1:30" ht="12.75" customHeight="1">
      <c r="A32" s="11"/>
      <c r="B32" s="82"/>
      <c r="C32" s="11"/>
      <c r="D32" s="82"/>
      <c r="E32" s="21"/>
      <c r="G32" s="11" t="s">
        <v>66</v>
      </c>
      <c r="H32" s="82">
        <v>1</v>
      </c>
      <c r="I32" s="11" t="s">
        <v>13</v>
      </c>
      <c r="J32" s="82">
        <v>2</v>
      </c>
      <c r="K32" s="21" t="s">
        <v>12</v>
      </c>
      <c r="N32">
        <v>31</v>
      </c>
      <c r="O32">
        <f>H31</f>
        <v>0</v>
      </c>
      <c r="P32">
        <f>J31</f>
        <v>0</v>
      </c>
      <c r="Q32">
        <f>'Результаты матчей'!O32</f>
        <v>0</v>
      </c>
      <c r="R32">
        <f>'Результаты матчей'!P32</f>
        <v>2</v>
      </c>
      <c r="S32">
        <f>'Результаты матчей'!Q32*IF(AND(O32=Q32,P32=R32,O32+P32&gt;4),12,IF(AND(O32=Q32,P32=R32),6,IF(AND(O32-P32=Q32-R32,O32-P32&lt;&gt;0),4,IF(O32-P32=Q32-R32,3,IF(AND(O32&gt;P32,Q32&gt;R32),1,IF(AND(O32&lt;P32,Q32&lt;R32),1,0))))))</f>
        <v>0</v>
      </c>
      <c r="T32">
        <f t="shared" si="0"/>
        <v>0</v>
      </c>
      <c r="U32">
        <f t="shared" si="1"/>
        <v>0</v>
      </c>
      <c r="V32">
        <f>IF(S32=0,1,0)*N32*'Результаты матчей'!Q32</f>
        <v>31</v>
      </c>
      <c r="W32">
        <f>IF(S32&lt;6,1,0)*N32*'Результаты матчей'!Q32</f>
        <v>31</v>
      </c>
    </row>
    <row r="33" spans="1:24" ht="12.75" customHeight="1">
      <c r="A33" s="74"/>
      <c r="B33" s="75"/>
      <c r="C33" s="76" t="s">
        <v>25</v>
      </c>
      <c r="D33" s="75"/>
      <c r="E33" s="77"/>
      <c r="F33" s="8"/>
      <c r="G33" s="74"/>
      <c r="H33" s="75"/>
      <c r="I33" s="76" t="s">
        <v>25</v>
      </c>
      <c r="J33" s="75"/>
      <c r="K33" s="77"/>
      <c r="N33">
        <v>32</v>
      </c>
      <c r="O33">
        <f>H32</f>
        <v>1</v>
      </c>
      <c r="P33">
        <f>J32</f>
        <v>2</v>
      </c>
      <c r="Q33">
        <f>'Результаты матчей'!O33</f>
        <v>2</v>
      </c>
      <c r="R33">
        <f>'Результаты матчей'!P33</f>
        <v>1</v>
      </c>
      <c r="S33">
        <f>'Результаты матчей'!Q33*IF(AND(O33=Q33,P33=R33,O33+P33&gt;4),12,IF(AND(O33=Q33,P33=R33),6,IF(AND(O33-P33=Q33-R33,O33-P33&lt;&gt;0),4,IF(O33-P33=Q33-R33,3,IF(AND(O33&gt;P33,Q33&gt;R33),1,IF(AND(O33&lt;P33,Q33&lt;R33),1,0))))))</f>
        <v>0</v>
      </c>
      <c r="T33">
        <f t="shared" si="0"/>
        <v>0</v>
      </c>
      <c r="U33">
        <f t="shared" si="1"/>
        <v>0</v>
      </c>
      <c r="V33">
        <f>IF(S33=0,1,0)*N33*'Результаты матчей'!Q33</f>
        <v>32</v>
      </c>
      <c r="W33">
        <f>IF(S33&lt;6,1,0)*N33*'Результаты матчей'!Q33</f>
        <v>32</v>
      </c>
      <c r="X33" s="36" t="s">
        <v>126</v>
      </c>
    </row>
    <row r="34" spans="1:24" ht="12.75" customHeight="1">
      <c r="A34" s="83" t="s">
        <v>152</v>
      </c>
      <c r="B34" s="84">
        <v>2</v>
      </c>
      <c r="C34" s="83" t="s">
        <v>13</v>
      </c>
      <c r="D34" s="84">
        <v>2</v>
      </c>
      <c r="E34" s="85" t="s">
        <v>150</v>
      </c>
      <c r="F34" s="9"/>
      <c r="G34" s="83" t="s">
        <v>11</v>
      </c>
      <c r="H34" s="84">
        <v>2</v>
      </c>
      <c r="I34" s="83" t="s">
        <v>13</v>
      </c>
      <c r="J34" s="84">
        <v>0</v>
      </c>
      <c r="K34" s="85" t="s">
        <v>148</v>
      </c>
      <c r="N34">
        <v>33</v>
      </c>
      <c r="O34">
        <f>B34</f>
        <v>2</v>
      </c>
      <c r="P34">
        <f>D34</f>
        <v>2</v>
      </c>
      <c r="Q34">
        <f>'Результаты матчей'!O34</f>
        <v>2</v>
      </c>
      <c r="R34">
        <f>'Результаты матчей'!P34</f>
        <v>1</v>
      </c>
      <c r="S34">
        <f>'Результаты матчей'!Q34*IF(AND(O34=Q34,P34=R34,O34+P34&gt;4),12,IF(AND(O34=Q34,P34=R34),6,IF(AND(O34-P34=Q34-R34,O34-P34&lt;&gt;0),4,IF(O34-P34=Q34-R34,3,IF(AND(O34&gt;P34,Q34&gt;R34),1,IF(AND(O34&lt;P34,Q34&lt;R34),1,0))))))</f>
        <v>0</v>
      </c>
      <c r="T34">
        <f t="shared" si="0"/>
        <v>0</v>
      </c>
      <c r="U34">
        <f t="shared" si="1"/>
        <v>0</v>
      </c>
      <c r="V34">
        <f>IF(S34=0,1,0)*N34*'Результаты матчей'!Q34</f>
        <v>33</v>
      </c>
      <c r="W34">
        <f>IF(S34&lt;6,1,0)*N34*'Результаты матчей'!Q34</f>
        <v>33</v>
      </c>
      <c r="X34" s="27" t="s">
        <v>13</v>
      </c>
    </row>
    <row r="35" spans="1:24" ht="12.75" customHeight="1">
      <c r="A35" s="86" t="s">
        <v>151</v>
      </c>
      <c r="B35" s="87">
        <v>0</v>
      </c>
      <c r="C35" s="86" t="s">
        <v>13</v>
      </c>
      <c r="D35" s="87">
        <v>2</v>
      </c>
      <c r="E35" s="88" t="s">
        <v>1</v>
      </c>
      <c r="F35" s="9"/>
      <c r="G35" s="86" t="s">
        <v>149</v>
      </c>
      <c r="H35" s="87">
        <v>2</v>
      </c>
      <c r="I35" s="86" t="s">
        <v>13</v>
      </c>
      <c r="J35" s="87">
        <v>3</v>
      </c>
      <c r="K35" s="88" t="s">
        <v>67</v>
      </c>
      <c r="N35">
        <v>34</v>
      </c>
      <c r="O35">
        <f>B35</f>
        <v>0</v>
      </c>
      <c r="P35">
        <f>D35</f>
        <v>2</v>
      </c>
      <c r="Q35">
        <f>'Результаты матчей'!O35</f>
        <v>3</v>
      </c>
      <c r="R35">
        <f>'Результаты матчей'!P35</f>
        <v>3</v>
      </c>
      <c r="S35">
        <f>'Результаты матчей'!Q35*IF(AND(O35=Q35,P35=R35,O35+P35&gt;4),12,IF(AND(O35=Q35,P35=R35),6,IF(AND(O35-P35=Q35-R35,O35-P35&lt;&gt;0),4,IF(O35-P35=Q35-R35,3,IF(AND(O35&gt;P35,Q35&gt;R35),1,IF(AND(O35&lt;P35,Q35&lt;R35),1,0))))))</f>
        <v>0</v>
      </c>
      <c r="T35">
        <f t="shared" si="0"/>
        <v>0</v>
      </c>
      <c r="U35">
        <f t="shared" si="1"/>
        <v>0</v>
      </c>
      <c r="V35">
        <f>IF(S35=0,1,0)*N35*'Результаты матчей'!Q35</f>
        <v>34</v>
      </c>
      <c r="W35">
        <f>IF(S35&lt;6,1,0)*N35*'Результаты матчей'!Q35</f>
        <v>34</v>
      </c>
      <c r="X35" s="36" t="s">
        <v>127</v>
      </c>
    </row>
    <row r="36" spans="1:24" ht="12.75" customHeight="1">
      <c r="N36">
        <v>35</v>
      </c>
      <c r="O36">
        <f>H34</f>
        <v>2</v>
      </c>
      <c r="P36">
        <f>J34</f>
        <v>0</v>
      </c>
      <c r="Q36">
        <f>'Результаты матчей'!O36</f>
        <v>0</v>
      </c>
      <c r="R36">
        <f>'Результаты матчей'!P36</f>
        <v>1</v>
      </c>
      <c r="S36">
        <f>'Результаты матчей'!Q36*IF(AND(O36=Q36,P36=R36,O36+P36&gt;4),12,IF(AND(O36=Q36,P36=R36),6,IF(AND(O36-P36=Q36-R36,O36-P36&lt;&gt;0),4,IF(O36-P36=Q36-R36,3,IF(AND(O36&gt;P36,Q36&gt;R36),1,IF(AND(O36&lt;P36,Q36&lt;R36),1,0))))))</f>
        <v>0</v>
      </c>
      <c r="T36">
        <f t="shared" si="0"/>
        <v>0</v>
      </c>
      <c r="U36">
        <f t="shared" si="1"/>
        <v>0</v>
      </c>
      <c r="V36">
        <f>IF(S36=0,1,0)*N36*'Результаты матчей'!Q36</f>
        <v>35</v>
      </c>
      <c r="W36">
        <f>IF(S36&lt;6,1,0)*N36*'Результаты матчей'!Q36</f>
        <v>35</v>
      </c>
      <c r="X36" s="27" t="s">
        <v>13</v>
      </c>
    </row>
    <row r="37" spans="1:24" ht="12.75" customHeight="1">
      <c r="A37" s="78"/>
      <c r="B37" s="79"/>
      <c r="C37" s="79"/>
      <c r="D37" s="79"/>
      <c r="E37" s="80"/>
      <c r="F37" s="81" t="s">
        <v>29</v>
      </c>
      <c r="G37" s="80"/>
      <c r="H37" s="79"/>
      <c r="I37" s="39"/>
      <c r="J37" s="39"/>
      <c r="K37" s="78"/>
      <c r="N37">
        <v>36</v>
      </c>
      <c r="O37">
        <f>H35</f>
        <v>2</v>
      </c>
      <c r="P37">
        <f>J35</f>
        <v>3</v>
      </c>
      <c r="Q37">
        <f>'Результаты матчей'!O37</f>
        <v>0</v>
      </c>
      <c r="R37">
        <f>'Результаты матчей'!P37</f>
        <v>1</v>
      </c>
      <c r="S37">
        <f>'Результаты матчей'!Q37*IF(AND(O37=Q37,P37=R37,O37+P37&gt;4),12,IF(AND(O37=Q37,P37=R37),6,IF(AND(O37-P37=Q37-R37,O37-P37&lt;&gt;0),4,IF(O37-P37=Q37-R37,3,IF(AND(O37&gt;P37,Q37&gt;R37),1,IF(AND(O37&lt;P37,Q37&lt;R37),1,0))))))</f>
        <v>4</v>
      </c>
      <c r="T37">
        <f t="shared" si="0"/>
        <v>36</v>
      </c>
      <c r="U37">
        <f t="shared" si="1"/>
        <v>0</v>
      </c>
      <c r="V37">
        <f>IF(S37=0,1,0)*N37*'Результаты матчей'!Q37</f>
        <v>0</v>
      </c>
      <c r="W37">
        <f>IF(S37&lt;6,1,0)*N37*'Результаты матчей'!Q37</f>
        <v>36</v>
      </c>
    </row>
    <row r="38" spans="1:24" ht="12.75" customHeight="1">
      <c r="N38">
        <v>37</v>
      </c>
      <c r="O38">
        <f>B40</f>
        <v>2</v>
      </c>
      <c r="P38">
        <f>D40</f>
        <v>1</v>
      </c>
      <c r="Q38">
        <f>'Результаты матчей'!O38</f>
        <v>1</v>
      </c>
      <c r="R38">
        <f>'Результаты матчей'!P38</f>
        <v>1</v>
      </c>
      <c r="S38">
        <f>'Результаты матчей'!Q38*IF(AND(O38=Q38,P38=R38,O38+P38&gt;4),12,IF(AND(O38=Q38,P38=R38),6,IF(AND(O38-P38=Q38-R38,O38-P38&lt;&gt;0),4,IF(O38-P38=Q38-R38,3,IF(AND(O38&gt;P38,Q38&gt;R38),1,IF(AND(O38&lt;P38,Q38&lt;R38),1,0))))))</f>
        <v>0</v>
      </c>
      <c r="T38">
        <f t="shared" si="0"/>
        <v>0</v>
      </c>
      <c r="U38">
        <f t="shared" si="1"/>
        <v>0</v>
      </c>
      <c r="V38">
        <f>IF(S38=0,1,0)*N38*'Результаты матчей'!Q38</f>
        <v>37</v>
      </c>
      <c r="W38">
        <f>IF(S38&lt;6,1,0)*N38*'Результаты матчей'!Q38</f>
        <v>37</v>
      </c>
    </row>
    <row r="39" spans="1:24" ht="12.75" customHeight="1">
      <c r="A39" s="74"/>
      <c r="B39" s="75"/>
      <c r="C39" s="76" t="s">
        <v>26</v>
      </c>
      <c r="D39" s="75"/>
      <c r="E39" s="77"/>
      <c r="F39" s="8"/>
      <c r="G39" s="74"/>
      <c r="H39" s="75"/>
      <c r="I39" s="76" t="s">
        <v>30</v>
      </c>
      <c r="J39" s="75"/>
      <c r="K39" s="77"/>
      <c r="N39">
        <v>38</v>
      </c>
      <c r="O39">
        <f>B41</f>
        <v>3</v>
      </c>
      <c r="P39">
        <f>D41</f>
        <v>0</v>
      </c>
      <c r="Q39">
        <f>'Результаты матчей'!O39</f>
        <v>1</v>
      </c>
      <c r="R39">
        <f>'Результаты матчей'!P39</f>
        <v>0</v>
      </c>
      <c r="S39">
        <f>'Результаты матчей'!Q39*IF(AND(O39=Q39,P39=R39,O39+P39&gt;4),12,IF(AND(O39=Q39,P39=R39),6,IF(AND(O39-P39=Q39-R39,O39-P39&lt;&gt;0),4,IF(O39-P39=Q39-R39,3,IF(AND(O39&gt;P39,Q39&gt;R39),1,IF(AND(O39&lt;P39,Q39&lt;R39),1,0))))))</f>
        <v>1</v>
      </c>
      <c r="T39">
        <f t="shared" si="0"/>
        <v>38</v>
      </c>
      <c r="U39">
        <f t="shared" si="1"/>
        <v>0</v>
      </c>
      <c r="V39">
        <f>IF(S39=0,1,0)*N39*'Результаты матчей'!Q39</f>
        <v>0</v>
      </c>
      <c r="W39">
        <f>IF(S39&lt;6,1,0)*N39*'Результаты матчей'!Q39</f>
        <v>38</v>
      </c>
    </row>
    <row r="40" spans="1:24" ht="12.75" customHeight="1">
      <c r="A40" s="83" t="s">
        <v>0</v>
      </c>
      <c r="B40" s="84">
        <v>2</v>
      </c>
      <c r="C40" s="83" t="s">
        <v>13</v>
      </c>
      <c r="D40" s="84">
        <v>1</v>
      </c>
      <c r="E40" s="85" t="s">
        <v>144</v>
      </c>
      <c r="F40" s="9"/>
      <c r="G40" s="83" t="s">
        <v>10</v>
      </c>
      <c r="H40" s="84">
        <v>2</v>
      </c>
      <c r="I40" s="83" t="s">
        <v>13</v>
      </c>
      <c r="J40" s="84">
        <v>0</v>
      </c>
      <c r="K40" s="85" t="s">
        <v>148</v>
      </c>
      <c r="N40">
        <v>39</v>
      </c>
      <c r="O40">
        <f>B42</f>
        <v>0</v>
      </c>
      <c r="P40">
        <f>D42</f>
        <v>1</v>
      </c>
      <c r="Q40">
        <f>'Результаты матчей'!O40</f>
        <v>0</v>
      </c>
      <c r="R40">
        <f>'Результаты матчей'!P40</f>
        <v>1</v>
      </c>
      <c r="S40">
        <f>'Результаты матчей'!Q40*IF(AND(O40=Q40,P40=R40,O40+P40&gt;4),12,IF(AND(O40=Q40,P40=R40),6,IF(AND(O40-P40=Q40-R40,O40-P40&lt;&gt;0),4,IF(O40-P40=Q40-R40,3,IF(AND(O40&gt;P40,Q40&gt;R40),1,IF(AND(O40&lt;P40,Q40&lt;R40),1,0))))))</f>
        <v>6</v>
      </c>
      <c r="T40">
        <f t="shared" si="0"/>
        <v>39</v>
      </c>
      <c r="U40">
        <f t="shared" si="1"/>
        <v>39</v>
      </c>
      <c r="V40">
        <f>IF(S40=0,1,0)*N40*'Результаты матчей'!Q40</f>
        <v>0</v>
      </c>
      <c r="W40">
        <f>IF(S40&lt;6,1,0)*N40*'Результаты матчей'!Q40</f>
        <v>0</v>
      </c>
    </row>
    <row r="41" spans="1:24" ht="12.75" customHeight="1">
      <c r="A41" s="86" t="s">
        <v>141</v>
      </c>
      <c r="B41" s="87">
        <v>3</v>
      </c>
      <c r="C41" s="86" t="s">
        <v>13</v>
      </c>
      <c r="D41" s="87">
        <v>0</v>
      </c>
      <c r="E41" s="88" t="s">
        <v>145</v>
      </c>
      <c r="F41" s="9"/>
      <c r="G41" s="86" t="s">
        <v>2</v>
      </c>
      <c r="H41" s="87">
        <v>3</v>
      </c>
      <c r="I41" s="86" t="s">
        <v>13</v>
      </c>
      <c r="J41" s="87">
        <v>1</v>
      </c>
      <c r="K41" s="88" t="s">
        <v>142</v>
      </c>
      <c r="N41">
        <v>40</v>
      </c>
      <c r="O41">
        <f>H40</f>
        <v>2</v>
      </c>
      <c r="P41">
        <f>J40</f>
        <v>0</v>
      </c>
      <c r="Q41">
        <f>'Результаты матчей'!O41</f>
        <v>2</v>
      </c>
      <c r="R41">
        <f>'Результаты матчей'!P41</f>
        <v>1</v>
      </c>
      <c r="S41">
        <f>'Результаты матчей'!Q41*IF(AND(O41=Q41,P41=R41,O41+P41&gt;4),12,IF(AND(O41=Q41,P41=R41),6,IF(AND(O41-P41=Q41-R41,O41-P41&lt;&gt;0),4,IF(O41-P41=Q41-R41,3,IF(AND(O41&gt;P41,Q41&gt;R41),1,IF(AND(O41&lt;P41,Q41&lt;R41),1,0))))))</f>
        <v>1</v>
      </c>
      <c r="T41">
        <f t="shared" si="0"/>
        <v>40</v>
      </c>
      <c r="U41">
        <f t="shared" si="1"/>
        <v>0</v>
      </c>
      <c r="V41">
        <f>IF(S41=0,1,0)*N41*'Результаты матчей'!Q41</f>
        <v>0</v>
      </c>
      <c r="W41">
        <f>IF(S41&lt;6,1,0)*N41*'Результаты матчей'!Q41</f>
        <v>40</v>
      </c>
    </row>
    <row r="42" spans="1:24" ht="12.75" customHeight="1">
      <c r="A42" s="11" t="s">
        <v>66</v>
      </c>
      <c r="B42" s="82">
        <v>0</v>
      </c>
      <c r="C42" s="11" t="s">
        <v>13</v>
      </c>
      <c r="D42" s="82">
        <v>1</v>
      </c>
      <c r="E42" s="21" t="s">
        <v>1</v>
      </c>
      <c r="F42" s="2"/>
      <c r="G42" s="11" t="s">
        <v>151</v>
      </c>
      <c r="H42" s="82">
        <v>1</v>
      </c>
      <c r="I42" s="11" t="s">
        <v>13</v>
      </c>
      <c r="J42" s="82">
        <v>3</v>
      </c>
      <c r="K42" s="21" t="s">
        <v>67</v>
      </c>
      <c r="N42">
        <v>41</v>
      </c>
      <c r="O42">
        <f>H41</f>
        <v>3</v>
      </c>
      <c r="P42">
        <f>J41</f>
        <v>1</v>
      </c>
      <c r="Q42">
        <f>'Результаты матчей'!O42</f>
        <v>3</v>
      </c>
      <c r="R42">
        <f>'Результаты матчей'!P42</f>
        <v>0</v>
      </c>
      <c r="S42">
        <f>'Результаты матчей'!Q42*IF(AND(O42=Q42,P42=R42,O42+P42&gt;4),12,IF(AND(O42=Q42,P42=R42),6,IF(AND(O42-P42=Q42-R42,O42-P42&lt;&gt;0),4,IF(O42-P42=Q42-R42,3,IF(AND(O42&gt;P42,Q42&gt;R42),1,IF(AND(O42&lt;P42,Q42&lt;R42),1,0))))))</f>
        <v>1</v>
      </c>
      <c r="T42">
        <f t="shared" si="0"/>
        <v>41</v>
      </c>
      <c r="U42">
        <f t="shared" si="1"/>
        <v>0</v>
      </c>
      <c r="V42">
        <f>IF(S42=0,1,0)*N42*'Результаты матчей'!Q42</f>
        <v>0</v>
      </c>
      <c r="W42">
        <f>IF(S42&lt;6,1,0)*N42*'Результаты матчей'!Q42</f>
        <v>41</v>
      </c>
    </row>
    <row r="43" spans="1:24">
      <c r="A43" s="74"/>
      <c r="B43" s="75"/>
      <c r="C43" s="76" t="s">
        <v>153</v>
      </c>
      <c r="D43" s="75"/>
      <c r="E43" s="77"/>
      <c r="F43" s="8"/>
      <c r="G43" s="74"/>
      <c r="H43" s="75"/>
      <c r="I43" s="76" t="s">
        <v>153</v>
      </c>
      <c r="J43" s="75"/>
      <c r="K43" s="77"/>
      <c r="N43">
        <v>42</v>
      </c>
      <c r="O43">
        <f>H42</f>
        <v>1</v>
      </c>
      <c r="P43">
        <f>J42</f>
        <v>3</v>
      </c>
      <c r="Q43">
        <f>'Результаты матчей'!O43</f>
        <v>0</v>
      </c>
      <c r="R43">
        <f>'Результаты матчей'!P43</f>
        <v>4</v>
      </c>
      <c r="S43">
        <f>'Результаты матчей'!Q43*IF(AND(O43=Q43,P43=R43,O43+P43&gt;4),12,IF(AND(O43=Q43,P43=R43),6,IF(AND(O43-P43=Q43-R43,O43-P43&lt;&gt;0),4,IF(O43-P43=Q43-R43,3,IF(AND(O43&gt;P43,Q43&gt;R43),1,IF(AND(O43&lt;P43,Q43&lt;R43),1,0))))))</f>
        <v>1</v>
      </c>
      <c r="T43">
        <f t="shared" si="0"/>
        <v>42</v>
      </c>
      <c r="U43">
        <f t="shared" si="1"/>
        <v>0</v>
      </c>
      <c r="V43">
        <f>IF(S43=0,1,0)*N43*'Результаты матчей'!Q43</f>
        <v>0</v>
      </c>
      <c r="W43">
        <f>IF(S43&lt;6,1,0)*N43*'Результаты матчей'!Q43</f>
        <v>42</v>
      </c>
    </row>
    <row r="44" spans="1:24">
      <c r="A44" s="83" t="s">
        <v>11</v>
      </c>
      <c r="B44" s="84">
        <v>1</v>
      </c>
      <c r="C44" s="83" t="s">
        <v>13</v>
      </c>
      <c r="D44" s="84">
        <v>1</v>
      </c>
      <c r="E44" s="85" t="s">
        <v>12</v>
      </c>
      <c r="F44" s="9"/>
      <c r="G44" s="83" t="s">
        <v>21</v>
      </c>
      <c r="H44" s="84">
        <v>2</v>
      </c>
      <c r="I44" s="83" t="s">
        <v>13</v>
      </c>
      <c r="J44" s="84">
        <v>0</v>
      </c>
      <c r="K44" s="85" t="s">
        <v>152</v>
      </c>
      <c r="N44">
        <v>43</v>
      </c>
      <c r="O44">
        <f>B44</f>
        <v>1</v>
      </c>
      <c r="P44">
        <f>D44</f>
        <v>1</v>
      </c>
      <c r="Q44">
        <f>'Результаты матчей'!O44</f>
        <v>2</v>
      </c>
      <c r="R44">
        <f>'Результаты матчей'!P44</f>
        <v>0</v>
      </c>
      <c r="S44">
        <f>'Результаты матчей'!Q44*IF(AND(O44=Q44,P44=R44,O44+P44&gt;4),12,IF(AND(O44=Q44,P44=R44),6,IF(AND(O44-P44=Q44-R44,O44-P44&lt;&gt;0),4,IF(O44-P44=Q44-R44,3,IF(AND(O44&gt;P44,Q44&gt;R44),1,IF(AND(O44&lt;P44,Q44&lt;R44),1,0))))))</f>
        <v>0</v>
      </c>
      <c r="T44">
        <f t="shared" si="0"/>
        <v>0</v>
      </c>
      <c r="U44">
        <f t="shared" si="1"/>
        <v>0</v>
      </c>
      <c r="V44">
        <f>IF(S44=0,1,0)*N44*'Результаты матчей'!Q44</f>
        <v>43</v>
      </c>
      <c r="W44">
        <f>IF(S44&lt;6,1,0)*N44*'Результаты матчей'!Q44</f>
        <v>43</v>
      </c>
    </row>
    <row r="45" spans="1:24">
      <c r="N45">
        <v>44</v>
      </c>
      <c r="O45">
        <f>H44</f>
        <v>2</v>
      </c>
      <c r="P45">
        <f>J44</f>
        <v>0</v>
      </c>
      <c r="Q45">
        <f>'Результаты матчей'!O45</f>
        <v>1</v>
      </c>
      <c r="R45">
        <f>'Результаты матчей'!P45</f>
        <v>2</v>
      </c>
      <c r="S45">
        <f>'Результаты матчей'!Q45*IF(AND(O45=Q45,P45=R45,O45+P45&gt;4),12,IF(AND(O45=Q45,P45=R45),6,IF(AND(O45-P45=Q45-R45,O45-P45&lt;&gt;0),4,IF(O45-P45=Q45-R45,3,IF(AND(O45&gt;P45,Q45&gt;R45),1,IF(AND(O45&lt;P45,Q45&lt;R45),1,0))))))</f>
        <v>0</v>
      </c>
      <c r="T45">
        <f t="shared" si="0"/>
        <v>0</v>
      </c>
      <c r="U45">
        <f t="shared" si="1"/>
        <v>0</v>
      </c>
      <c r="V45">
        <f>IF(S45=0,1,0)*N45*'Результаты матчей'!Q45</f>
        <v>44</v>
      </c>
      <c r="W45">
        <f>IF(S45&lt;6,1,0)*N45*'Результаты матчей'!Q45</f>
        <v>44</v>
      </c>
    </row>
    <row r="46" spans="1:24">
      <c r="A46" s="78"/>
      <c r="B46" s="79"/>
      <c r="C46" s="79"/>
      <c r="D46" s="79"/>
      <c r="E46" s="80"/>
      <c r="F46" s="81" t="s">
        <v>31</v>
      </c>
      <c r="G46" s="80"/>
      <c r="H46" s="79"/>
      <c r="I46" s="39"/>
      <c r="J46" s="39"/>
      <c r="K46" s="78"/>
      <c r="N46">
        <v>45</v>
      </c>
      <c r="O46">
        <f>B49</f>
        <v>0</v>
      </c>
      <c r="P46">
        <f>D49</f>
        <v>2</v>
      </c>
      <c r="Q46">
        <f>'Результаты матчей'!O46</f>
        <v>1</v>
      </c>
      <c r="R46">
        <f>'Результаты матчей'!P46</f>
        <v>1</v>
      </c>
      <c r="S46">
        <f>'Результаты матчей'!Q46*IF(AND(O46=Q46,P46=R46,O46+P46&gt;4),12,IF(AND(O46=Q46,P46=R46),6,IF(AND(O46-P46=Q46-R46,O46-P46&lt;&gt;0),4,IF(O46-P46=Q46-R46,3,IF(AND(O46&gt;P46,Q46&gt;R46),1,IF(AND(O46&lt;P46,Q46&lt;R46),1,0))))))</f>
        <v>0</v>
      </c>
      <c r="T46">
        <f t="shared" si="0"/>
        <v>0</v>
      </c>
      <c r="U46">
        <f t="shared" si="1"/>
        <v>0</v>
      </c>
      <c r="V46">
        <f>IF(S46=0,1,0)*N46*'Результаты матчей'!Q46</f>
        <v>45</v>
      </c>
      <c r="W46">
        <f>IF(S46&lt;6,1,0)*N46*'Результаты матчей'!Q46</f>
        <v>45</v>
      </c>
    </row>
    <row r="47" spans="1:24">
      <c r="N47">
        <v>46</v>
      </c>
      <c r="O47">
        <f>H49</f>
        <v>1</v>
      </c>
      <c r="P47">
        <f>J49</f>
        <v>2</v>
      </c>
      <c r="Q47">
        <f>'Результаты матчей'!O47</f>
        <v>3</v>
      </c>
      <c r="R47">
        <f>'Результаты матчей'!P47</f>
        <v>1</v>
      </c>
      <c r="S47">
        <f>'Результаты матчей'!Q47*IF(AND(O47=Q47,P47=R47,O47+P47&gt;4),12,IF(AND(O47=Q47,P47=R47),6,IF(AND(O47-P47=Q47-R47,O47-P47&lt;&gt;0),4,IF(O47-P47=Q47-R47,3,IF(AND(O47&gt;P47,Q47&gt;R47),1,IF(AND(O47&lt;P47,Q47&lt;R47),1,0))))))</f>
        <v>0</v>
      </c>
      <c r="T47">
        <f t="shared" si="0"/>
        <v>0</v>
      </c>
      <c r="U47">
        <f t="shared" si="1"/>
        <v>0</v>
      </c>
      <c r="V47">
        <f>IF(S47=0,1,0)*N47*'Результаты матчей'!Q47</f>
        <v>46</v>
      </c>
      <c r="W47">
        <f>IF(S47&lt;6,1,0)*N47*'Результаты матчей'!Q47</f>
        <v>46</v>
      </c>
    </row>
    <row r="48" spans="1:24">
      <c r="A48" s="74"/>
      <c r="B48" s="75"/>
      <c r="C48" s="76" t="s">
        <v>69</v>
      </c>
      <c r="D48" s="75"/>
      <c r="E48" s="77"/>
      <c r="F48" s="8"/>
      <c r="G48" s="74"/>
      <c r="H48" s="75"/>
      <c r="I48" s="76" t="s">
        <v>70</v>
      </c>
      <c r="J48" s="75"/>
      <c r="K48" s="77"/>
      <c r="N48">
        <v>47</v>
      </c>
      <c r="O48">
        <f>B51</f>
        <v>1</v>
      </c>
      <c r="P48">
        <f>D51</f>
        <v>1</v>
      </c>
      <c r="Q48">
        <f>'Результаты матчей'!O48</f>
        <v>1</v>
      </c>
      <c r="R48">
        <f>'Результаты матчей'!P48</f>
        <v>1</v>
      </c>
      <c r="S48">
        <f>'Результаты матчей'!Q48*IF(AND(O48=Q48,P48=R48,O48+P48&gt;4),12,IF(AND(O48=Q48,P48=R48),6,IF(AND(O48-P48=Q48-R48,O48-P48&lt;&gt;0),4,IF(O48-P48=Q48-R48,3,IF(AND(O48&gt;P48,Q48&gt;R48),1,IF(AND(O48&lt;P48,Q48&lt;R48),1,0))))))</f>
        <v>6</v>
      </c>
      <c r="T48">
        <f t="shared" si="0"/>
        <v>47</v>
      </c>
      <c r="U48">
        <f t="shared" si="1"/>
        <v>47</v>
      </c>
      <c r="V48">
        <f>IF(S48=0,1,0)*N48*'Результаты матчей'!Q48</f>
        <v>0</v>
      </c>
      <c r="W48">
        <f>IF(S48&lt;6,1,0)*N48*'Результаты матчей'!Q48</f>
        <v>0</v>
      </c>
    </row>
    <row r="49" spans="1:23">
      <c r="A49" s="11" t="s">
        <v>144</v>
      </c>
      <c r="B49" s="82">
        <v>0</v>
      </c>
      <c r="C49" s="11" t="s">
        <v>13</v>
      </c>
      <c r="D49" s="82">
        <v>2</v>
      </c>
      <c r="E49" s="21" t="s">
        <v>1</v>
      </c>
      <c r="F49" s="2"/>
      <c r="G49" s="11" t="s">
        <v>141</v>
      </c>
      <c r="H49" s="82">
        <v>1</v>
      </c>
      <c r="I49" s="11" t="s">
        <v>13</v>
      </c>
      <c r="J49" s="82">
        <v>2</v>
      </c>
      <c r="K49" s="21" t="s">
        <v>67</v>
      </c>
      <c r="N49">
        <v>48</v>
      </c>
      <c r="O49">
        <f>H51</f>
        <v>2</v>
      </c>
      <c r="P49">
        <f>J51</f>
        <v>0</v>
      </c>
      <c r="Q49">
        <f>'Результаты матчей'!O49</f>
        <v>5</v>
      </c>
      <c r="R49">
        <f>'Результаты матчей'!P49</f>
        <v>2</v>
      </c>
      <c r="S49">
        <f>'Результаты матчей'!Q49*IF(AND(O49=Q49,P49=R49,O49+P49&gt;4),12,IF(AND(O49=Q49,P49=R49),6,IF(AND(O49-P49=Q49-R49,O49-P49&lt;&gt;0),4,IF(O49-P49=Q49-R49,3,IF(AND(O49&gt;P49,Q49&gt;R49),1,IF(AND(O49&lt;P49,Q49&lt;R49),1,0))))))</f>
        <v>1</v>
      </c>
      <c r="T49">
        <f t="shared" si="0"/>
        <v>48</v>
      </c>
      <c r="U49">
        <f t="shared" si="1"/>
        <v>0</v>
      </c>
      <c r="V49">
        <f>IF(S49=0,1,0)*N49*'Результаты матчей'!Q49</f>
        <v>0</v>
      </c>
      <c r="W49">
        <f>IF(S49&lt;6,1,0)*N49*'Результаты матчей'!Q49</f>
        <v>48</v>
      </c>
    </row>
    <row r="50" spans="1:23">
      <c r="A50" s="74"/>
      <c r="B50" s="75"/>
      <c r="C50" s="76" t="s">
        <v>154</v>
      </c>
      <c r="D50" s="75"/>
      <c r="E50" s="77"/>
      <c r="F50" s="8"/>
      <c r="G50" s="74"/>
      <c r="H50" s="75"/>
      <c r="I50" s="76" t="s">
        <v>155</v>
      </c>
      <c r="J50" s="75"/>
      <c r="K50" s="77"/>
      <c r="N50">
        <v>49</v>
      </c>
      <c r="O50">
        <f>B56</f>
        <v>2</v>
      </c>
      <c r="P50">
        <f>D56</f>
        <v>1</v>
      </c>
      <c r="Q50">
        <f>'Результаты матчей'!O50</f>
        <v>2</v>
      </c>
      <c r="R50">
        <f>'Результаты матчей'!P50</f>
        <v>0</v>
      </c>
      <c r="S50">
        <f>'Результаты матчей'!Q50*IF(AND(O50=Q50,P50=R50,O50+P50&gt;4),12,IF(AND(O50=Q50,P50=R50),6,IF(AND(O50-P50=Q50-R50,O50-P50&lt;&gt;0),4,IF(O50-P50=Q50-R50,3,IF(AND(O50&gt;P50,Q50&gt;R50),1,IF(AND(O50&lt;P50,Q50&lt;R50),1,0))))))</f>
        <v>1</v>
      </c>
      <c r="T50">
        <f t="shared" si="0"/>
        <v>49</v>
      </c>
      <c r="U50">
        <f t="shared" si="1"/>
        <v>0</v>
      </c>
      <c r="V50">
        <f>IF(S50=0,1,0)*N50*'Результаты матчей'!Q50</f>
        <v>0</v>
      </c>
      <c r="W50">
        <f>IF(S50&lt;6,1,0)*N50*'Результаты матчей'!Q50</f>
        <v>49</v>
      </c>
    </row>
    <row r="51" spans="1:23">
      <c r="A51" s="83" t="s">
        <v>2</v>
      </c>
      <c r="B51" s="84">
        <v>1</v>
      </c>
      <c r="C51" s="83" t="s">
        <v>13</v>
      </c>
      <c r="D51" s="84">
        <v>1</v>
      </c>
      <c r="E51" s="85" t="s">
        <v>11</v>
      </c>
      <c r="F51" s="9"/>
      <c r="G51" s="83" t="s">
        <v>10</v>
      </c>
      <c r="H51" s="84">
        <v>2</v>
      </c>
      <c r="I51" s="83" t="s">
        <v>13</v>
      </c>
      <c r="J51" s="84">
        <v>0</v>
      </c>
      <c r="K51" s="85" t="s">
        <v>152</v>
      </c>
      <c r="N51">
        <v>50</v>
      </c>
      <c r="O51">
        <f>H56</f>
        <v>1</v>
      </c>
      <c r="P51">
        <f>J56</f>
        <v>2</v>
      </c>
      <c r="Q51">
        <f>'Результаты матчей'!O51</f>
        <v>0</v>
      </c>
      <c r="R51">
        <f>'Результаты матчей'!P51</f>
        <v>2</v>
      </c>
      <c r="S51">
        <f>'Результаты матчей'!Q51*IF(AND(O51=Q51,P51=R51,O51+P51&gt;4),12,IF(AND(O51=Q51,P51=R51),6,IF(AND(O51-P51=Q51-R51,O51-P51&lt;&gt;0),4,IF(O51-P51=Q51-R51,3,IF(AND(O51&gt;P51,Q51&gt;R51),1,IF(AND(O51&lt;P51,Q51&lt;R51),1,0))))))</f>
        <v>1</v>
      </c>
      <c r="T51">
        <f t="shared" si="0"/>
        <v>50</v>
      </c>
      <c r="U51">
        <f t="shared" si="1"/>
        <v>0</v>
      </c>
      <c r="V51">
        <f>IF(S51=0,1,0)*N51*'Результаты матчей'!Q51</f>
        <v>0</v>
      </c>
      <c r="W51">
        <f>IF(S51&lt;6,1,0)*N51*'Результаты матчей'!Q51</f>
        <v>50</v>
      </c>
    </row>
    <row r="52" spans="1:23">
      <c r="N52">
        <v>51</v>
      </c>
      <c r="O52">
        <f>D61</f>
        <v>0</v>
      </c>
      <c r="P52">
        <f>H61</f>
        <v>2</v>
      </c>
      <c r="Q52">
        <f>'Результаты матчей'!O52</f>
        <v>1</v>
      </c>
      <c r="R52">
        <f>'Результаты матчей'!P52</f>
        <v>0</v>
      </c>
      <c r="S52">
        <f>'Результаты матчей'!Q52*IF(AND(O52=Q52,P52=R52,O52+P52&gt;4),12,IF(AND(O52=Q52,P52=R52),6,IF(AND(O52-P52=Q52-R52,O52-P52&lt;&gt;0),4,IF(O52-P52=Q52-R52,3,IF(AND(O52&gt;P52,Q52&gt;R52),1,IF(AND(O52&lt;P52,Q52&lt;R52),1,0))))))</f>
        <v>0</v>
      </c>
      <c r="T52">
        <f t="shared" si="0"/>
        <v>0</v>
      </c>
      <c r="U52">
        <f t="shared" si="1"/>
        <v>0</v>
      </c>
      <c r="V52">
        <f>IF(S52=0,1,0)*N52*'Результаты матчей'!Q52</f>
        <v>51</v>
      </c>
      <c r="W52">
        <f>IF(S52&lt;6,1,0)*N52*'Результаты матчей'!Q52</f>
        <v>51</v>
      </c>
    </row>
    <row r="53" spans="1:23">
      <c r="A53" s="78"/>
      <c r="B53" s="79"/>
      <c r="C53" s="79"/>
      <c r="D53" s="79"/>
      <c r="E53" s="80"/>
      <c r="F53" s="81" t="s">
        <v>32</v>
      </c>
      <c r="G53" s="80"/>
      <c r="H53" s="79"/>
      <c r="I53" s="39"/>
      <c r="J53" s="39"/>
      <c r="K53" s="78"/>
    </row>
    <row r="55" spans="1:23">
      <c r="A55" s="74"/>
      <c r="B55" s="75"/>
      <c r="C55" s="76" t="s">
        <v>156</v>
      </c>
      <c r="D55" s="75"/>
      <c r="E55" s="77"/>
      <c r="F55" s="8"/>
      <c r="G55" s="74"/>
      <c r="H55" s="75"/>
      <c r="I55" s="76" t="s">
        <v>157</v>
      </c>
      <c r="J55" s="75"/>
      <c r="K55" s="77"/>
    </row>
    <row r="56" spans="1:23">
      <c r="A56" s="83" t="s">
        <v>1</v>
      </c>
      <c r="B56" s="84">
        <v>2</v>
      </c>
      <c r="C56" s="83" t="s">
        <v>13</v>
      </c>
      <c r="D56" s="84">
        <v>1</v>
      </c>
      <c r="E56" s="85" t="s">
        <v>141</v>
      </c>
      <c r="F56" s="9"/>
      <c r="G56" s="83" t="s">
        <v>2</v>
      </c>
      <c r="H56" s="84">
        <v>1</v>
      </c>
      <c r="I56" s="83" t="s">
        <v>13</v>
      </c>
      <c r="J56" s="84">
        <v>2</v>
      </c>
      <c r="K56" s="85" t="s">
        <v>10</v>
      </c>
    </row>
    <row r="58" spans="1:23">
      <c r="A58" s="78"/>
      <c r="B58" s="79"/>
      <c r="C58" s="79"/>
      <c r="D58" s="79"/>
      <c r="E58" s="80"/>
      <c r="F58" s="81" t="s">
        <v>33</v>
      </c>
      <c r="G58" s="80"/>
      <c r="H58" s="79"/>
      <c r="I58" s="39"/>
      <c r="J58" s="39"/>
      <c r="K58" s="78"/>
    </row>
    <row r="60" spans="1:23">
      <c r="D60" s="116"/>
      <c r="E60" s="117"/>
      <c r="F60" s="76" t="s">
        <v>158</v>
      </c>
      <c r="G60" s="117"/>
      <c r="H60" s="118"/>
    </row>
    <row r="61" spans="1:23">
      <c r="D61" s="84">
        <v>0</v>
      </c>
      <c r="E61" s="83" t="s">
        <v>1</v>
      </c>
      <c r="F61" s="83" t="s">
        <v>13</v>
      </c>
      <c r="G61" s="85" t="s">
        <v>10</v>
      </c>
      <c r="H61" s="84">
        <v>2</v>
      </c>
    </row>
    <row r="63" spans="1:23">
      <c r="A63" s="78"/>
      <c r="B63" s="79"/>
      <c r="C63" s="79"/>
      <c r="D63" s="79"/>
      <c r="E63" s="80"/>
      <c r="F63" s="81" t="s">
        <v>34</v>
      </c>
      <c r="G63" s="80"/>
      <c r="H63" s="79"/>
      <c r="I63" s="39"/>
      <c r="J63" s="39"/>
      <c r="K63" s="78"/>
    </row>
    <row r="64" spans="1:23">
      <c r="E64" s="114"/>
      <c r="F64" s="115" t="s">
        <v>10</v>
      </c>
      <c r="G64" s="114"/>
    </row>
  </sheetData>
  <mergeCells count="11">
    <mergeCell ref="X17:Z29"/>
    <mergeCell ref="AB17:AD29"/>
    <mergeCell ref="X30:Z31"/>
    <mergeCell ref="AB30:AD31"/>
    <mergeCell ref="X2:X3"/>
    <mergeCell ref="Y2:Z2"/>
    <mergeCell ref="AA2:AB2"/>
    <mergeCell ref="AC2:AD2"/>
    <mergeCell ref="X9:Y9"/>
    <mergeCell ref="X15:Z16"/>
    <mergeCell ref="AB15:AD16"/>
  </mergeCells>
  <conditionalFormatting sqref="X30:Z31">
    <cfRule type="containsText" dxfId="31" priority="2" operator="containsText" text="с набранными баллами">
      <formula>NOT(ISERROR(SEARCH("с набранными баллами",X30)))</formula>
    </cfRule>
  </conditionalFormatting>
  <conditionalFormatting sqref="AB30:AD31">
    <cfRule type="containsText" dxfId="30" priority="1" operator="containsText" text="с угаданными счетами">
      <formula>NOT(ISERROR(SEARCH("с угаданными счетами",AB30)))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ИТОГИ</vt:lpstr>
      <vt:lpstr>Результаты матчей</vt:lpstr>
      <vt:lpstr>День за днем</vt:lpstr>
      <vt:lpstr>Статистика</vt:lpstr>
      <vt:lpstr>Правила</vt:lpstr>
      <vt:lpstr>01 Акиловский Руслан</vt:lpstr>
      <vt:lpstr>02 Бегларян Гайк</vt:lpstr>
      <vt:lpstr>03 Бегларян Римма</vt:lpstr>
      <vt:lpstr>04 Кулиев Бегенч</vt:lpstr>
      <vt:lpstr>05 Бикулов Камал</vt:lpstr>
      <vt:lpstr>06 Иванов Андрей</vt:lpstr>
      <vt:lpstr>07 Аванесова Изабелла</vt:lpstr>
      <vt:lpstr>08 Щербич Николай</vt:lpstr>
      <vt:lpstr>09 Жук Роман</vt:lpstr>
      <vt:lpstr>10 Бегларян Аркадий</vt:lpstr>
      <vt:lpstr>11 Демчихин Александр</vt:lpstr>
      <vt:lpstr>12 Иванов Евгений</vt:lpstr>
      <vt:lpstr>13 Гусаков Сергей</vt:lpstr>
      <vt:lpstr>14 Рижницын Андрей</vt:lpstr>
      <vt:lpstr>15 Тарасевич Максим</vt:lpstr>
      <vt:lpstr>16 Назарян Виталий</vt:lpstr>
      <vt:lpstr>17 Назарян Вадим</vt:lpstr>
      <vt:lpstr>18 Арутюнян Артем</vt:lpstr>
      <vt:lpstr>19 Щербич Никита</vt:lpstr>
    </vt:vector>
  </TitlesOfParts>
  <Company>1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</dc:creator>
  <cp:lastModifiedBy>FMD</cp:lastModifiedBy>
  <cp:lastPrinted>2016-04-19T11:12:19Z</cp:lastPrinted>
  <dcterms:created xsi:type="dcterms:W3CDTF">2008-05-30T13:30:43Z</dcterms:created>
  <dcterms:modified xsi:type="dcterms:W3CDTF">2016-07-12T17:39:51Z</dcterms:modified>
</cp:coreProperties>
</file>