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5" yWindow="15" windowWidth="4830" windowHeight="8535" tabRatio="859" firstSheet="7" activeTab="7"/>
  </bookViews>
  <sheets>
    <sheet name="Main Menu" sheetId="50" r:id="rId1"/>
    <sheet name="Neraca Awal" sheetId="22" r:id="rId2"/>
    <sheet name="Peralatan" sheetId="73" r:id="rId3"/>
    <sheet name="Dashboard" sheetId="53" r:id="rId4"/>
    <sheet name="Laporan Penjualan" sheetId="67" state="hidden" r:id="rId5"/>
    <sheet name="Neraca Lajur" sheetId="25" r:id="rId6"/>
    <sheet name="CashFlow" sheetId="75" r:id="rId7"/>
    <sheet name="Laporan Neraca" sheetId="27" r:id="rId8"/>
    <sheet name="Laporan Laba Rugi" sheetId="26" r:id="rId9"/>
    <sheet name="Gaji Karyawan" sheetId="37" r:id="rId10"/>
    <sheet name="Laporan Stok" sheetId="65" state="hidden" r:id="rId11"/>
    <sheet name="Rencana Pembelian" sheetId="72" state="hidden" r:id="rId12"/>
    <sheet name="POS" sheetId="58" r:id="rId13"/>
    <sheet name="Penjualan" sheetId="29" r:id="rId14"/>
    <sheet name="Penjualan CF" sheetId="74" r:id="rId15"/>
    <sheet name="Transaksi" sheetId="55" r:id="rId16"/>
    <sheet name="Jurnal Trans Klausa" sheetId="23" r:id="rId17"/>
    <sheet name="Laporan Mingguan" sheetId="30" state="hidden" r:id="rId18"/>
    <sheet name="Hitung" sheetId="33" r:id="rId19"/>
    <sheet name="Stok" sheetId="60" r:id="rId20"/>
    <sheet name="Stok Bahan Klausa" sheetId="52" r:id="rId21"/>
    <sheet name="Jurnal BB" sheetId="54" state="hidden" r:id="rId22"/>
    <sheet name="Stok Lajur" sheetId="56" state="hidden" r:id="rId23"/>
    <sheet name="Karyawan" sheetId="61" r:id="rId24"/>
    <sheet name="Gaji per Jabatan" sheetId="62" state="hidden" r:id="rId25"/>
    <sheet name="Biodata Karyawan" sheetId="63" state="hidden" r:id="rId26"/>
    <sheet name="Absen" sheetId="36" r:id="rId27"/>
    <sheet name="Forecasting" sheetId="57" state="hidden" r:id="rId28"/>
    <sheet name="Insentif" sheetId="76" r:id="rId29"/>
    <sheet name="Pembelian" sheetId="68" r:id="rId30"/>
    <sheet name="Rumus Bahan Baku" sheetId="59" state="hidden" r:id="rId31"/>
    <sheet name="Peramalan Permintaan" sheetId="69" state="hidden" r:id="rId32"/>
    <sheet name="Cabang" sheetId="70" r:id="rId33"/>
    <sheet name="Sheet1" sheetId="77" r:id="rId34"/>
  </sheets>
  <externalReferences>
    <externalReference r:id="rId35"/>
    <externalReference r:id="rId36"/>
  </externalReferences>
  <definedNames>
    <definedName name="_xlnm._FilterDatabase" localSheetId="16" hidden="1">'Jurnal Trans Klausa'!$B$8:$I$9</definedName>
    <definedName name="Akun">'Neraca Awal'!$A$6:$B$84</definedName>
    <definedName name="Bahan">'Stok Bahan Klausa'!$A$6:$G$56</definedName>
    <definedName name="Bln">#REF!</definedName>
    <definedName name="Daftar">'Neraca Awal'!#REF!</definedName>
    <definedName name="NamaAkun">'Neraca Awal'!$A$6:$B$84</definedName>
    <definedName name="NamaAkun1">'[1]Neraca Awal'!$A$6:$B$82</definedName>
    <definedName name="NOMOR">'Neraca Awal'!$A$6:$A$84</definedName>
    <definedName name="s">'[2]Neraca Awal'!$A$6:$A$84</definedName>
    <definedName name="Saldo">'Neraca Awal'!$A$6:$G$84</definedName>
    <definedName name="Tgl">#REF!</definedName>
    <definedName name="Thn">#REF!</definedName>
  </definedNames>
  <calcPr calcId="145621"/>
</workbook>
</file>

<file path=xl/calcChain.xml><?xml version="1.0" encoding="utf-8"?>
<calcChain xmlns="http://schemas.openxmlformats.org/spreadsheetml/2006/main">
  <c r="I60" i="27" l="1"/>
  <c r="C5" i="75" l="1"/>
  <c r="F7" i="22"/>
  <c r="O63" i="29" l="1"/>
  <c r="V35" i="33" l="1"/>
  <c r="M42" i="29"/>
  <c r="G109" i="37" l="1"/>
  <c r="G90" i="37"/>
  <c r="G71" i="37"/>
  <c r="G52" i="37"/>
  <c r="G33" i="37"/>
  <c r="G11" i="37"/>
  <c r="O18" i="76"/>
  <c r="O19" i="76"/>
  <c r="O20" i="76"/>
  <c r="O21" i="76"/>
  <c r="O22" i="76"/>
  <c r="N17" i="76"/>
  <c r="O17" i="76" s="1"/>
  <c r="F98" i="23"/>
  <c r="F97" i="23"/>
  <c r="O34" i="23"/>
  <c r="K34" i="23"/>
  <c r="F96" i="23" s="1"/>
  <c r="L34" i="23"/>
  <c r="M34" i="23"/>
  <c r="N34" i="23"/>
  <c r="AA42" i="29"/>
  <c r="H9" i="76"/>
  <c r="J9" i="76" s="1"/>
  <c r="K9" i="76" s="1"/>
  <c r="F95" i="23"/>
  <c r="F94" i="23"/>
  <c r="K25" i="52"/>
  <c r="J25" i="52"/>
  <c r="L25" i="52" s="1"/>
  <c r="G25" i="52"/>
  <c r="I18" i="52"/>
  <c r="I7" i="52"/>
  <c r="F22" i="52"/>
  <c r="O36" i="29"/>
  <c r="X43" i="29"/>
  <c r="G43" i="29"/>
  <c r="H43" i="29"/>
  <c r="U43" i="29" s="1"/>
  <c r="W43" i="29" s="1"/>
  <c r="K43" i="29"/>
  <c r="S43" i="29"/>
  <c r="D42" i="29"/>
  <c r="S39" i="29"/>
  <c r="K39" i="29"/>
  <c r="H39" i="29"/>
  <c r="U39" i="29" s="1"/>
  <c r="W39" i="29" s="1"/>
  <c r="G39" i="29"/>
  <c r="D40" i="29"/>
  <c r="G40" i="29" s="1"/>
  <c r="H40" i="29"/>
  <c r="K40" i="29"/>
  <c r="M40" i="29"/>
  <c r="S40" i="29"/>
  <c r="U40" i="29"/>
  <c r="W40" i="29" s="1"/>
  <c r="X40" i="29" s="1"/>
  <c r="D41" i="29"/>
  <c r="G41" i="29"/>
  <c r="H41" i="29"/>
  <c r="K41" i="29"/>
  <c r="M41" i="29"/>
  <c r="S41" i="29"/>
  <c r="G42" i="29"/>
  <c r="H42" i="29"/>
  <c r="U42" i="29" s="1"/>
  <c r="W42" i="29" s="1"/>
  <c r="X42" i="29" s="1"/>
  <c r="K42" i="29"/>
  <c r="O42" i="29"/>
  <c r="S42" i="29"/>
  <c r="H3" i="76"/>
  <c r="H4" i="76"/>
  <c r="H5" i="76"/>
  <c r="H6" i="76"/>
  <c r="H7" i="76"/>
  <c r="H8" i="76"/>
  <c r="H10" i="76"/>
  <c r="U41" i="29" l="1"/>
  <c r="W41" i="29" s="1"/>
  <c r="X41" i="29" s="1"/>
  <c r="O24" i="76"/>
  <c r="J3" i="76"/>
  <c r="D35" i="29"/>
  <c r="E35" i="29"/>
  <c r="E34" i="29"/>
  <c r="M34" i="29"/>
  <c r="D34" i="29"/>
  <c r="O34" i="29"/>
  <c r="X33" i="29"/>
  <c r="M33" i="29"/>
  <c r="D33" i="29"/>
  <c r="E33" i="29"/>
  <c r="D32" i="29"/>
  <c r="E32" i="29"/>
  <c r="X31" i="29"/>
  <c r="M31" i="29"/>
  <c r="D31" i="29"/>
  <c r="C31" i="29"/>
  <c r="O30" i="29"/>
  <c r="E30" i="29"/>
  <c r="O28" i="29"/>
  <c r="D28" i="29"/>
  <c r="D27" i="29"/>
  <c r="E27" i="29"/>
  <c r="F27" i="23"/>
  <c r="Y34" i="29" l="1"/>
  <c r="X34" i="29"/>
  <c r="X27" i="29" l="1"/>
  <c r="T17" i="33" l="1"/>
  <c r="R29" i="33"/>
  <c r="T30" i="33"/>
  <c r="T31" i="33"/>
  <c r="T32" i="33"/>
  <c r="T33" i="33"/>
  <c r="T29" i="33"/>
  <c r="T34" i="33" s="1"/>
  <c r="R30" i="33"/>
  <c r="R31" i="33"/>
  <c r="R32" i="33"/>
  <c r="R33" i="3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H81" i="23"/>
  <c r="I81" i="23"/>
  <c r="H82" i="23"/>
  <c r="I82" i="23"/>
  <c r="H83" i="23"/>
  <c r="I83" i="23"/>
  <c r="H84" i="23"/>
  <c r="I84" i="23"/>
  <c r="H85" i="23"/>
  <c r="I85" i="23"/>
  <c r="H86" i="23"/>
  <c r="H87" i="23"/>
  <c r="I87" i="23"/>
  <c r="H88" i="23"/>
  <c r="I88" i="23"/>
  <c r="H89" i="23"/>
  <c r="I89" i="23"/>
  <c r="H90" i="23"/>
  <c r="I90" i="23"/>
  <c r="H91" i="23"/>
  <c r="H92" i="23"/>
  <c r="H93" i="23"/>
  <c r="I93" i="23"/>
  <c r="H94" i="23"/>
  <c r="I94" i="23"/>
  <c r="H95" i="23"/>
  <c r="I95" i="23"/>
  <c r="H96" i="23"/>
  <c r="I96" i="23"/>
  <c r="H97" i="23"/>
  <c r="I97" i="23"/>
  <c r="H98" i="23"/>
  <c r="I98" i="23"/>
  <c r="H99" i="23"/>
  <c r="I99" i="23"/>
  <c r="H100" i="23"/>
  <c r="I100" i="23"/>
  <c r="H101" i="23"/>
  <c r="H102" i="23"/>
  <c r="H103" i="23"/>
  <c r="H104" i="23"/>
  <c r="I104" i="23"/>
  <c r="H105" i="23"/>
  <c r="I105" i="23"/>
  <c r="E106" i="23"/>
  <c r="H106" i="23"/>
  <c r="I106" i="23"/>
  <c r="E107" i="23"/>
  <c r="H107" i="23"/>
  <c r="I107" i="23"/>
  <c r="E108" i="23"/>
  <c r="H108" i="23"/>
  <c r="I108" i="23"/>
  <c r="E109" i="23"/>
  <c r="H109" i="23"/>
  <c r="I109" i="23"/>
  <c r="I29" i="33"/>
  <c r="N26" i="33"/>
  <c r="O26" i="33" s="1"/>
  <c r="P26" i="33" s="1"/>
  <c r="N25" i="33"/>
  <c r="O25" i="33" s="1"/>
  <c r="P25" i="33" s="1"/>
  <c r="N24" i="33"/>
  <c r="O24" i="33" s="1"/>
  <c r="P24" i="33" s="1"/>
  <c r="O19" i="33"/>
  <c r="I19" i="33"/>
  <c r="I20" i="33" s="1"/>
  <c r="J20" i="33" s="1"/>
  <c r="I17" i="33"/>
  <c r="L16" i="33"/>
  <c r="M16" i="33" s="1"/>
  <c r="I16" i="33"/>
  <c r="I15" i="33"/>
  <c r="D15" i="33"/>
  <c r="M14" i="33"/>
  <c r="D14" i="33"/>
  <c r="M13" i="33"/>
  <c r="D13" i="33"/>
  <c r="M12" i="33"/>
  <c r="D12" i="33"/>
  <c r="M11" i="33"/>
  <c r="M10" i="33"/>
  <c r="T35" i="33" s="1"/>
  <c r="D10" i="33"/>
  <c r="M9" i="33"/>
  <c r="D9" i="33"/>
  <c r="M8" i="33"/>
  <c r="D8" i="33"/>
  <c r="M7" i="33"/>
  <c r="D7" i="33"/>
  <c r="M6" i="33"/>
  <c r="D6" i="33"/>
  <c r="D5" i="33"/>
  <c r="M4" i="33"/>
  <c r="D4" i="33"/>
  <c r="R34" i="33" l="1"/>
  <c r="S32" i="33" s="1"/>
  <c r="U32" i="33" s="1"/>
  <c r="V32" i="33" s="1"/>
  <c r="I21" i="33"/>
  <c r="J21" i="33" s="1"/>
  <c r="D21" i="33"/>
  <c r="I4" i="33" s="1"/>
  <c r="I12" i="33" s="1"/>
  <c r="I22" i="33"/>
  <c r="S29" i="33" l="1"/>
  <c r="U29" i="33" s="1"/>
  <c r="V29" i="33" s="1"/>
  <c r="S33" i="33"/>
  <c r="U33" i="33" s="1"/>
  <c r="V33" i="33" s="1"/>
  <c r="S31" i="33"/>
  <c r="U31" i="33" s="1"/>
  <c r="V31" i="33" s="1"/>
  <c r="T18" i="33" s="1"/>
  <c r="T19" i="33" s="1"/>
  <c r="S30" i="33"/>
  <c r="U30" i="33" s="1"/>
  <c r="V30" i="33" s="1"/>
  <c r="X29" i="29"/>
  <c r="X26" i="29"/>
  <c r="O12" i="29" l="1"/>
  <c r="M26" i="29"/>
  <c r="D26" i="29"/>
  <c r="E26" i="29"/>
  <c r="M25" i="29"/>
  <c r="D25" i="29"/>
  <c r="E25" i="29"/>
  <c r="Y24" i="29"/>
  <c r="M24" i="29"/>
  <c r="E24" i="29"/>
  <c r="H24" i="29" s="1"/>
  <c r="D24" i="29"/>
  <c r="M23" i="29"/>
  <c r="E23" i="29"/>
  <c r="D23" i="29"/>
  <c r="D22" i="29"/>
  <c r="G22" i="29" s="1"/>
  <c r="E22" i="29"/>
  <c r="O20" i="29"/>
  <c r="D20" i="29"/>
  <c r="E20" i="29"/>
  <c r="M20" i="29"/>
  <c r="M19" i="29"/>
  <c r="E19" i="29"/>
  <c r="D19" i="29"/>
  <c r="C19" i="29"/>
  <c r="O19" i="29"/>
  <c r="M18" i="29"/>
  <c r="D18" i="29"/>
  <c r="G18" i="29" s="1"/>
  <c r="O18" i="29"/>
  <c r="N18" i="29"/>
  <c r="E18" i="29"/>
  <c r="M17" i="29"/>
  <c r="O17" i="29"/>
  <c r="E17" i="29"/>
  <c r="G17" i="29" s="1"/>
  <c r="M16" i="29"/>
  <c r="D16" i="29"/>
  <c r="C16" i="29"/>
  <c r="E16" i="29"/>
  <c r="D15" i="29"/>
  <c r="D14" i="29"/>
  <c r="T14" i="29"/>
  <c r="E14" i="29"/>
  <c r="E12" i="29"/>
  <c r="D12" i="29"/>
  <c r="S44" i="29"/>
  <c r="K44" i="29"/>
  <c r="H44" i="29"/>
  <c r="U44" i="29" s="1"/>
  <c r="W44" i="29" s="1"/>
  <c r="G44" i="29"/>
  <c r="S38" i="29"/>
  <c r="K38" i="29"/>
  <c r="H38" i="29"/>
  <c r="U38" i="29" s="1"/>
  <c r="W38" i="29" s="1"/>
  <c r="G38" i="29"/>
  <c r="S36" i="29"/>
  <c r="K36" i="29"/>
  <c r="H36" i="29"/>
  <c r="G36" i="29"/>
  <c r="S35" i="29"/>
  <c r="K35" i="29"/>
  <c r="H35" i="29"/>
  <c r="G35" i="29"/>
  <c r="S34" i="29"/>
  <c r="K34" i="29"/>
  <c r="H34" i="29"/>
  <c r="G34" i="29"/>
  <c r="S33" i="29"/>
  <c r="K33" i="29"/>
  <c r="H33" i="29"/>
  <c r="G33" i="29"/>
  <c r="S32" i="29"/>
  <c r="K32" i="29"/>
  <c r="H32" i="29"/>
  <c r="U32" i="29" s="1"/>
  <c r="W32" i="29" s="1"/>
  <c r="G32" i="29"/>
  <c r="S31" i="29"/>
  <c r="K31" i="29"/>
  <c r="H31" i="29"/>
  <c r="U31" i="29" s="1"/>
  <c r="W31" i="29" s="1"/>
  <c r="G31" i="29"/>
  <c r="S30" i="29"/>
  <c r="K30" i="29"/>
  <c r="H30" i="29"/>
  <c r="G30" i="29"/>
  <c r="S28" i="29"/>
  <c r="K28" i="29"/>
  <c r="H28" i="29"/>
  <c r="G28" i="29"/>
  <c r="S27" i="29"/>
  <c r="K27" i="29"/>
  <c r="H27" i="29"/>
  <c r="G27" i="29"/>
  <c r="S26" i="29"/>
  <c r="K26" i="29"/>
  <c r="H26" i="29"/>
  <c r="G26" i="29"/>
  <c r="S25" i="29"/>
  <c r="K25" i="29"/>
  <c r="S24" i="29"/>
  <c r="K24" i="29"/>
  <c r="S23" i="29"/>
  <c r="K23" i="29"/>
  <c r="H23" i="29"/>
  <c r="U23" i="29" s="1"/>
  <c r="W23" i="29" s="1"/>
  <c r="S22" i="29"/>
  <c r="K22" i="29"/>
  <c r="H22" i="29"/>
  <c r="U22" i="29" s="1"/>
  <c r="W22" i="29" s="1"/>
  <c r="S20" i="29"/>
  <c r="K20" i="29"/>
  <c r="H20" i="29"/>
  <c r="S19" i="29"/>
  <c r="K19" i="29"/>
  <c r="S18" i="29"/>
  <c r="K18" i="29"/>
  <c r="S17" i="29"/>
  <c r="K17" i="29"/>
  <c r="H17" i="29"/>
  <c r="S16" i="29"/>
  <c r="K16" i="29"/>
  <c r="G16" i="29"/>
  <c r="S15" i="29"/>
  <c r="K15" i="29"/>
  <c r="H15" i="29"/>
  <c r="U15" i="29" s="1"/>
  <c r="W15" i="29" s="1"/>
  <c r="G15" i="29"/>
  <c r="S14" i="29"/>
  <c r="K14" i="29"/>
  <c r="H14" i="29"/>
  <c r="S12" i="29"/>
  <c r="K12" i="29"/>
  <c r="H12" i="29"/>
  <c r="G12" i="29"/>
  <c r="S11" i="29"/>
  <c r="K11" i="29"/>
  <c r="U11" i="29" s="1"/>
  <c r="W11" i="29" s="1"/>
  <c r="H11" i="29"/>
  <c r="G11" i="29"/>
  <c r="S10" i="29"/>
  <c r="K10" i="29"/>
  <c r="U10" i="29" s="1"/>
  <c r="W10" i="29" s="1"/>
  <c r="H10" i="29"/>
  <c r="G10" i="29"/>
  <c r="S9" i="29"/>
  <c r="K9" i="29"/>
  <c r="H9" i="29"/>
  <c r="U9" i="29" s="1"/>
  <c r="W9" i="29" s="1"/>
  <c r="G9" i="29"/>
  <c r="S8" i="29"/>
  <c r="K8" i="29"/>
  <c r="H8" i="29"/>
  <c r="U8" i="29" s="1"/>
  <c r="W8" i="29" s="1"/>
  <c r="G8" i="29"/>
  <c r="S7" i="29"/>
  <c r="K7" i="29"/>
  <c r="H7" i="29"/>
  <c r="U7" i="29" s="1"/>
  <c r="W7" i="29" s="1"/>
  <c r="G7" i="29"/>
  <c r="S6" i="29"/>
  <c r="K6" i="29"/>
  <c r="H6" i="29"/>
  <c r="U6" i="29" s="1"/>
  <c r="W6" i="29" s="1"/>
  <c r="G6" i="29"/>
  <c r="U36" i="29" l="1"/>
  <c r="W36" i="29" s="1"/>
  <c r="U35" i="29"/>
  <c r="W35" i="29" s="1"/>
  <c r="U34" i="29"/>
  <c r="W34" i="29" s="1"/>
  <c r="U33" i="29"/>
  <c r="W33" i="29" s="1"/>
  <c r="U30" i="29"/>
  <c r="W30" i="29" s="1"/>
  <c r="U28" i="29"/>
  <c r="W28" i="29" s="1"/>
  <c r="U27" i="29"/>
  <c r="W27" i="29" s="1"/>
  <c r="U12" i="29"/>
  <c r="W12" i="29" s="1"/>
  <c r="U26" i="29"/>
  <c r="W26" i="29" s="1"/>
  <c r="G25" i="29"/>
  <c r="H25" i="29"/>
  <c r="U25" i="29" s="1"/>
  <c r="W25" i="29" s="1"/>
  <c r="G24" i="29"/>
  <c r="U24" i="29"/>
  <c r="W24" i="29" s="1"/>
  <c r="G23" i="29"/>
  <c r="G20" i="29"/>
  <c r="U20" i="29"/>
  <c r="W20" i="29" s="1"/>
  <c r="H19" i="29"/>
  <c r="G19" i="29"/>
  <c r="U19" i="29"/>
  <c r="W19" i="29" s="1"/>
  <c r="H18" i="29"/>
  <c r="U18" i="29" s="1"/>
  <c r="W18" i="29" s="1"/>
  <c r="U17" i="29"/>
  <c r="W17" i="29" s="1"/>
  <c r="H16" i="29"/>
  <c r="U16" i="29" s="1"/>
  <c r="W16" i="29" s="1"/>
  <c r="U14" i="29"/>
  <c r="W14" i="29" s="1"/>
  <c r="G14" i="29"/>
  <c r="L24" i="76" l="1"/>
  <c r="J4" i="76"/>
  <c r="K4" i="76" s="1"/>
  <c r="J5" i="76"/>
  <c r="K5" i="76" s="1"/>
  <c r="J7" i="76"/>
  <c r="K7" i="76" s="1"/>
  <c r="K3" i="76"/>
  <c r="E48" i="36"/>
  <c r="F48" i="36"/>
  <c r="G48" i="36"/>
  <c r="H48" i="36"/>
  <c r="B85" i="37" s="1"/>
  <c r="I48" i="36"/>
  <c r="D48" i="36"/>
  <c r="B6" i="37" s="1"/>
  <c r="J8" i="76" l="1"/>
  <c r="K8" i="76" s="1"/>
  <c r="J6" i="76"/>
  <c r="K6" i="76" s="1"/>
  <c r="B104" i="37"/>
  <c r="B108" i="37" s="1"/>
  <c r="G108" i="37" s="1"/>
  <c r="B89" i="37"/>
  <c r="B66" i="37"/>
  <c r="B70" i="37" s="1"/>
  <c r="B47" i="37"/>
  <c r="B51" i="37" s="1"/>
  <c r="B28" i="37"/>
  <c r="B32" i="37" s="1"/>
  <c r="B10" i="37"/>
  <c r="J110" i="37"/>
  <c r="L48" i="36"/>
  <c r="B29" i="37" s="1"/>
  <c r="M48" i="36"/>
  <c r="B48" i="37" s="1"/>
  <c r="N48" i="36"/>
  <c r="O48" i="36"/>
  <c r="B86" i="37" s="1"/>
  <c r="P48" i="36"/>
  <c r="G105" i="37" s="1"/>
  <c r="L3" i="36"/>
  <c r="M3" i="36"/>
  <c r="N3" i="36"/>
  <c r="O3" i="36"/>
  <c r="P3" i="36"/>
  <c r="K3" i="36"/>
  <c r="G104" i="37" l="1"/>
  <c r="G110" i="37" s="1"/>
  <c r="J112" i="37" s="1"/>
  <c r="I11" i="23" l="1"/>
  <c r="H11" i="23"/>
  <c r="E11" i="23"/>
  <c r="Y54" i="29" l="1"/>
  <c r="F92" i="23" s="1"/>
  <c r="I92" i="23" s="1"/>
  <c r="AA6" i="29"/>
  <c r="AA7" i="29"/>
  <c r="AA8" i="29"/>
  <c r="AA10" i="29" l="1"/>
  <c r="AA9" i="29"/>
  <c r="G85" i="22"/>
  <c r="H8" i="26" l="1"/>
  <c r="H9" i="26"/>
  <c r="H10" i="26"/>
  <c r="H11" i="26"/>
  <c r="G8" i="26"/>
  <c r="G9" i="26"/>
  <c r="G10" i="26"/>
  <c r="G11" i="26"/>
  <c r="F35" i="27" l="1"/>
  <c r="C87" i="25"/>
  <c r="H56" i="23" l="1"/>
  <c r="I56" i="23"/>
  <c r="H57" i="23"/>
  <c r="I57" i="23"/>
  <c r="H58" i="23"/>
  <c r="I58" i="23"/>
  <c r="H53" i="23"/>
  <c r="I53" i="23"/>
  <c r="H54" i="23"/>
  <c r="I54" i="23"/>
  <c r="H55" i="23"/>
  <c r="I55" i="23"/>
  <c r="H50" i="23"/>
  <c r="I50" i="23"/>
  <c r="H51" i="23"/>
  <c r="I51" i="23"/>
  <c r="E56" i="23"/>
  <c r="E57" i="23"/>
  <c r="E58" i="23"/>
  <c r="E53" i="23"/>
  <c r="E54" i="23"/>
  <c r="E55" i="23"/>
  <c r="E50" i="23"/>
  <c r="E51" i="23"/>
  <c r="J50" i="52"/>
  <c r="L50" i="52" s="1"/>
  <c r="G50" i="52"/>
  <c r="K50" i="52" s="1"/>
  <c r="J53" i="37" l="1"/>
  <c r="A33" i="37"/>
  <c r="J91" i="37"/>
  <c r="J72" i="37"/>
  <c r="M51" i="36"/>
  <c r="L50" i="36"/>
  <c r="G66" i="37"/>
  <c r="G89" i="37"/>
  <c r="N51" i="36"/>
  <c r="P51" i="36"/>
  <c r="K48" i="36"/>
  <c r="B7" i="37" s="1"/>
  <c r="R34" i="36"/>
  <c r="R35" i="36"/>
  <c r="R36" i="36"/>
  <c r="R37" i="36"/>
  <c r="R38" i="36"/>
  <c r="R27" i="36"/>
  <c r="R28" i="36"/>
  <c r="R29" i="36"/>
  <c r="R30" i="36"/>
  <c r="R31" i="36"/>
  <c r="R32" i="36"/>
  <c r="R20" i="36"/>
  <c r="R21" i="36"/>
  <c r="R22" i="36"/>
  <c r="R23" i="36"/>
  <c r="R33" i="36"/>
  <c r="R26" i="36"/>
  <c r="R19" i="36"/>
  <c r="F31" i="27"/>
  <c r="C41" i="25"/>
  <c r="G85" i="37" l="1"/>
  <c r="G70" i="37"/>
  <c r="G86" i="37"/>
  <c r="G67" i="37"/>
  <c r="G72" i="37" s="1"/>
  <c r="L51" i="36"/>
  <c r="P50" i="36"/>
  <c r="N50" i="36"/>
  <c r="M50" i="36"/>
  <c r="G91" i="37" l="1"/>
  <c r="J93" i="37" s="1"/>
  <c r="J74" i="37"/>
  <c r="AF67" i="29"/>
  <c r="M72" i="23"/>
  <c r="R25" i="36"/>
  <c r="R24" i="36"/>
  <c r="H79" i="23" l="1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40" i="23"/>
  <c r="H4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E60" i="23"/>
  <c r="E61" i="23"/>
  <c r="E62" i="23"/>
  <c r="E63" i="23"/>
  <c r="E64" i="23"/>
  <c r="E65" i="23"/>
  <c r="E66" i="23"/>
  <c r="E67" i="23"/>
  <c r="E68" i="23"/>
  <c r="E69" i="23"/>
  <c r="E40" i="23"/>
  <c r="E70" i="23"/>
  <c r="E71" i="23"/>
  <c r="E72" i="23"/>
  <c r="E73" i="23"/>
  <c r="E74" i="23"/>
  <c r="E75" i="23"/>
  <c r="E76" i="23"/>
  <c r="E77" i="23"/>
  <c r="E78" i="23"/>
  <c r="E79" i="23"/>
  <c r="E80" i="23"/>
  <c r="Q16" i="36" l="1"/>
  <c r="Q10" i="36"/>
  <c r="Q9" i="36"/>
  <c r="Q8" i="36"/>
  <c r="Q7" i="36"/>
  <c r="H52" i="29"/>
  <c r="H51" i="29"/>
  <c r="H50" i="29"/>
  <c r="H49" i="29"/>
  <c r="H48" i="29"/>
  <c r="H47" i="29"/>
  <c r="H46" i="29"/>
  <c r="Q38" i="36"/>
  <c r="Q37" i="36"/>
  <c r="Q36" i="36"/>
  <c r="Q35" i="36"/>
  <c r="Q34" i="36"/>
  <c r="Q33" i="36"/>
  <c r="Q32" i="36"/>
  <c r="Q31" i="36"/>
  <c r="Q30" i="36"/>
  <c r="Q29" i="36"/>
  <c r="Q28" i="36"/>
  <c r="Q27" i="36"/>
  <c r="Q26" i="36"/>
  <c r="Q25" i="36"/>
  <c r="Q24" i="36"/>
  <c r="Q23" i="36"/>
  <c r="Q22" i="36"/>
  <c r="Q21" i="36"/>
  <c r="Q20" i="36"/>
  <c r="Q19" i="36"/>
  <c r="Q18" i="36"/>
  <c r="Q17" i="36"/>
  <c r="Q15" i="36"/>
  <c r="Q14" i="36"/>
  <c r="Q13" i="36"/>
  <c r="Q12" i="36"/>
  <c r="Q5" i="36"/>
  <c r="Q11" i="36"/>
  <c r="Q6" i="36"/>
  <c r="I12" i="23" l="1"/>
  <c r="H12" i="23"/>
  <c r="E12" i="23"/>
  <c r="R17" i="36"/>
  <c r="R16" i="36"/>
  <c r="R15" i="36"/>
  <c r="R14" i="36"/>
  <c r="R13" i="36"/>
  <c r="R12" i="36"/>
  <c r="F85" i="22"/>
  <c r="R18" i="36" l="1"/>
  <c r="I49" i="23" l="1"/>
  <c r="I41" i="23"/>
  <c r="I45" i="23"/>
  <c r="I46" i="23"/>
  <c r="I44" i="23"/>
  <c r="I48" i="23"/>
  <c r="I52" i="23"/>
  <c r="H49" i="23"/>
  <c r="H41" i="23"/>
  <c r="H45" i="23"/>
  <c r="H46" i="23"/>
  <c r="H44" i="23"/>
  <c r="H48" i="23"/>
  <c r="H52" i="23"/>
  <c r="E49" i="23"/>
  <c r="E41" i="23"/>
  <c r="E45" i="23"/>
  <c r="E46" i="23"/>
  <c r="E44" i="23"/>
  <c r="E48" i="23"/>
  <c r="E52" i="23"/>
  <c r="U63" i="29" l="1"/>
  <c r="R11" i="36" l="1"/>
  <c r="R7" i="36"/>
  <c r="R5" i="36"/>
  <c r="R8" i="36" l="1"/>
  <c r="R10" i="36"/>
  <c r="R9" i="36"/>
  <c r="R6" i="36"/>
  <c r="I14" i="50" l="1"/>
  <c r="S52" i="29" l="1"/>
  <c r="K52" i="29"/>
  <c r="G52" i="29"/>
  <c r="S51" i="29"/>
  <c r="K51" i="29"/>
  <c r="U51" i="29" s="1"/>
  <c r="W51" i="29" s="1"/>
  <c r="G51" i="29"/>
  <c r="S50" i="29"/>
  <c r="K50" i="29"/>
  <c r="U50" i="29"/>
  <c r="W50" i="29" s="1"/>
  <c r="G50" i="29"/>
  <c r="S49" i="29"/>
  <c r="K49" i="29"/>
  <c r="G49" i="29"/>
  <c r="S48" i="29"/>
  <c r="K48" i="29"/>
  <c r="G48" i="29"/>
  <c r="S47" i="29"/>
  <c r="K47" i="29"/>
  <c r="U47" i="29"/>
  <c r="W47" i="29" s="1"/>
  <c r="G47" i="29"/>
  <c r="S46" i="29"/>
  <c r="U46" i="29" s="1"/>
  <c r="W46" i="29" s="1"/>
  <c r="K46" i="29"/>
  <c r="G46" i="29"/>
  <c r="U52" i="29" l="1"/>
  <c r="W52" i="29" s="1"/>
  <c r="U48" i="29"/>
  <c r="W48" i="29" s="1"/>
  <c r="U49" i="29"/>
  <c r="W49" i="29" s="1"/>
  <c r="F32" i="27" l="1"/>
  <c r="F33" i="27"/>
  <c r="F29" i="27"/>
  <c r="F30" i="27"/>
  <c r="F28" i="27"/>
  <c r="B42" i="25"/>
  <c r="C42" i="25"/>
  <c r="D42" i="25"/>
  <c r="E42" i="25"/>
  <c r="F42" i="25"/>
  <c r="J42" i="25"/>
  <c r="K42" i="25" s="1"/>
  <c r="B43" i="25"/>
  <c r="C43" i="25"/>
  <c r="D43" i="25"/>
  <c r="E43" i="25"/>
  <c r="F43" i="25"/>
  <c r="J43" i="25"/>
  <c r="K43" i="25" s="1"/>
  <c r="B44" i="25"/>
  <c r="C44" i="25"/>
  <c r="D44" i="25"/>
  <c r="E44" i="25"/>
  <c r="F44" i="25"/>
  <c r="J44" i="25"/>
  <c r="K44" i="25" s="1"/>
  <c r="L43" i="25" l="1"/>
  <c r="M43" i="25"/>
  <c r="L42" i="25"/>
  <c r="L44" i="25"/>
  <c r="M44" i="25"/>
  <c r="M42" i="25"/>
  <c r="L53" i="74" l="1"/>
  <c r="G21" i="29"/>
  <c r="H13" i="29"/>
  <c r="C13" i="29"/>
  <c r="D13" i="29"/>
  <c r="E13" i="29"/>
  <c r="F13" i="29"/>
  <c r="I13" i="29"/>
  <c r="J13" i="29"/>
  <c r="K13" i="29"/>
  <c r="L13" i="29"/>
  <c r="M13" i="29"/>
  <c r="N13" i="29"/>
  <c r="O13" i="29"/>
  <c r="P13" i="29"/>
  <c r="Q13" i="29"/>
  <c r="R13" i="29"/>
  <c r="T13" i="29"/>
  <c r="V13" i="29"/>
  <c r="X13" i="29"/>
  <c r="C21" i="29"/>
  <c r="D21" i="29"/>
  <c r="E21" i="29"/>
  <c r="F21" i="29"/>
  <c r="H21" i="29"/>
  <c r="I21" i="29"/>
  <c r="J21" i="29"/>
  <c r="K21" i="29"/>
  <c r="L21" i="29"/>
  <c r="M21" i="29"/>
  <c r="N21" i="29"/>
  <c r="O21" i="29"/>
  <c r="P21" i="29"/>
  <c r="Q21" i="29"/>
  <c r="R21" i="29"/>
  <c r="T21" i="29"/>
  <c r="V21" i="29"/>
  <c r="G29" i="29"/>
  <c r="K29" i="29"/>
  <c r="M29" i="29"/>
  <c r="C29" i="29"/>
  <c r="D29" i="29"/>
  <c r="E29" i="29"/>
  <c r="F29" i="29"/>
  <c r="I29" i="29"/>
  <c r="J29" i="29"/>
  <c r="L29" i="29"/>
  <c r="N29" i="29"/>
  <c r="O29" i="29"/>
  <c r="P29" i="29"/>
  <c r="Q29" i="29"/>
  <c r="R29" i="29"/>
  <c r="T29" i="29"/>
  <c r="V29" i="29"/>
  <c r="S13" i="29" l="1"/>
  <c r="W13" i="29"/>
  <c r="G13" i="29"/>
  <c r="S29" i="29"/>
  <c r="H29" i="29"/>
  <c r="S21" i="29"/>
  <c r="X21" i="29"/>
  <c r="W29" i="29"/>
  <c r="U29" i="29"/>
  <c r="U13" i="29" l="1"/>
  <c r="U21" i="29"/>
  <c r="W21" i="29"/>
  <c r="K32" i="74"/>
  <c r="G36" i="74"/>
  <c r="G35" i="74"/>
  <c r="G34" i="74"/>
  <c r="G33" i="74"/>
  <c r="G32" i="74"/>
  <c r="G31" i="74"/>
  <c r="G30" i="74"/>
  <c r="G28" i="74"/>
  <c r="G27" i="74"/>
  <c r="G26" i="74"/>
  <c r="G25" i="74"/>
  <c r="G24" i="74"/>
  <c r="G23" i="74"/>
  <c r="G22" i="74"/>
  <c r="G20" i="74"/>
  <c r="G19" i="74"/>
  <c r="G18" i="74"/>
  <c r="G17" i="74"/>
  <c r="G16" i="74"/>
  <c r="G15" i="74"/>
  <c r="G14" i="74"/>
  <c r="G12" i="74"/>
  <c r="G11" i="74"/>
  <c r="G10" i="74"/>
  <c r="G9" i="74"/>
  <c r="G8" i="74"/>
  <c r="G7" i="74"/>
  <c r="G6" i="74"/>
  <c r="I25" i="23" l="1"/>
  <c r="H25" i="23"/>
  <c r="E25" i="23"/>
  <c r="B11" i="26" l="1"/>
  <c r="B12" i="26"/>
  <c r="B13" i="26"/>
  <c r="J54" i="52" l="1"/>
  <c r="L54" i="52" s="1"/>
  <c r="G54" i="52"/>
  <c r="K54" i="52" s="1"/>
  <c r="K33" i="74" l="1"/>
  <c r="C11" i="75" l="1"/>
  <c r="B68" i="25" l="1"/>
  <c r="B29" i="26" s="1"/>
  <c r="C68" i="25"/>
  <c r="D68" i="25"/>
  <c r="E68" i="25"/>
  <c r="F68" i="25"/>
  <c r="J68" i="25"/>
  <c r="L68" i="25" s="1"/>
  <c r="M68" i="25" l="1"/>
  <c r="N68" i="25"/>
  <c r="K52" i="74" l="1"/>
  <c r="G52" i="74"/>
  <c r="K51" i="74"/>
  <c r="G51" i="74"/>
  <c r="K50" i="74"/>
  <c r="G50" i="74"/>
  <c r="K49" i="74"/>
  <c r="G49" i="74"/>
  <c r="K48" i="74"/>
  <c r="G48" i="74"/>
  <c r="K47" i="74"/>
  <c r="G47" i="74"/>
  <c r="K46" i="74"/>
  <c r="G46" i="74"/>
  <c r="K44" i="74"/>
  <c r="G44" i="74"/>
  <c r="K43" i="74"/>
  <c r="G43" i="74"/>
  <c r="K42" i="74"/>
  <c r="G42" i="74"/>
  <c r="K41" i="74"/>
  <c r="G41" i="74"/>
  <c r="K40" i="74"/>
  <c r="G40" i="74"/>
  <c r="K39" i="74"/>
  <c r="G39" i="74"/>
  <c r="K38" i="74"/>
  <c r="K45" i="74" s="1"/>
  <c r="G38" i="74"/>
  <c r="G45" i="74"/>
  <c r="K36" i="74"/>
  <c r="K35" i="74"/>
  <c r="K34" i="74"/>
  <c r="K31" i="74"/>
  <c r="K30" i="74"/>
  <c r="K28" i="74"/>
  <c r="K27" i="74"/>
  <c r="K26" i="74"/>
  <c r="K25" i="74"/>
  <c r="K24" i="74"/>
  <c r="K23" i="74"/>
  <c r="K22" i="74"/>
  <c r="K20" i="74"/>
  <c r="K19" i="74"/>
  <c r="K18" i="74"/>
  <c r="K17" i="74"/>
  <c r="K16" i="74"/>
  <c r="K15" i="74"/>
  <c r="K14" i="74"/>
  <c r="D21" i="75" l="1"/>
  <c r="D18" i="75"/>
  <c r="D15" i="75"/>
  <c r="AA44" i="29" l="1"/>
  <c r="AA43" i="29"/>
  <c r="AA41" i="29"/>
  <c r="AA40" i="29"/>
  <c r="AA39" i="29"/>
  <c r="AA38" i="29"/>
  <c r="AA36" i="29"/>
  <c r="AA35" i="29"/>
  <c r="AA34" i="29"/>
  <c r="AA33" i="29"/>
  <c r="AA32" i="29"/>
  <c r="AA31" i="29"/>
  <c r="AA30" i="29"/>
  <c r="AA28" i="29"/>
  <c r="AA27" i="29"/>
  <c r="AA26" i="29"/>
  <c r="AA25" i="29"/>
  <c r="AA24" i="29"/>
  <c r="AA23" i="29"/>
  <c r="AA22" i="29"/>
  <c r="AA20" i="29"/>
  <c r="AA19" i="29"/>
  <c r="AA18" i="29"/>
  <c r="AA17" i="29"/>
  <c r="AA16" i="29"/>
  <c r="AA15" i="29"/>
  <c r="AA14" i="29"/>
  <c r="AA12" i="29"/>
  <c r="AA11" i="29"/>
  <c r="G86" i="22" l="1"/>
  <c r="J36" i="52"/>
  <c r="J35" i="52"/>
  <c r="J34" i="52"/>
  <c r="J33" i="52"/>
  <c r="L33" i="52" s="1"/>
  <c r="J32" i="52"/>
  <c r="L32" i="52" s="1"/>
  <c r="J31" i="52"/>
  <c r="L31" i="52" s="1"/>
  <c r="J30" i="52"/>
  <c r="L30" i="52" s="1"/>
  <c r="J29" i="52"/>
  <c r="L29" i="52" s="1"/>
  <c r="J28" i="52"/>
  <c r="L28" i="52" s="1"/>
  <c r="J27" i="52"/>
  <c r="L27" i="52" s="1"/>
  <c r="G28" i="52"/>
  <c r="G29" i="52"/>
  <c r="K29" i="52" s="1"/>
  <c r="G30" i="52"/>
  <c r="G31" i="52"/>
  <c r="K31" i="52" s="1"/>
  <c r="G32" i="52"/>
  <c r="G33" i="52"/>
  <c r="K33" i="52" s="1"/>
  <c r="G34" i="52"/>
  <c r="G35" i="52"/>
  <c r="K35" i="52" s="1"/>
  <c r="G36" i="52"/>
  <c r="G27" i="52"/>
  <c r="K27" i="52" s="1"/>
  <c r="L34" i="52"/>
  <c r="L35" i="52"/>
  <c r="L36" i="52"/>
  <c r="K28" i="52"/>
  <c r="K30" i="52"/>
  <c r="K32" i="52"/>
  <c r="K34" i="52"/>
  <c r="K36" i="52"/>
  <c r="K37" i="52" l="1"/>
  <c r="L37" i="52"/>
  <c r="M37" i="52" l="1"/>
  <c r="H47" i="23"/>
  <c r="I47" i="23"/>
  <c r="E47" i="23"/>
  <c r="E42" i="23"/>
  <c r="H42" i="23"/>
  <c r="I42" i="23"/>
  <c r="E43" i="23"/>
  <c r="H43" i="23"/>
  <c r="I43" i="23"/>
  <c r="J58" i="25"/>
  <c r="N58" i="25" s="1"/>
  <c r="F58" i="25"/>
  <c r="E58" i="25"/>
  <c r="D58" i="25"/>
  <c r="C58" i="25"/>
  <c r="B58" i="25"/>
  <c r="B19" i="26" s="1"/>
  <c r="J57" i="25"/>
  <c r="N57" i="25" s="1"/>
  <c r="E57" i="25"/>
  <c r="D57" i="25"/>
  <c r="C57" i="25"/>
  <c r="B57" i="25"/>
  <c r="B18" i="26" s="1"/>
  <c r="M57" i="25" l="1"/>
  <c r="M58" i="25"/>
  <c r="L58" i="25"/>
  <c r="L57" i="25"/>
  <c r="G51" i="37" l="1"/>
  <c r="N54" i="25"/>
  <c r="M54" i="25"/>
  <c r="K54" i="25"/>
  <c r="F54" i="25"/>
  <c r="E54" i="25"/>
  <c r="D54" i="25"/>
  <c r="C54" i="25"/>
  <c r="B54" i="25"/>
  <c r="E17" i="75" l="1"/>
  <c r="F17" i="75"/>
  <c r="G17" i="75"/>
  <c r="H17" i="75"/>
  <c r="E20" i="75"/>
  <c r="F20" i="75"/>
  <c r="G20" i="75"/>
  <c r="H20" i="75"/>
  <c r="D20" i="75"/>
  <c r="D17" i="75"/>
  <c r="D14" i="75"/>
  <c r="E14" i="75"/>
  <c r="F14" i="75"/>
  <c r="G14" i="75"/>
  <c r="H14" i="75"/>
  <c r="D6" i="75"/>
  <c r="E6" i="75" s="1"/>
  <c r="F6" i="75" s="1"/>
  <c r="G6" i="75" s="1"/>
  <c r="H6" i="75" s="1"/>
  <c r="G48" i="37" l="1"/>
  <c r="I38" i="23"/>
  <c r="H38" i="23"/>
  <c r="I80" i="23"/>
  <c r="H80" i="23"/>
  <c r="I28" i="23"/>
  <c r="H28" i="23"/>
  <c r="I23" i="23"/>
  <c r="H23" i="23"/>
  <c r="I35" i="23"/>
  <c r="H35" i="23"/>
  <c r="E38" i="23"/>
  <c r="E28" i="23"/>
  <c r="E23" i="23"/>
  <c r="E35" i="23"/>
  <c r="J53" i="74"/>
  <c r="I53" i="74"/>
  <c r="H53" i="74"/>
  <c r="I54" i="74"/>
  <c r="K53" i="74"/>
  <c r="K7" i="74"/>
  <c r="K8" i="74"/>
  <c r="K9" i="74"/>
  <c r="K10" i="74"/>
  <c r="K11" i="74"/>
  <c r="K12" i="74"/>
  <c r="K6" i="74"/>
  <c r="X53" i="29"/>
  <c r="F53" i="74"/>
  <c r="E53" i="74"/>
  <c r="D53" i="74"/>
  <c r="C53" i="74"/>
  <c r="B52" i="74"/>
  <c r="B51" i="74"/>
  <c r="B50" i="74"/>
  <c r="B49" i="74"/>
  <c r="B48" i="74"/>
  <c r="B47" i="74"/>
  <c r="B46" i="74"/>
  <c r="B44" i="74"/>
  <c r="B43" i="74"/>
  <c r="B42" i="74"/>
  <c r="B41" i="74"/>
  <c r="B40" i="74"/>
  <c r="B39" i="74"/>
  <c r="B38" i="74"/>
  <c r="B36" i="74"/>
  <c r="B35" i="74"/>
  <c r="B34" i="74"/>
  <c r="B33" i="74"/>
  <c r="B32" i="74"/>
  <c r="B31" i="74"/>
  <c r="B30" i="74"/>
  <c r="B28" i="74"/>
  <c r="B27" i="74"/>
  <c r="B26" i="74"/>
  <c r="B25" i="74"/>
  <c r="B24" i="74"/>
  <c r="B23" i="74"/>
  <c r="B22" i="74"/>
  <c r="B20" i="74"/>
  <c r="B19" i="74"/>
  <c r="B18" i="74"/>
  <c r="B17" i="74"/>
  <c r="B16" i="74"/>
  <c r="B15" i="74"/>
  <c r="B14" i="74"/>
  <c r="B12" i="74"/>
  <c r="B11" i="74"/>
  <c r="B10" i="74"/>
  <c r="B9" i="74"/>
  <c r="B8" i="74"/>
  <c r="B7" i="74"/>
  <c r="B6" i="74"/>
  <c r="G47" i="37" l="1"/>
  <c r="H54" i="74"/>
  <c r="J54" i="74"/>
  <c r="D54" i="74"/>
  <c r="F54" i="74"/>
  <c r="E54" i="74"/>
  <c r="C54" i="74"/>
  <c r="G53" i="74"/>
  <c r="G13" i="74"/>
  <c r="K37" i="74"/>
  <c r="K13" i="74"/>
  <c r="K29" i="74"/>
  <c r="AA21" i="29"/>
  <c r="AA13" i="29"/>
  <c r="G53" i="37" l="1"/>
  <c r="J55" i="37" s="1"/>
  <c r="AB54" i="29"/>
  <c r="G29" i="74"/>
  <c r="G21" i="74"/>
  <c r="G37" i="74"/>
  <c r="K21" i="74"/>
  <c r="K54" i="74" s="1"/>
  <c r="G54" i="74" l="1"/>
  <c r="AC21" i="29"/>
  <c r="AC13" i="29"/>
  <c r="AA48" i="29"/>
  <c r="AA49" i="29"/>
  <c r="AA50" i="29"/>
  <c r="AA51" i="29"/>
  <c r="AA52" i="29"/>
  <c r="F57" i="25" l="1"/>
  <c r="AA45" i="29" l="1"/>
  <c r="AC45" i="29" s="1"/>
  <c r="AA29" i="29"/>
  <c r="AC29" i="29" s="1"/>
  <c r="AA37" i="29" l="1"/>
  <c r="M48" i="67"/>
  <c r="M21" i="67"/>
  <c r="M22" i="67"/>
  <c r="M23" i="67"/>
  <c r="M25" i="67"/>
  <c r="M27" i="67"/>
  <c r="M29" i="67"/>
  <c r="M34" i="67"/>
  <c r="M44" i="67"/>
  <c r="M46" i="67"/>
  <c r="M47" i="67" l="1"/>
  <c r="M45" i="67"/>
  <c r="M43" i="67"/>
  <c r="M42" i="67"/>
  <c r="M41" i="67"/>
  <c r="M40" i="67"/>
  <c r="M39" i="67"/>
  <c r="M38" i="67"/>
  <c r="M37" i="67"/>
  <c r="M36" i="67"/>
  <c r="M35" i="67"/>
  <c r="M33" i="67"/>
  <c r="M32" i="67"/>
  <c r="M31" i="67"/>
  <c r="M30" i="67"/>
  <c r="M28" i="67"/>
  <c r="M26" i="67"/>
  <c r="M24" i="67"/>
  <c r="B1" i="23"/>
  <c r="F19" i="27" l="1"/>
  <c r="J52" i="52" l="1"/>
  <c r="F38" i="65" s="1"/>
  <c r="J53" i="52"/>
  <c r="F39" i="65" s="1"/>
  <c r="J51" i="52"/>
  <c r="F37" i="65" s="1"/>
  <c r="J49" i="52"/>
  <c r="F36" i="65" s="1"/>
  <c r="J39" i="52"/>
  <c r="F26" i="65" s="1"/>
  <c r="J40" i="52"/>
  <c r="F27" i="65" s="1"/>
  <c r="J41" i="52"/>
  <c r="F28" i="65" s="1"/>
  <c r="J42" i="52"/>
  <c r="F29" i="65" s="1"/>
  <c r="J43" i="52"/>
  <c r="F30" i="65" s="1"/>
  <c r="J44" i="52"/>
  <c r="F31" i="65" s="1"/>
  <c r="J45" i="52"/>
  <c r="F32" i="65" s="1"/>
  <c r="J46" i="52"/>
  <c r="F33" i="65" s="1"/>
  <c r="J47" i="52"/>
  <c r="F34" i="65" s="1"/>
  <c r="J38" i="52"/>
  <c r="F25" i="65" s="1"/>
  <c r="J8" i="52"/>
  <c r="F7" i="65" s="1"/>
  <c r="J9" i="52"/>
  <c r="F8" i="65" s="1"/>
  <c r="J10" i="52"/>
  <c r="F9" i="65" s="1"/>
  <c r="J11" i="52"/>
  <c r="F10" i="65" s="1"/>
  <c r="J12" i="52"/>
  <c r="F11" i="65" s="1"/>
  <c r="J13" i="52"/>
  <c r="F12" i="65" s="1"/>
  <c r="J14" i="52"/>
  <c r="F13" i="65" s="1"/>
  <c r="J15" i="52"/>
  <c r="F14" i="65" s="1"/>
  <c r="J16" i="52"/>
  <c r="F15" i="65" s="1"/>
  <c r="J17" i="52"/>
  <c r="F16" i="65" s="1"/>
  <c r="J18" i="52"/>
  <c r="F17" i="65" s="1"/>
  <c r="J19" i="52"/>
  <c r="F18" i="65" s="1"/>
  <c r="J20" i="52"/>
  <c r="F19" i="65" s="1"/>
  <c r="J21" i="52"/>
  <c r="F20" i="65" s="1"/>
  <c r="J22" i="52"/>
  <c r="F21" i="65" s="1"/>
  <c r="J23" i="52"/>
  <c r="F22" i="65" s="1"/>
  <c r="J24" i="52"/>
  <c r="F23" i="65" s="1"/>
  <c r="J7" i="52"/>
  <c r="K51" i="36"/>
  <c r="Q51" i="36" s="1"/>
  <c r="L7" i="52" l="1"/>
  <c r="F6" i="65"/>
  <c r="K50" i="36"/>
  <c r="D4" i="59" l="1"/>
  <c r="D5" i="59"/>
  <c r="D6" i="59"/>
  <c r="D7" i="59"/>
  <c r="D8" i="59"/>
  <c r="D9" i="59"/>
  <c r="D10" i="59"/>
  <c r="D13" i="59"/>
  <c r="D14" i="59"/>
  <c r="D15" i="59"/>
  <c r="D16" i="59"/>
  <c r="D17" i="59"/>
  <c r="D19" i="59"/>
  <c r="D20" i="59"/>
  <c r="D21" i="59"/>
  <c r="D22" i="59"/>
  <c r="D23" i="59"/>
  <c r="D24" i="59"/>
  <c r="D26" i="59"/>
  <c r="G27" i="59"/>
  <c r="F26" i="59"/>
  <c r="G26" i="59" s="1"/>
  <c r="E26" i="59"/>
  <c r="K26" i="59" s="1"/>
  <c r="C25" i="59"/>
  <c r="D25" i="59" s="1"/>
  <c r="F24" i="59"/>
  <c r="G24" i="59" s="1"/>
  <c r="E24" i="59"/>
  <c r="F23" i="59"/>
  <c r="G23" i="59" s="1"/>
  <c r="E23" i="59"/>
  <c r="G22" i="59"/>
  <c r="E22" i="59"/>
  <c r="G21" i="59"/>
  <c r="K21" i="59" s="1"/>
  <c r="G20" i="59"/>
  <c r="G19" i="59"/>
  <c r="K19" i="59" s="1"/>
  <c r="F18" i="59"/>
  <c r="G18" i="59" s="1"/>
  <c r="E18" i="59"/>
  <c r="F17" i="59"/>
  <c r="G17" i="59" s="1"/>
  <c r="E17" i="59"/>
  <c r="F16" i="59"/>
  <c r="G16" i="59" s="1"/>
  <c r="E16" i="59"/>
  <c r="F15" i="59"/>
  <c r="E15" i="59"/>
  <c r="K14" i="59"/>
  <c r="C12" i="59"/>
  <c r="D12" i="59" s="1"/>
  <c r="C11" i="59"/>
  <c r="D11" i="59" s="1"/>
  <c r="F10" i="59"/>
  <c r="G10" i="59" s="1"/>
  <c r="E10" i="59"/>
  <c r="F9" i="59"/>
  <c r="G9" i="59" s="1"/>
  <c r="E9" i="59"/>
  <c r="F8" i="59"/>
  <c r="G8" i="59" s="1"/>
  <c r="E8" i="59"/>
  <c r="F7" i="59"/>
  <c r="G7" i="59" s="1"/>
  <c r="E7" i="59"/>
  <c r="F6" i="59"/>
  <c r="G6" i="59" s="1"/>
  <c r="E6" i="59"/>
  <c r="G5" i="59"/>
  <c r="F4" i="59"/>
  <c r="G4" i="59" s="1"/>
  <c r="E4" i="59"/>
  <c r="K4" i="59" s="1"/>
  <c r="C29" i="57"/>
  <c r="C30" i="57"/>
  <c r="C31" i="57"/>
  <c r="C32" i="57"/>
  <c r="C33" i="57"/>
  <c r="C34" i="57"/>
  <c r="C35" i="57"/>
  <c r="C36" i="57"/>
  <c r="C37" i="57"/>
  <c r="C38" i="57"/>
  <c r="C39" i="57"/>
  <c r="C40" i="57"/>
  <c r="C41" i="57"/>
  <c r="C42" i="57"/>
  <c r="C43" i="57"/>
  <c r="C44" i="57"/>
  <c r="C45" i="57"/>
  <c r="C46" i="57"/>
  <c r="C47" i="57"/>
  <c r="C48" i="57"/>
  <c r="C22" i="57"/>
  <c r="C23" i="57"/>
  <c r="C24" i="57"/>
  <c r="C25" i="57"/>
  <c r="C26" i="57"/>
  <c r="C27" i="57"/>
  <c r="C15" i="57"/>
  <c r="C16" i="57"/>
  <c r="C17" i="57"/>
  <c r="C18" i="57"/>
  <c r="C19" i="57"/>
  <c r="C20" i="57"/>
  <c r="C8" i="57"/>
  <c r="C9" i="57"/>
  <c r="C10" i="57"/>
  <c r="C11" i="57"/>
  <c r="C12" i="57"/>
  <c r="C13" i="57"/>
  <c r="C28" i="57"/>
  <c r="C21" i="57"/>
  <c r="C14" i="57"/>
  <c r="C7" i="57"/>
  <c r="K20" i="59" l="1"/>
  <c r="K24" i="59"/>
  <c r="K9" i="59"/>
  <c r="K22" i="59"/>
  <c r="K7" i="59"/>
  <c r="K16" i="59"/>
  <c r="K18" i="59"/>
  <c r="K5" i="59"/>
  <c r="K6" i="59"/>
  <c r="K8" i="59"/>
  <c r="K10" i="59"/>
  <c r="K15" i="59"/>
  <c r="K17" i="59"/>
  <c r="K23" i="59"/>
  <c r="E11" i="59"/>
  <c r="F11" i="59"/>
  <c r="E25" i="59"/>
  <c r="F25" i="59"/>
  <c r="F12" i="59" l="1"/>
  <c r="G12" i="59" s="1"/>
  <c r="G25" i="59"/>
  <c r="G11" i="59"/>
  <c r="K25" i="59"/>
  <c r="F13" i="59" l="1"/>
  <c r="K11" i="59"/>
  <c r="K12" i="59" l="1"/>
  <c r="G13" i="59"/>
  <c r="K13" i="59" l="1"/>
  <c r="I37" i="23" l="1"/>
  <c r="I17" i="23"/>
  <c r="I29" i="23"/>
  <c r="I18" i="23"/>
  <c r="I27" i="23"/>
  <c r="I32" i="23"/>
  <c r="I10" i="23"/>
  <c r="I30" i="23"/>
  <c r="I31" i="23"/>
  <c r="I20" i="23"/>
  <c r="I15" i="23"/>
  <c r="I13" i="23"/>
  <c r="I16" i="23"/>
  <c r="I39" i="23"/>
  <c r="I21" i="23"/>
  <c r="I14" i="23"/>
  <c r="I26" i="23"/>
  <c r="I36" i="23"/>
  <c r="I19" i="23"/>
  <c r="I33" i="23"/>
  <c r="I24" i="23"/>
  <c r="I34" i="23"/>
  <c r="J44" i="54"/>
  <c r="J11" i="54"/>
  <c r="J12" i="54"/>
  <c r="J13" i="54"/>
  <c r="J14" i="54"/>
  <c r="J15" i="54"/>
  <c r="J16" i="54"/>
  <c r="J17" i="54"/>
  <c r="J18" i="54"/>
  <c r="J19" i="54"/>
  <c r="J20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10" i="54"/>
  <c r="D10" i="54" l="1"/>
  <c r="H6" i="54"/>
  <c r="I11" i="54"/>
  <c r="I12" i="54"/>
  <c r="I13" i="54"/>
  <c r="I14" i="54"/>
  <c r="I15" i="54"/>
  <c r="I16" i="54"/>
  <c r="I17" i="54"/>
  <c r="I18" i="54"/>
  <c r="I19" i="54"/>
  <c r="I20" i="54"/>
  <c r="I21" i="54"/>
  <c r="I2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I39" i="54"/>
  <c r="I40" i="54"/>
  <c r="I41" i="54"/>
  <c r="I42" i="54"/>
  <c r="I43" i="54"/>
  <c r="I44" i="54"/>
  <c r="I10" i="54"/>
  <c r="D11" i="54"/>
  <c r="D12" i="54"/>
  <c r="D13" i="54"/>
  <c r="D14" i="54"/>
  <c r="D15" i="54"/>
  <c r="D16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D31" i="54"/>
  <c r="D32" i="54"/>
  <c r="D33" i="54"/>
  <c r="D34" i="54"/>
  <c r="D35" i="54"/>
  <c r="D36" i="54"/>
  <c r="D37" i="54"/>
  <c r="D38" i="54"/>
  <c r="D39" i="54"/>
  <c r="D40" i="54"/>
  <c r="D41" i="54"/>
  <c r="D42" i="54"/>
  <c r="D43" i="54"/>
  <c r="D44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L14" i="27" l="1"/>
  <c r="B1" i="54"/>
  <c r="L51" i="52" l="1"/>
  <c r="L52" i="52"/>
  <c r="L53" i="52"/>
  <c r="L49" i="52"/>
  <c r="L39" i="52"/>
  <c r="L40" i="52"/>
  <c r="L41" i="52"/>
  <c r="L42" i="52"/>
  <c r="L43" i="52"/>
  <c r="L44" i="52"/>
  <c r="L45" i="52"/>
  <c r="L46" i="52"/>
  <c r="L47" i="52"/>
  <c r="L38" i="52"/>
  <c r="L24" i="52"/>
  <c r="L56" i="52" l="1"/>
  <c r="L8" i="52"/>
  <c r="L9" i="52"/>
  <c r="L10" i="52"/>
  <c r="L11" i="52"/>
  <c r="L12" i="52"/>
  <c r="L13" i="52"/>
  <c r="L14" i="52"/>
  <c r="L15" i="52"/>
  <c r="L16" i="52"/>
  <c r="L17" i="52"/>
  <c r="L18" i="52"/>
  <c r="L19" i="52"/>
  <c r="L20" i="52"/>
  <c r="L21" i="52"/>
  <c r="L22" i="52"/>
  <c r="L23" i="52"/>
  <c r="J20" i="25"/>
  <c r="F20" i="25"/>
  <c r="E20" i="25"/>
  <c r="D20" i="25"/>
  <c r="C20" i="25"/>
  <c r="B20" i="25"/>
  <c r="G53" i="52"/>
  <c r="G52" i="52"/>
  <c r="G51" i="52"/>
  <c r="G49" i="52"/>
  <c r="G47" i="52"/>
  <c r="G46" i="52"/>
  <c r="G45" i="52"/>
  <c r="G44" i="52"/>
  <c r="G43" i="52"/>
  <c r="G42" i="52"/>
  <c r="G41" i="52"/>
  <c r="G40" i="52"/>
  <c r="G39" i="52"/>
  <c r="G38" i="52"/>
  <c r="G24" i="52"/>
  <c r="G23" i="52"/>
  <c r="G22" i="52"/>
  <c r="G21" i="52"/>
  <c r="G20" i="52"/>
  <c r="G19" i="52"/>
  <c r="G18" i="52"/>
  <c r="G17" i="52"/>
  <c r="G16" i="52"/>
  <c r="G15" i="52"/>
  <c r="G14" i="52"/>
  <c r="G13" i="52"/>
  <c r="G12" i="52"/>
  <c r="G11" i="52"/>
  <c r="G10" i="52"/>
  <c r="G9" i="52"/>
  <c r="G8" i="52"/>
  <c r="G7" i="52"/>
  <c r="B48" i="25"/>
  <c r="B49" i="25"/>
  <c r="B50" i="25"/>
  <c r="B51" i="25"/>
  <c r="B52" i="25"/>
  <c r="B53" i="25"/>
  <c r="L55" i="52" l="1"/>
  <c r="K7" i="52"/>
  <c r="E6" i="65"/>
  <c r="G6" i="65" s="1"/>
  <c r="H6" i="65" s="1"/>
  <c r="K9" i="52"/>
  <c r="E8" i="65"/>
  <c r="G8" i="65" s="1"/>
  <c r="H8" i="65" s="1"/>
  <c r="K11" i="52"/>
  <c r="E10" i="65"/>
  <c r="G10" i="65" s="1"/>
  <c r="H10" i="65" s="1"/>
  <c r="K13" i="52"/>
  <c r="E12" i="65"/>
  <c r="G12" i="65" s="1"/>
  <c r="H12" i="65" s="1"/>
  <c r="K15" i="52"/>
  <c r="E14" i="65"/>
  <c r="G14" i="65" s="1"/>
  <c r="H14" i="65" s="1"/>
  <c r="K17" i="52"/>
  <c r="E16" i="65"/>
  <c r="G16" i="65" s="1"/>
  <c r="H16" i="65" s="1"/>
  <c r="K19" i="52"/>
  <c r="E18" i="65"/>
  <c r="G18" i="65" s="1"/>
  <c r="H18" i="65" s="1"/>
  <c r="K21" i="52"/>
  <c r="E20" i="65"/>
  <c r="G20" i="65" s="1"/>
  <c r="H20" i="65" s="1"/>
  <c r="K23" i="52"/>
  <c r="E22" i="65"/>
  <c r="G22" i="65" s="1"/>
  <c r="H22" i="65" s="1"/>
  <c r="K38" i="52"/>
  <c r="E25" i="65"/>
  <c r="G25" i="65" s="1"/>
  <c r="H25" i="65" s="1"/>
  <c r="K40" i="52"/>
  <c r="E27" i="65"/>
  <c r="G27" i="65" s="1"/>
  <c r="H27" i="65" s="1"/>
  <c r="K42" i="52"/>
  <c r="E29" i="65"/>
  <c r="G29" i="65" s="1"/>
  <c r="H29" i="65" s="1"/>
  <c r="K44" i="52"/>
  <c r="E31" i="65"/>
  <c r="G31" i="65" s="1"/>
  <c r="H31" i="65" s="1"/>
  <c r="K46" i="52"/>
  <c r="E33" i="65"/>
  <c r="G33" i="65" s="1"/>
  <c r="H33" i="65" s="1"/>
  <c r="K49" i="52"/>
  <c r="E36" i="65"/>
  <c r="G36" i="65" s="1"/>
  <c r="H36" i="65" s="1"/>
  <c r="K52" i="52"/>
  <c r="E38" i="65"/>
  <c r="G38" i="65" s="1"/>
  <c r="H38" i="65" s="1"/>
  <c r="K8" i="52"/>
  <c r="E7" i="65"/>
  <c r="G7" i="65" s="1"/>
  <c r="H7" i="65" s="1"/>
  <c r="K10" i="52"/>
  <c r="E9" i="65"/>
  <c r="G9" i="65" s="1"/>
  <c r="H9" i="65" s="1"/>
  <c r="K12" i="52"/>
  <c r="E11" i="65"/>
  <c r="G11" i="65" s="1"/>
  <c r="H11" i="65" s="1"/>
  <c r="K14" i="52"/>
  <c r="E13" i="65"/>
  <c r="G13" i="65" s="1"/>
  <c r="H13" i="65" s="1"/>
  <c r="K16" i="52"/>
  <c r="E15" i="65"/>
  <c r="G15" i="65" s="1"/>
  <c r="H15" i="65" s="1"/>
  <c r="K18" i="52"/>
  <c r="E17" i="65"/>
  <c r="G17" i="65" s="1"/>
  <c r="H17" i="65" s="1"/>
  <c r="K20" i="52"/>
  <c r="E19" i="65"/>
  <c r="G19" i="65" s="1"/>
  <c r="H19" i="65" s="1"/>
  <c r="K22" i="52"/>
  <c r="E21" i="65"/>
  <c r="G21" i="65" s="1"/>
  <c r="H21" i="65" s="1"/>
  <c r="K24" i="52"/>
  <c r="E23" i="65"/>
  <c r="G23" i="65" s="1"/>
  <c r="H23" i="65" s="1"/>
  <c r="K39" i="52"/>
  <c r="E26" i="65"/>
  <c r="G26" i="65" s="1"/>
  <c r="H26" i="65" s="1"/>
  <c r="K41" i="52"/>
  <c r="E28" i="65"/>
  <c r="G28" i="65" s="1"/>
  <c r="H28" i="65" s="1"/>
  <c r="K43" i="52"/>
  <c r="E30" i="65"/>
  <c r="G30" i="65" s="1"/>
  <c r="H30" i="65" s="1"/>
  <c r="K45" i="52"/>
  <c r="E32" i="65"/>
  <c r="G32" i="65" s="1"/>
  <c r="H32" i="65" s="1"/>
  <c r="K47" i="52"/>
  <c r="E34" i="65"/>
  <c r="G34" i="65" s="1"/>
  <c r="H34" i="65" s="1"/>
  <c r="K51" i="52"/>
  <c r="E37" i="65"/>
  <c r="G37" i="65" s="1"/>
  <c r="H37" i="65" s="1"/>
  <c r="K53" i="52"/>
  <c r="E39" i="65"/>
  <c r="G39" i="65" s="1"/>
  <c r="H39" i="65" s="1"/>
  <c r="L20" i="25"/>
  <c r="N20" i="25"/>
  <c r="K20" i="25"/>
  <c r="K55" i="52" l="1"/>
  <c r="M55" i="52" s="1"/>
  <c r="H42" i="65"/>
  <c r="H41" i="65"/>
  <c r="K56" i="52"/>
  <c r="M56" i="52" s="1"/>
  <c r="I22" i="23" l="1"/>
  <c r="M20" i="67" l="1"/>
  <c r="M18" i="67"/>
  <c r="M19" i="67"/>
  <c r="E9" i="50" l="1"/>
  <c r="AA47" i="29" l="1"/>
  <c r="AA46" i="29"/>
  <c r="M55" i="67" l="1"/>
  <c r="M54" i="67"/>
  <c r="A38" i="37"/>
  <c r="A57" i="37" s="1"/>
  <c r="A76" i="37" s="1"/>
  <c r="A95" i="37" s="1"/>
  <c r="A114" i="37" s="1"/>
  <c r="G1" i="37"/>
  <c r="G23" i="37" s="1"/>
  <c r="G42" i="37" s="1"/>
  <c r="G61" i="37" s="1"/>
  <c r="G80" i="37" s="1"/>
  <c r="G99" i="37" s="1"/>
  <c r="E36" i="23" l="1"/>
  <c r="E26" i="23"/>
  <c r="B87" i="25" l="1"/>
  <c r="C41" i="36" l="1"/>
  <c r="C42" i="36"/>
  <c r="C43" i="36"/>
  <c r="C44" i="36"/>
  <c r="C45" i="36"/>
  <c r="C46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6" i="36"/>
  <c r="C7" i="36"/>
  <c r="C8" i="36"/>
  <c r="C9" i="36"/>
  <c r="C10" i="36"/>
  <c r="C11" i="36"/>
  <c r="C12" i="36"/>
  <c r="C13" i="36"/>
  <c r="C14" i="36"/>
  <c r="C15" i="36"/>
  <c r="C5" i="36"/>
  <c r="B47" i="29" l="1"/>
  <c r="B48" i="29"/>
  <c r="B49" i="29"/>
  <c r="B50" i="29"/>
  <c r="B51" i="29"/>
  <c r="B52" i="29"/>
  <c r="B46" i="29"/>
  <c r="I15" i="50"/>
  <c r="B4" i="23" l="1"/>
  <c r="A5" i="56"/>
  <c r="B4" i="54"/>
  <c r="C4" i="37"/>
  <c r="C26" i="37" s="1"/>
  <c r="C45" i="37" s="1"/>
  <c r="C64" i="37" s="1"/>
  <c r="C83" i="37" s="1"/>
  <c r="C102" i="37" s="1"/>
  <c r="B3" i="54"/>
  <c r="A4" i="56"/>
  <c r="B3" i="23"/>
  <c r="E4" i="37"/>
  <c r="B44" i="29" l="1"/>
  <c r="L48" i="67" s="1"/>
  <c r="B43" i="29"/>
  <c r="L47" i="67" s="1"/>
  <c r="B39" i="29"/>
  <c r="L43" i="67" s="1"/>
  <c r="B40" i="29"/>
  <c r="L44" i="67" s="1"/>
  <c r="B41" i="29"/>
  <c r="L45" i="67" s="1"/>
  <c r="B42" i="29"/>
  <c r="L46" i="67" s="1"/>
  <c r="B38" i="29"/>
  <c r="L42" i="67" s="1"/>
  <c r="B31" i="29"/>
  <c r="L36" i="67" s="1"/>
  <c r="B32" i="29"/>
  <c r="L37" i="67" s="1"/>
  <c r="B33" i="29"/>
  <c r="L38" i="67" s="1"/>
  <c r="B34" i="29"/>
  <c r="L39" i="67" s="1"/>
  <c r="B35" i="29"/>
  <c r="L40" i="67" s="1"/>
  <c r="B36" i="29"/>
  <c r="L41" i="67" s="1"/>
  <c r="B30" i="29"/>
  <c r="L35" i="67" s="1"/>
  <c r="B23" i="29"/>
  <c r="L29" i="67" s="1"/>
  <c r="B24" i="29"/>
  <c r="L30" i="67" s="1"/>
  <c r="B25" i="29"/>
  <c r="L31" i="67" s="1"/>
  <c r="B26" i="29"/>
  <c r="L32" i="67" s="1"/>
  <c r="B27" i="29"/>
  <c r="L33" i="67" s="1"/>
  <c r="B28" i="29"/>
  <c r="L34" i="67" s="1"/>
  <c r="B22" i="29"/>
  <c r="L28" i="67" s="1"/>
  <c r="B20" i="29"/>
  <c r="L27" i="67" s="1"/>
  <c r="B15" i="29"/>
  <c r="L22" i="67" s="1"/>
  <c r="B16" i="29"/>
  <c r="L23" i="67" s="1"/>
  <c r="B17" i="29"/>
  <c r="L24" i="67" s="1"/>
  <c r="B18" i="29"/>
  <c r="L25" i="67" s="1"/>
  <c r="B19" i="29"/>
  <c r="L26" i="67" s="1"/>
  <c r="B14" i="29"/>
  <c r="L21" i="67" s="1"/>
  <c r="G7" i="26" l="1"/>
  <c r="B7" i="29" l="1"/>
  <c r="B8" i="29"/>
  <c r="B9" i="29"/>
  <c r="B10" i="29"/>
  <c r="L18" i="67" s="1"/>
  <c r="B11" i="29"/>
  <c r="L19" i="67" s="1"/>
  <c r="B12" i="29"/>
  <c r="L20" i="67" s="1"/>
  <c r="B6" i="29"/>
  <c r="J78" i="25" l="1"/>
  <c r="E47" i="25"/>
  <c r="M37" i="29" l="1"/>
  <c r="X37" i="29"/>
  <c r="V37" i="29"/>
  <c r="T37" i="29"/>
  <c r="R37" i="29"/>
  <c r="Q37" i="29"/>
  <c r="P37" i="29"/>
  <c r="O37" i="29"/>
  <c r="N37" i="29"/>
  <c r="L37" i="29"/>
  <c r="J37" i="29"/>
  <c r="I37" i="29"/>
  <c r="F37" i="29"/>
  <c r="E37" i="29"/>
  <c r="D37" i="29"/>
  <c r="C37" i="29"/>
  <c r="V53" i="29" l="1"/>
  <c r="T53" i="29"/>
  <c r="R53" i="29"/>
  <c r="Q53" i="29"/>
  <c r="P53" i="29"/>
  <c r="O53" i="29"/>
  <c r="N53" i="29"/>
  <c r="M53" i="29"/>
  <c r="L53" i="29"/>
  <c r="J53" i="29"/>
  <c r="I53" i="29"/>
  <c r="F53" i="29"/>
  <c r="E53" i="29"/>
  <c r="D53" i="29"/>
  <c r="C53" i="29"/>
  <c r="S53" i="29"/>
  <c r="G53" i="29"/>
  <c r="AA53" i="29" s="1"/>
  <c r="X45" i="29"/>
  <c r="V45" i="29"/>
  <c r="T45" i="29"/>
  <c r="R45" i="29"/>
  <c r="Q45" i="29"/>
  <c r="P45" i="29"/>
  <c r="O45" i="29"/>
  <c r="N45" i="29"/>
  <c r="M45" i="29"/>
  <c r="L45" i="29"/>
  <c r="J45" i="29"/>
  <c r="I45" i="29"/>
  <c r="F45" i="29"/>
  <c r="E45" i="29"/>
  <c r="D45" i="29"/>
  <c r="C45" i="29"/>
  <c r="S45" i="29"/>
  <c r="H45" i="29"/>
  <c r="K37" i="29"/>
  <c r="O56" i="29" l="1"/>
  <c r="AC53" i="29"/>
  <c r="AA54" i="29"/>
  <c r="K53" i="29"/>
  <c r="H37" i="29"/>
  <c r="G37" i="29"/>
  <c r="AC37" i="29" s="1"/>
  <c r="AC54" i="29" s="1"/>
  <c r="S37" i="29"/>
  <c r="H53" i="29"/>
  <c r="K45" i="29"/>
  <c r="G45" i="29"/>
  <c r="U53" i="29" l="1"/>
  <c r="U37" i="29"/>
  <c r="W53" i="29"/>
  <c r="H5" i="30" s="1"/>
  <c r="U45" i="29"/>
  <c r="W37" i="29"/>
  <c r="J80" i="25"/>
  <c r="N80" i="25" s="1"/>
  <c r="E80" i="25"/>
  <c r="D80" i="25"/>
  <c r="C80" i="25"/>
  <c r="D79" i="25"/>
  <c r="E79" i="25"/>
  <c r="B80" i="25"/>
  <c r="B47" i="26" s="1"/>
  <c r="U54" i="29" l="1"/>
  <c r="M80" i="25"/>
  <c r="L80" i="25"/>
  <c r="W45" i="29"/>
  <c r="G5" i="30" s="1"/>
  <c r="F45" i="27"/>
  <c r="F20" i="27"/>
  <c r="F46" i="27" s="1"/>
  <c r="J36" i="25"/>
  <c r="M36" i="25" s="1"/>
  <c r="J37" i="25"/>
  <c r="M37" i="25" s="1"/>
  <c r="E37" i="25"/>
  <c r="E36" i="25"/>
  <c r="D36" i="25"/>
  <c r="D37" i="25"/>
  <c r="C36" i="25"/>
  <c r="C37" i="25"/>
  <c r="B36" i="25"/>
  <c r="B37" i="25"/>
  <c r="K36" i="25" l="1"/>
  <c r="L36" i="25"/>
  <c r="K37" i="25"/>
  <c r="L37" i="25"/>
  <c r="B83" i="25" l="1"/>
  <c r="B84" i="25"/>
  <c r="B85" i="25"/>
  <c r="B86" i="25"/>
  <c r="J47" i="25"/>
  <c r="D47" i="25"/>
  <c r="C47" i="25"/>
  <c r="B47" i="25"/>
  <c r="K47" i="25" l="1"/>
  <c r="M47" i="25"/>
  <c r="A29" i="37" l="1"/>
  <c r="A48" i="37" s="1"/>
  <c r="A67" i="37" s="1"/>
  <c r="A86" i="37" s="1"/>
  <c r="A105" i="37" s="1"/>
  <c r="A30" i="37"/>
  <c r="A49" i="37" s="1"/>
  <c r="A68" i="37" s="1"/>
  <c r="A87" i="37" s="1"/>
  <c r="A106" i="37" s="1"/>
  <c r="A31" i="37"/>
  <c r="A50" i="37" s="1"/>
  <c r="A69" i="37" s="1"/>
  <c r="A88" i="37" s="1"/>
  <c r="A107" i="37" s="1"/>
  <c r="A32" i="37"/>
  <c r="A51" i="37" s="1"/>
  <c r="A70" i="37" s="1"/>
  <c r="A89" i="37" s="1"/>
  <c r="A108" i="37" s="1"/>
  <c r="A52" i="37"/>
  <c r="A71" i="37" s="1"/>
  <c r="A90" i="37" s="1"/>
  <c r="A109" i="37" s="1"/>
  <c r="A28" i="37"/>
  <c r="A47" i="37" s="1"/>
  <c r="A66" i="37" s="1"/>
  <c r="A85" i="37" s="1"/>
  <c r="A104" i="37" s="1"/>
  <c r="J34" i="37" l="1"/>
  <c r="J14" i="37"/>
  <c r="J56" i="25" l="1"/>
  <c r="E56" i="25"/>
  <c r="D56" i="25"/>
  <c r="C56" i="25"/>
  <c r="J67" i="25"/>
  <c r="M67" i="25" s="1"/>
  <c r="E67" i="25"/>
  <c r="D67" i="25"/>
  <c r="C67" i="25"/>
  <c r="B67" i="25"/>
  <c r="B28" i="26" s="1"/>
  <c r="M56" i="25" l="1"/>
  <c r="L56" i="25"/>
  <c r="N56" i="25"/>
  <c r="L67" i="25"/>
  <c r="N67" i="25"/>
  <c r="N54" i="29" l="1"/>
  <c r="N55" i="29" s="1"/>
  <c r="O54" i="29"/>
  <c r="P54" i="29" l="1"/>
  <c r="Q54" i="29"/>
  <c r="R54" i="29"/>
  <c r="T54" i="29"/>
  <c r="L54" i="29"/>
  <c r="M54" i="29"/>
  <c r="M57" i="29" s="1"/>
  <c r="F101" i="23" s="1"/>
  <c r="I101" i="23" s="1"/>
  <c r="V54" i="29"/>
  <c r="P55" i="29" l="1"/>
  <c r="M59" i="29" s="1"/>
  <c r="F103" i="23" s="1"/>
  <c r="I103" i="23" s="1"/>
  <c r="M7" i="67"/>
  <c r="M14" i="67" s="1"/>
  <c r="M6" i="67"/>
  <c r="M13" i="67" s="1"/>
  <c r="M4" i="67"/>
  <c r="M11" i="67"/>
  <c r="I54" i="29"/>
  <c r="C57" i="29" s="1"/>
  <c r="J54" i="29"/>
  <c r="C58" i="29" s="1"/>
  <c r="S54" i="29"/>
  <c r="K54" i="29"/>
  <c r="M58" i="29" s="1"/>
  <c r="F102" i="23" s="1"/>
  <c r="I102" i="23" s="1"/>
  <c r="M12" i="67" l="1"/>
  <c r="M5" i="67"/>
  <c r="H54" i="29"/>
  <c r="M10" i="67" l="1"/>
  <c r="C5" i="67"/>
  <c r="G54" i="29"/>
  <c r="C56" i="29" s="1"/>
  <c r="M3" i="67" l="1"/>
  <c r="J79" i="25"/>
  <c r="N79" i="25" s="1"/>
  <c r="C79" i="25"/>
  <c r="B79" i="25"/>
  <c r="B46" i="26" s="1"/>
  <c r="L79" i="25" l="1"/>
  <c r="M79" i="25"/>
  <c r="B82" i="25"/>
  <c r="B81" i="25"/>
  <c r="B9" i="26"/>
  <c r="B10" i="26"/>
  <c r="H19" i="23"/>
  <c r="A11" i="27"/>
  <c r="A12" i="27"/>
  <c r="A13" i="27"/>
  <c r="A14" i="27"/>
  <c r="A15" i="27"/>
  <c r="A16" i="27"/>
  <c r="A17" i="27"/>
  <c r="A18" i="27"/>
  <c r="A19" i="27"/>
  <c r="A20" i="27"/>
  <c r="C73" i="25" l="1"/>
  <c r="C74" i="25"/>
  <c r="C75" i="25"/>
  <c r="C76" i="25"/>
  <c r="C77" i="25"/>
  <c r="C78" i="25"/>
  <c r="J74" i="25" l="1"/>
  <c r="J75" i="25"/>
  <c r="M75" i="25" s="1"/>
  <c r="J76" i="25"/>
  <c r="N76" i="25" s="1"/>
  <c r="J77" i="25"/>
  <c r="M77" i="25" s="1"/>
  <c r="E75" i="25"/>
  <c r="E76" i="25"/>
  <c r="E77" i="25"/>
  <c r="E78" i="25"/>
  <c r="D75" i="25"/>
  <c r="D76" i="25"/>
  <c r="D77" i="25"/>
  <c r="D78" i="25"/>
  <c r="B75" i="25"/>
  <c r="B42" i="26" s="1"/>
  <c r="B76" i="25"/>
  <c r="B43" i="26" s="1"/>
  <c r="B77" i="25"/>
  <c r="B44" i="26" s="1"/>
  <c r="B78" i="25"/>
  <c r="B45" i="26" s="1"/>
  <c r="J61" i="25"/>
  <c r="N61" i="25" s="1"/>
  <c r="J62" i="25"/>
  <c r="N62" i="25" s="1"/>
  <c r="J63" i="25"/>
  <c r="N63" i="25" s="1"/>
  <c r="J64" i="25"/>
  <c r="N64" i="25" s="1"/>
  <c r="J65" i="25"/>
  <c r="N65" i="25" s="1"/>
  <c r="J66" i="25"/>
  <c r="N66" i="25" s="1"/>
  <c r="E61" i="25"/>
  <c r="E62" i="25"/>
  <c r="E63" i="25"/>
  <c r="E64" i="25"/>
  <c r="E65" i="25"/>
  <c r="E66" i="25"/>
  <c r="D61" i="25"/>
  <c r="D62" i="25"/>
  <c r="D63" i="25"/>
  <c r="D64" i="25"/>
  <c r="D65" i="25"/>
  <c r="D66" i="25"/>
  <c r="C61" i="25"/>
  <c r="C62" i="25"/>
  <c r="C63" i="25"/>
  <c r="C64" i="25"/>
  <c r="C65" i="25"/>
  <c r="C66" i="25"/>
  <c r="B60" i="25"/>
  <c r="B21" i="26" s="1"/>
  <c r="B61" i="25"/>
  <c r="B22" i="26" s="1"/>
  <c r="B62" i="25"/>
  <c r="B23" i="26" s="1"/>
  <c r="B63" i="25"/>
  <c r="B24" i="26" s="1"/>
  <c r="B64" i="25"/>
  <c r="B25" i="26" s="1"/>
  <c r="B65" i="25"/>
  <c r="B26" i="26" s="1"/>
  <c r="B66" i="25"/>
  <c r="B27" i="26" s="1"/>
  <c r="N52" i="25"/>
  <c r="N53" i="25"/>
  <c r="M52" i="25"/>
  <c r="M53" i="25"/>
  <c r="K53" i="25"/>
  <c r="E53" i="25"/>
  <c r="D53" i="25"/>
  <c r="C53" i="25"/>
  <c r="J18" i="25"/>
  <c r="N18" i="25" s="1"/>
  <c r="J19" i="25"/>
  <c r="N19" i="25" s="1"/>
  <c r="E18" i="25"/>
  <c r="E19" i="25"/>
  <c r="D18" i="25"/>
  <c r="D19" i="25"/>
  <c r="E17" i="25"/>
  <c r="C18" i="25"/>
  <c r="C19" i="25"/>
  <c r="B18" i="25"/>
  <c r="B19" i="25"/>
  <c r="N78" i="25" l="1"/>
  <c r="M78" i="25"/>
  <c r="L77" i="25"/>
  <c r="L75" i="25"/>
  <c r="M76" i="25"/>
  <c r="N77" i="25"/>
  <c r="N75" i="25"/>
  <c r="L78" i="25"/>
  <c r="L76" i="25"/>
  <c r="L66" i="25"/>
  <c r="L64" i="25"/>
  <c r="L62" i="25"/>
  <c r="M66" i="25"/>
  <c r="M64" i="25"/>
  <c r="M62" i="25"/>
  <c r="L65" i="25"/>
  <c r="L63" i="25"/>
  <c r="L61" i="25"/>
  <c r="M65" i="25"/>
  <c r="M63" i="25"/>
  <c r="M61" i="25"/>
  <c r="K18" i="25"/>
  <c r="K19" i="25"/>
  <c r="L18" i="25"/>
  <c r="L19" i="25"/>
  <c r="E26" i="37" l="1"/>
  <c r="E45" i="37" s="1"/>
  <c r="E64" i="37" s="1"/>
  <c r="E83" i="37" s="1"/>
  <c r="E102" i="37" s="1"/>
  <c r="D26" i="37" l="1"/>
  <c r="D45" i="37" s="1"/>
  <c r="D64" i="37" s="1"/>
  <c r="D83" i="37" s="1"/>
  <c r="D102" i="37" s="1"/>
  <c r="G28" i="37" l="1"/>
  <c r="G32" i="37"/>
  <c r="G6" i="37"/>
  <c r="G10" i="37"/>
  <c r="G29" i="37"/>
  <c r="G34" i="37" l="1"/>
  <c r="G7" i="37"/>
  <c r="G14" i="37" s="1"/>
  <c r="J126" i="37" s="1"/>
  <c r="J129" i="37" s="1"/>
  <c r="D22" i="33" s="1"/>
  <c r="B71" i="25"/>
  <c r="B34" i="26" s="1"/>
  <c r="F86" i="23" l="1"/>
  <c r="I86" i="23" s="1"/>
  <c r="J16" i="37"/>
  <c r="J36" i="37"/>
  <c r="E31" i="23"/>
  <c r="I79" i="23" l="1"/>
  <c r="E59" i="23"/>
  <c r="E33" i="23"/>
  <c r="H33" i="23"/>
  <c r="H36" i="23"/>
  <c r="H14" i="23" l="1"/>
  <c r="E14" i="23"/>
  <c r="H29" i="23"/>
  <c r="E29" i="23"/>
  <c r="H16" i="23"/>
  <c r="E16" i="23"/>
  <c r="H37" i="23"/>
  <c r="E37" i="23"/>
  <c r="A11" i="30"/>
  <c r="F5" i="30" l="1"/>
  <c r="E15" i="25"/>
  <c r="H26" i="23"/>
  <c r="H17" i="23"/>
  <c r="E17" i="23"/>
  <c r="E19" i="23"/>
  <c r="H22" i="23"/>
  <c r="E22" i="23"/>
  <c r="H10" i="23"/>
  <c r="E10" i="23"/>
  <c r="H20" i="23"/>
  <c r="E20" i="23"/>
  <c r="H30" i="23"/>
  <c r="E30" i="23"/>
  <c r="H15" i="23"/>
  <c r="E15" i="23"/>
  <c r="H24" i="23"/>
  <c r="E24" i="23"/>
  <c r="H21" i="23"/>
  <c r="E21" i="23"/>
  <c r="H13" i="23"/>
  <c r="E13" i="23"/>
  <c r="H18" i="23"/>
  <c r="E18" i="23"/>
  <c r="H27" i="23"/>
  <c r="E27" i="23"/>
  <c r="H39" i="23"/>
  <c r="E39" i="23"/>
  <c r="H34" i="23"/>
  <c r="E34" i="23"/>
  <c r="H31" i="23"/>
  <c r="H32" i="23"/>
  <c r="E32" i="23"/>
  <c r="B9" i="25" l="1"/>
  <c r="B10" i="25"/>
  <c r="C10" i="25"/>
  <c r="D10" i="25"/>
  <c r="E10" i="25"/>
  <c r="J10" i="25"/>
  <c r="B11" i="25"/>
  <c r="C11" i="25"/>
  <c r="D11" i="25"/>
  <c r="E11" i="25"/>
  <c r="J11" i="25"/>
  <c r="K11" i="25" s="1"/>
  <c r="B12" i="25"/>
  <c r="C12" i="25"/>
  <c r="D12" i="25"/>
  <c r="E12" i="25"/>
  <c r="J12" i="25"/>
  <c r="K12" i="25" s="1"/>
  <c r="B13" i="25"/>
  <c r="C13" i="25"/>
  <c r="D13" i="25"/>
  <c r="E13" i="25"/>
  <c r="J13" i="25"/>
  <c r="K13" i="25" s="1"/>
  <c r="B14" i="25"/>
  <c r="B15" i="25"/>
  <c r="C15" i="25"/>
  <c r="D15" i="25"/>
  <c r="J15" i="25"/>
  <c r="K15" i="25" s="1"/>
  <c r="B16" i="25"/>
  <c r="C16" i="25"/>
  <c r="D16" i="25"/>
  <c r="E16" i="25"/>
  <c r="J16" i="25"/>
  <c r="K16" i="25" s="1"/>
  <c r="B17" i="25"/>
  <c r="C17" i="25"/>
  <c r="D17" i="25"/>
  <c r="J17" i="25"/>
  <c r="K17" i="25" s="1"/>
  <c r="H21" i="25"/>
  <c r="B22" i="25"/>
  <c r="C22" i="25"/>
  <c r="D22" i="25"/>
  <c r="E22" i="25"/>
  <c r="J22" i="25"/>
  <c r="K22" i="25" s="1"/>
  <c r="B23" i="25"/>
  <c r="C23" i="25"/>
  <c r="D23" i="25"/>
  <c r="E23" i="25"/>
  <c r="J23" i="25"/>
  <c r="K23" i="25" s="1"/>
  <c r="B24" i="25"/>
  <c r="C24" i="25"/>
  <c r="D24" i="25"/>
  <c r="E24" i="25"/>
  <c r="J24" i="25"/>
  <c r="K24" i="25" s="1"/>
  <c r="B25" i="25"/>
  <c r="C25" i="25"/>
  <c r="D25" i="25"/>
  <c r="E25" i="25"/>
  <c r="J25" i="25"/>
  <c r="K25" i="25" s="1"/>
  <c r="B26" i="25"/>
  <c r="C26" i="25"/>
  <c r="D26" i="25"/>
  <c r="E26" i="25"/>
  <c r="J26" i="25"/>
  <c r="K26" i="25" s="1"/>
  <c r="B27" i="25"/>
  <c r="C27" i="25"/>
  <c r="D27" i="25"/>
  <c r="E27" i="25"/>
  <c r="J27" i="25"/>
  <c r="K27" i="25" s="1"/>
  <c r="B28" i="25"/>
  <c r="C28" i="25"/>
  <c r="D28" i="25"/>
  <c r="E28" i="25"/>
  <c r="J28" i="25"/>
  <c r="K28" i="25" s="1"/>
  <c r="B29" i="25"/>
  <c r="C29" i="25"/>
  <c r="D29" i="25"/>
  <c r="E29" i="25"/>
  <c r="J29" i="25"/>
  <c r="K29" i="25" s="1"/>
  <c r="B30" i="25"/>
  <c r="C30" i="25"/>
  <c r="D30" i="25"/>
  <c r="E30" i="25"/>
  <c r="J30" i="25"/>
  <c r="K30" i="25" s="1"/>
  <c r="B31" i="25"/>
  <c r="B32" i="25"/>
  <c r="B33" i="25"/>
  <c r="C33" i="25"/>
  <c r="D33" i="25"/>
  <c r="E33" i="25"/>
  <c r="J33" i="25"/>
  <c r="K33" i="25" s="1"/>
  <c r="B34" i="25"/>
  <c r="B35" i="25"/>
  <c r="C35" i="25"/>
  <c r="D35" i="25"/>
  <c r="E35" i="25"/>
  <c r="J35" i="25"/>
  <c r="K35" i="25" s="1"/>
  <c r="B38" i="25"/>
  <c r="B39" i="25"/>
  <c r="C39" i="25"/>
  <c r="D39" i="25"/>
  <c r="E39" i="25"/>
  <c r="J39" i="25"/>
  <c r="K39" i="25" s="1"/>
  <c r="B40" i="25"/>
  <c r="C40" i="25"/>
  <c r="D40" i="25"/>
  <c r="E40" i="25"/>
  <c r="J40" i="25"/>
  <c r="K40" i="25" s="1"/>
  <c r="B41" i="25"/>
  <c r="D41" i="25"/>
  <c r="E41" i="25"/>
  <c r="J41" i="25"/>
  <c r="K41" i="25" s="1"/>
  <c r="B45" i="25"/>
  <c r="C45" i="25"/>
  <c r="D45" i="25"/>
  <c r="E45" i="25"/>
  <c r="J45" i="25"/>
  <c r="K45" i="25" s="1"/>
  <c r="B46" i="25"/>
  <c r="C46" i="25"/>
  <c r="D46" i="25"/>
  <c r="E46" i="25"/>
  <c r="J46" i="25"/>
  <c r="K46" i="25" s="1"/>
  <c r="C49" i="25"/>
  <c r="D49" i="25"/>
  <c r="E49" i="25"/>
  <c r="J49" i="25"/>
  <c r="K49" i="25" s="1"/>
  <c r="C50" i="25"/>
  <c r="D50" i="25"/>
  <c r="E50" i="25"/>
  <c r="J50" i="25"/>
  <c r="K50" i="25" s="1"/>
  <c r="C51" i="25"/>
  <c r="D51" i="25"/>
  <c r="E51" i="25"/>
  <c r="J51" i="25"/>
  <c r="K51" i="25" s="1"/>
  <c r="C52" i="25"/>
  <c r="D52" i="25"/>
  <c r="E52" i="25"/>
  <c r="K52" i="25"/>
  <c r="B55" i="25"/>
  <c r="B56" i="25"/>
  <c r="B17" i="26" s="1"/>
  <c r="B59" i="25"/>
  <c r="B20" i="26" s="1"/>
  <c r="C59" i="25"/>
  <c r="D59" i="25"/>
  <c r="E59" i="25"/>
  <c r="J59" i="25"/>
  <c r="L59" i="25" s="1"/>
  <c r="B69" i="25"/>
  <c r="B32" i="26" s="1"/>
  <c r="B70" i="25"/>
  <c r="B33" i="26" s="1"/>
  <c r="C70" i="25"/>
  <c r="D70" i="25"/>
  <c r="E70" i="25"/>
  <c r="J70" i="25"/>
  <c r="L70" i="25" s="1"/>
  <c r="C71" i="25"/>
  <c r="D71" i="25"/>
  <c r="E71" i="25"/>
  <c r="J71" i="25"/>
  <c r="L71" i="25" s="1"/>
  <c r="B72" i="25"/>
  <c r="B39" i="26" s="1"/>
  <c r="B73" i="25"/>
  <c r="B40" i="26" s="1"/>
  <c r="D73" i="25"/>
  <c r="E73" i="25"/>
  <c r="J73" i="25"/>
  <c r="B74" i="25"/>
  <c r="B41" i="26" s="1"/>
  <c r="D74" i="25"/>
  <c r="E74" i="25"/>
  <c r="L74" i="25"/>
  <c r="H7" i="26"/>
  <c r="C82" i="25"/>
  <c r="C83" i="25"/>
  <c r="C84" i="25"/>
  <c r="C85" i="25"/>
  <c r="C86" i="25"/>
  <c r="G19" i="27" l="1"/>
  <c r="O41" i="25"/>
  <c r="O40" i="25"/>
  <c r="O39" i="25"/>
  <c r="O42" i="25"/>
  <c r="F38" i="27"/>
  <c r="G32" i="27"/>
  <c r="G31" i="27"/>
  <c r="G33" i="27"/>
  <c r="B20" i="27"/>
  <c r="G20" i="27"/>
  <c r="G30" i="27"/>
  <c r="D88" i="25"/>
  <c r="E88" i="25"/>
  <c r="B18" i="27"/>
  <c r="B19" i="27"/>
  <c r="K10" i="25"/>
  <c r="N11" i="25"/>
  <c r="N23" i="25"/>
  <c r="L11" i="25"/>
  <c r="L28" i="25"/>
  <c r="N15" i="25"/>
  <c r="L12" i="25"/>
  <c r="B17" i="27"/>
  <c r="N33" i="25"/>
  <c r="N25" i="25"/>
  <c r="L16" i="25"/>
  <c r="L15" i="25"/>
  <c r="N74" i="25"/>
  <c r="M71" i="25"/>
  <c r="L40" i="25"/>
  <c r="N29" i="25"/>
  <c r="L26" i="25"/>
  <c r="L25" i="25"/>
  <c r="N17" i="25"/>
  <c r="N13" i="25"/>
  <c r="M70" i="25"/>
  <c r="N70" i="25"/>
  <c r="N59" i="25"/>
  <c r="M49" i="25"/>
  <c r="M45" i="25"/>
  <c r="L39" i="25"/>
  <c r="L35" i="25"/>
  <c r="L30" i="25"/>
  <c r="L29" i="25"/>
  <c r="N27" i="25"/>
  <c r="L24" i="25"/>
  <c r="L22" i="25"/>
  <c r="L17" i="25"/>
  <c r="L13" i="25"/>
  <c r="L10" i="25"/>
  <c r="N73" i="25"/>
  <c r="N71" i="25"/>
  <c r="L41" i="25"/>
  <c r="M39" i="25"/>
  <c r="M35" i="25"/>
  <c r="L33" i="25"/>
  <c r="N28" i="25"/>
  <c r="L27" i="25"/>
  <c r="N24" i="25"/>
  <c r="L23" i="25"/>
  <c r="N16" i="25"/>
  <c r="N12" i="25"/>
  <c r="N30" i="25"/>
  <c r="N26" i="25"/>
  <c r="N22" i="25"/>
  <c r="N10" i="25"/>
  <c r="M74" i="25"/>
  <c r="M73" i="25"/>
  <c r="M59" i="25"/>
  <c r="M51" i="25"/>
  <c r="M50" i="25"/>
  <c r="M46" i="25"/>
  <c r="M41" i="25"/>
  <c r="M40" i="25"/>
  <c r="D93" i="25" l="1"/>
  <c r="F26" i="27"/>
  <c r="F27" i="27"/>
  <c r="F7" i="27"/>
  <c r="H7" i="27"/>
  <c r="F25" i="27" l="1"/>
  <c r="C54" i="29" l="1"/>
  <c r="F54" i="29"/>
  <c r="E54" i="29"/>
  <c r="D54" i="29"/>
  <c r="C5" i="30" l="1"/>
  <c r="W54" i="29" l="1"/>
  <c r="X54" i="29"/>
  <c r="B8" i="26"/>
  <c r="F18" i="27"/>
  <c r="F44" i="27" s="1"/>
  <c r="F10" i="27"/>
  <c r="F91" i="23" l="1"/>
  <c r="X58" i="29"/>
  <c r="E5" i="67"/>
  <c r="H55" i="29"/>
  <c r="A26" i="27"/>
  <c r="A27" i="27"/>
  <c r="A28" i="27"/>
  <c r="A29" i="27"/>
  <c r="A30" i="27"/>
  <c r="A31" i="27"/>
  <c r="B31" i="27" s="1"/>
  <c r="A32" i="27"/>
  <c r="A33" i="27"/>
  <c r="A25" i="27"/>
  <c r="I91" i="23" l="1"/>
  <c r="I110" i="23" s="1"/>
  <c r="F110" i="23"/>
  <c r="B15" i="27"/>
  <c r="A10" i="27"/>
  <c r="G7" i="27" l="1"/>
  <c r="B16" i="26"/>
  <c r="B7" i="26"/>
  <c r="G26" i="27" l="1"/>
  <c r="G27" i="27"/>
  <c r="G29" i="27"/>
  <c r="E15" i="75" s="1"/>
  <c r="F15" i="75" s="1"/>
  <c r="G15" i="75" s="1"/>
  <c r="H15" i="75" s="1"/>
  <c r="I15" i="75" s="1"/>
  <c r="G28" i="27"/>
  <c r="I7" i="27"/>
  <c r="E21" i="75" l="1"/>
  <c r="F21" i="75" s="1"/>
  <c r="G21" i="75" s="1"/>
  <c r="H21" i="75" s="1"/>
  <c r="A2" i="25"/>
  <c r="A1" i="27" s="1"/>
  <c r="A2" i="56"/>
  <c r="F80" i="25"/>
  <c r="F79" i="25"/>
  <c r="F37" i="25"/>
  <c r="F36" i="25"/>
  <c r="F47" i="25"/>
  <c r="F67" i="25"/>
  <c r="F56" i="25"/>
  <c r="F74" i="25"/>
  <c r="F76" i="25"/>
  <c r="F61" i="25"/>
  <c r="F64" i="25"/>
  <c r="F66" i="25"/>
  <c r="F19" i="25"/>
  <c r="F75" i="25"/>
  <c r="F78" i="25"/>
  <c r="F62" i="25"/>
  <c r="F65" i="25"/>
  <c r="F53" i="25"/>
  <c r="F18" i="25"/>
  <c r="F59" i="25"/>
  <c r="F63" i="25"/>
  <c r="F12" i="25"/>
  <c r="F13" i="25"/>
  <c r="F15" i="25"/>
  <c r="F35" i="25"/>
  <c r="F26" i="25"/>
  <c r="F28" i="25"/>
  <c r="F30" i="25"/>
  <c r="F40" i="25"/>
  <c r="F45" i="25"/>
  <c r="F50" i="25"/>
  <c r="F52" i="25"/>
  <c r="F73" i="25"/>
  <c r="F11" i="25"/>
  <c r="F17" i="25"/>
  <c r="F22" i="25"/>
  <c r="F23" i="25"/>
  <c r="F24" i="25"/>
  <c r="F25" i="25"/>
  <c r="F27" i="25"/>
  <c r="F29" i="25"/>
  <c r="F33" i="25"/>
  <c r="F39" i="25"/>
  <c r="F41" i="25"/>
  <c r="F46" i="25"/>
  <c r="F51" i="25"/>
  <c r="F71" i="25"/>
  <c r="F77" i="25"/>
  <c r="F70" i="25"/>
  <c r="B33" i="27"/>
  <c r="L73" i="25" l="1"/>
  <c r="G25" i="27"/>
  <c r="G18" i="27"/>
  <c r="B13" i="27"/>
  <c r="B10" i="27"/>
  <c r="D5" i="75" s="1"/>
  <c r="B12" i="27"/>
  <c r="B16" i="27"/>
  <c r="B11" i="27"/>
  <c r="B29" i="27"/>
  <c r="B27" i="27"/>
  <c r="B25" i="27"/>
  <c r="G10" i="27"/>
  <c r="B32" i="27"/>
  <c r="B30" i="27"/>
  <c r="B28" i="27"/>
  <c r="B26" i="27"/>
  <c r="A1" i="26"/>
  <c r="G1" i="26" s="1"/>
  <c r="E18" i="75" l="1"/>
  <c r="F18" i="75" s="1"/>
  <c r="G18" i="75" s="1"/>
  <c r="H18" i="75" s="1"/>
  <c r="H23" i="75" s="1"/>
  <c r="D11" i="75"/>
  <c r="E5" i="75" s="1"/>
  <c r="E11" i="75" s="1"/>
  <c r="F5" i="75" s="1"/>
  <c r="B22" i="27"/>
  <c r="G37" i="27"/>
  <c r="G22" i="27"/>
  <c r="B37" i="27"/>
  <c r="G15" i="27"/>
  <c r="F11" i="75" l="1"/>
  <c r="G5" i="75" s="1"/>
  <c r="G39" i="27"/>
  <c r="B39" i="27"/>
  <c r="G11" i="75" l="1"/>
  <c r="H5" i="75" s="1"/>
  <c r="F10" i="25"/>
  <c r="D5" i="30"/>
  <c r="H11" i="75" l="1"/>
  <c r="J15" i="75" s="1"/>
  <c r="J21" i="75" s="1"/>
  <c r="F49" i="25"/>
  <c r="E5" i="30" l="1"/>
  <c r="L46" i="25" l="1"/>
  <c r="L45" i="25"/>
  <c r="L47" i="25"/>
  <c r="N51" i="25"/>
  <c r="N50" i="25"/>
  <c r="N49" i="25"/>
  <c r="A4" i="25" l="1"/>
  <c r="A5" i="25"/>
  <c r="A3" i="26" l="1"/>
  <c r="G3" i="26" s="1"/>
  <c r="A3" i="27"/>
  <c r="A4" i="26"/>
  <c r="G4" i="26" s="1"/>
  <c r="A4" i="27"/>
  <c r="F16" i="25" l="1"/>
  <c r="F88" i="25" s="1"/>
  <c r="G6" i="23" l="1"/>
  <c r="G42" i="25" l="1"/>
  <c r="I42" i="25" s="1"/>
  <c r="N42" i="25" s="1"/>
  <c r="G44" i="25"/>
  <c r="I44" i="25" s="1"/>
  <c r="N44" i="25" s="1"/>
  <c r="G43" i="25"/>
  <c r="I43" i="25" s="1"/>
  <c r="N43" i="25" s="1"/>
  <c r="G68" i="25"/>
  <c r="H68" i="25" s="1"/>
  <c r="K68" i="25" s="1"/>
  <c r="C29" i="26" s="1"/>
  <c r="G20" i="25"/>
  <c r="G37" i="25"/>
  <c r="G67" i="25"/>
  <c r="H67" i="25" s="1"/>
  <c r="K67" i="25" s="1"/>
  <c r="C28" i="26" s="1"/>
  <c r="G63" i="25"/>
  <c r="H63" i="25" s="1"/>
  <c r="K63" i="25" s="1"/>
  <c r="C24" i="26" s="1"/>
  <c r="G75" i="25"/>
  <c r="H75" i="25" s="1"/>
  <c r="K75" i="25" s="1"/>
  <c r="C42" i="26" s="1"/>
  <c r="G66" i="25"/>
  <c r="H66" i="25" s="1"/>
  <c r="K66" i="25" s="1"/>
  <c r="C27" i="26" s="1"/>
  <c r="G16" i="25"/>
  <c r="G28" i="25"/>
  <c r="G40" i="25"/>
  <c r="I40" i="25" s="1"/>
  <c r="N40" i="25" s="1"/>
  <c r="G59" i="25"/>
  <c r="H59" i="25" s="1"/>
  <c r="K59" i="25" s="1"/>
  <c r="C20" i="26" s="1"/>
  <c r="G11" i="25"/>
  <c r="G26" i="25"/>
  <c r="G35" i="25"/>
  <c r="G36" i="25"/>
  <c r="G79" i="25"/>
  <c r="H79" i="25" s="1"/>
  <c r="K79" i="25" s="1"/>
  <c r="C46" i="26" s="1"/>
  <c r="G61" i="25"/>
  <c r="H61" i="25" s="1"/>
  <c r="K61" i="25" s="1"/>
  <c r="C22" i="26" s="1"/>
  <c r="G77" i="25"/>
  <c r="H77" i="25" s="1"/>
  <c r="K77" i="25" s="1"/>
  <c r="C44" i="26" s="1"/>
  <c r="G53" i="25"/>
  <c r="I53" i="25" s="1"/>
  <c r="L53" i="25" s="1"/>
  <c r="C12" i="26" s="1"/>
  <c r="G17" i="25"/>
  <c r="G29" i="25"/>
  <c r="G41" i="25"/>
  <c r="I41" i="25" s="1"/>
  <c r="N41" i="25" s="1"/>
  <c r="G70" i="25"/>
  <c r="H70" i="25" s="1"/>
  <c r="K70" i="25" s="1"/>
  <c r="C33" i="26" s="1"/>
  <c r="M62" i="29" s="1"/>
  <c r="O64" i="29" s="1"/>
  <c r="G15" i="25"/>
  <c r="G27" i="25"/>
  <c r="G74" i="25"/>
  <c r="H74" i="25" s="1"/>
  <c r="K74" i="25" s="1"/>
  <c r="C41" i="26" s="1"/>
  <c r="G19" i="25"/>
  <c r="G58" i="25"/>
  <c r="H58" i="25" s="1"/>
  <c r="K58" i="25" s="1"/>
  <c r="C19" i="26" s="1"/>
  <c r="G54" i="25"/>
  <c r="I54" i="25" s="1"/>
  <c r="L54" i="25" s="1"/>
  <c r="C13" i="26" s="1"/>
  <c r="G80" i="25"/>
  <c r="H80" i="25" s="1"/>
  <c r="K80" i="25" s="1"/>
  <c r="C47" i="26" s="1"/>
  <c r="G47" i="25"/>
  <c r="I47" i="25" s="1"/>
  <c r="N47" i="25" s="1"/>
  <c r="G78" i="25"/>
  <c r="H78" i="25" s="1"/>
  <c r="K78" i="25" s="1"/>
  <c r="C45" i="26" s="1"/>
  <c r="G18" i="25"/>
  <c r="G62" i="25"/>
  <c r="H62" i="25" s="1"/>
  <c r="K62" i="25" s="1"/>
  <c r="C23" i="26" s="1"/>
  <c r="G12" i="25"/>
  <c r="G24" i="25"/>
  <c r="G33" i="25"/>
  <c r="G45" i="25"/>
  <c r="I45" i="25" s="1"/>
  <c r="N45" i="25" s="1"/>
  <c r="G71" i="25"/>
  <c r="H71" i="25" s="1"/>
  <c r="K71" i="25" s="1"/>
  <c r="C34" i="26" s="1"/>
  <c r="G22" i="25"/>
  <c r="G30" i="25"/>
  <c r="G51" i="25"/>
  <c r="I51" i="25" s="1"/>
  <c r="L51" i="25" s="1"/>
  <c r="C10" i="26" s="1"/>
  <c r="G56" i="25"/>
  <c r="H56" i="25" s="1"/>
  <c r="K56" i="25" s="1"/>
  <c r="G76" i="25"/>
  <c r="H76" i="25" s="1"/>
  <c r="K76" i="25" s="1"/>
  <c r="C43" i="26" s="1"/>
  <c r="G65" i="25"/>
  <c r="H65" i="25" s="1"/>
  <c r="K65" i="25" s="1"/>
  <c r="C26" i="26" s="1"/>
  <c r="G64" i="25"/>
  <c r="H64" i="25" s="1"/>
  <c r="K64" i="25" s="1"/>
  <c r="C25" i="26" s="1"/>
  <c r="G13" i="25"/>
  <c r="G25" i="25"/>
  <c r="G39" i="25"/>
  <c r="I39" i="25" s="1"/>
  <c r="N39" i="25" s="1"/>
  <c r="G46" i="25"/>
  <c r="I46" i="25" s="1"/>
  <c r="N46" i="25" s="1"/>
  <c r="G73" i="25"/>
  <c r="H73" i="25" s="1"/>
  <c r="K73" i="25" s="1"/>
  <c r="C40" i="26" s="1"/>
  <c r="G23" i="25"/>
  <c r="G50" i="25"/>
  <c r="I50" i="25" s="1"/>
  <c r="L50" i="25" s="1"/>
  <c r="C9" i="26" s="1"/>
  <c r="G49" i="25"/>
  <c r="I49" i="25" s="1"/>
  <c r="L49" i="25" s="1"/>
  <c r="G52" i="25"/>
  <c r="I52" i="25" s="1"/>
  <c r="L52" i="25" s="1"/>
  <c r="C11" i="26" s="1"/>
  <c r="G10" i="25"/>
  <c r="C10" i="27" s="1"/>
  <c r="G57" i="25"/>
  <c r="E48" i="26" l="1"/>
  <c r="N62" i="29"/>
  <c r="H10" i="25"/>
  <c r="G88" i="25"/>
  <c r="H57" i="25"/>
  <c r="K57" i="25" s="1"/>
  <c r="C13" i="27"/>
  <c r="H13" i="25"/>
  <c r="M13" i="25" s="1"/>
  <c r="R13" i="25" s="1"/>
  <c r="D13" i="27" s="1"/>
  <c r="C33" i="27"/>
  <c r="H30" i="25"/>
  <c r="M30" i="25" s="1"/>
  <c r="R30" i="25" s="1"/>
  <c r="D33" i="27" s="1"/>
  <c r="H10" i="27"/>
  <c r="H15" i="27" s="1"/>
  <c r="H33" i="25"/>
  <c r="M33" i="25" s="1"/>
  <c r="S33" i="25" s="1"/>
  <c r="I10" i="27" s="1"/>
  <c r="I15" i="27" s="1"/>
  <c r="C12" i="27"/>
  <c r="H12" i="25"/>
  <c r="M12" i="25" s="1"/>
  <c r="R12" i="25" s="1"/>
  <c r="D12" i="27" s="1"/>
  <c r="C18" i="27"/>
  <c r="H18" i="25"/>
  <c r="M18" i="25" s="1"/>
  <c r="R18" i="25" s="1"/>
  <c r="D18" i="27" s="1"/>
  <c r="H19" i="25"/>
  <c r="M19" i="25" s="1"/>
  <c r="R19" i="25" s="1"/>
  <c r="D19" i="27" s="1"/>
  <c r="C19" i="27"/>
  <c r="C30" i="27"/>
  <c r="H27" i="25"/>
  <c r="M27" i="25" s="1"/>
  <c r="R27" i="25" s="1"/>
  <c r="D30" i="27" s="1"/>
  <c r="E35" i="26"/>
  <c r="C32" i="27"/>
  <c r="H29" i="25"/>
  <c r="M29" i="25" s="1"/>
  <c r="R29" i="25" s="1"/>
  <c r="D32" i="27" s="1"/>
  <c r="I36" i="25"/>
  <c r="N36" i="25" s="1"/>
  <c r="S36" i="25" s="1"/>
  <c r="I19" i="27" s="1"/>
  <c r="H19" i="27"/>
  <c r="H26" i="25"/>
  <c r="M26" i="25" s="1"/>
  <c r="R26" i="25" s="1"/>
  <c r="D29" i="27" s="1"/>
  <c r="C29" i="27"/>
  <c r="C31" i="27"/>
  <c r="H28" i="25"/>
  <c r="M28" i="25" s="1"/>
  <c r="R28" i="25" s="1"/>
  <c r="D31" i="27" s="1"/>
  <c r="I37" i="25"/>
  <c r="N37" i="25" s="1"/>
  <c r="S37" i="25" s="1"/>
  <c r="I20" i="27" s="1"/>
  <c r="H20" i="27"/>
  <c r="C20" i="27"/>
  <c r="H20" i="25"/>
  <c r="M20" i="25" s="1"/>
  <c r="R20" i="25" s="1"/>
  <c r="D20" i="27" s="1"/>
  <c r="C8" i="26"/>
  <c r="E14" i="26" s="1"/>
  <c r="L88" i="25"/>
  <c r="L92" i="25" s="1"/>
  <c r="C26" i="27"/>
  <c r="H23" i="25"/>
  <c r="M23" i="25" s="1"/>
  <c r="R23" i="25" s="1"/>
  <c r="D26" i="27" s="1"/>
  <c r="C28" i="27"/>
  <c r="H25" i="25"/>
  <c r="M25" i="25" s="1"/>
  <c r="R25" i="25" s="1"/>
  <c r="D28" i="27" s="1"/>
  <c r="C25" i="27"/>
  <c r="H22" i="25"/>
  <c r="M22" i="25" s="1"/>
  <c r="R22" i="25" s="1"/>
  <c r="D25" i="27" s="1"/>
  <c r="C27" i="27"/>
  <c r="H24" i="25"/>
  <c r="M24" i="25" s="1"/>
  <c r="R24" i="25" s="1"/>
  <c r="D27" i="27" s="1"/>
  <c r="H15" i="25"/>
  <c r="M15" i="25" s="1"/>
  <c r="R15" i="25" s="1"/>
  <c r="D15" i="27" s="1"/>
  <c r="C15" i="27"/>
  <c r="H17" i="25"/>
  <c r="M17" i="25" s="1"/>
  <c r="R17" i="25" s="1"/>
  <c r="D17" i="27" s="1"/>
  <c r="C17" i="27"/>
  <c r="H18" i="27"/>
  <c r="I35" i="25"/>
  <c r="C11" i="27"/>
  <c r="H11" i="25"/>
  <c r="M11" i="25" s="1"/>
  <c r="R11" i="25" s="1"/>
  <c r="C16" i="27"/>
  <c r="H16" i="25"/>
  <c r="M16" i="25" s="1"/>
  <c r="R16" i="25" s="1"/>
  <c r="J132" i="37" l="1"/>
  <c r="J133" i="37" s="1"/>
  <c r="J131" i="37"/>
  <c r="L129" i="37"/>
  <c r="H22" i="27"/>
  <c r="O88" i="25"/>
  <c r="C22" i="27"/>
  <c r="N35" i="25"/>
  <c r="I88" i="25"/>
  <c r="C37" i="27"/>
  <c r="C18" i="26"/>
  <c r="E30" i="26" s="1"/>
  <c r="E37" i="26" s="1"/>
  <c r="E50" i="26" s="1"/>
  <c r="E60" i="26" s="1"/>
  <c r="K88" i="25"/>
  <c r="K89" i="25" s="1"/>
  <c r="M10" i="25"/>
  <c r="H88" i="25"/>
  <c r="D37" i="27"/>
  <c r="G89" i="25"/>
  <c r="F93" i="25"/>
  <c r="D16" i="27"/>
  <c r="P84" i="25" l="1"/>
  <c r="P86" i="25"/>
  <c r="I11" i="26" s="1"/>
  <c r="P82" i="25"/>
  <c r="Q39" i="25" s="1"/>
  <c r="P83" i="25"/>
  <c r="I8" i="26" s="1"/>
  <c r="P85" i="25"/>
  <c r="P87" i="25"/>
  <c r="K92" i="25"/>
  <c r="K93" i="25" s="1"/>
  <c r="N89" i="25"/>
  <c r="I89" i="25"/>
  <c r="H93" i="25"/>
  <c r="C39" i="27"/>
  <c r="R10" i="25"/>
  <c r="D10" i="27" s="1"/>
  <c r="G4" i="33" s="1"/>
  <c r="M88" i="25"/>
  <c r="M92" i="25" s="1"/>
  <c r="S35" i="25"/>
  <c r="I18" i="27" s="1"/>
  <c r="N88" i="25"/>
  <c r="G12" i="33" l="1"/>
  <c r="G13" i="33" s="1"/>
  <c r="I10" i="26"/>
  <c r="Q46" i="25"/>
  <c r="Q45" i="25"/>
  <c r="I9" i="26"/>
  <c r="Q87" i="25"/>
  <c r="S87" i="25" s="1"/>
  <c r="Q43" i="25"/>
  <c r="S45" i="25"/>
  <c r="I31" i="27" s="1"/>
  <c r="Q44" i="25"/>
  <c r="I22" i="27"/>
  <c r="D11" i="27"/>
  <c r="R88" i="25"/>
  <c r="N92" i="25"/>
  <c r="M93" i="25" s="1"/>
  <c r="H31" i="27" l="1"/>
  <c r="D22" i="27"/>
  <c r="D39" i="27" l="1"/>
  <c r="K90" i="25" l="1"/>
  <c r="K91" i="25" s="1"/>
  <c r="S44" i="25"/>
  <c r="I30" i="27" s="1"/>
  <c r="H30" i="27" s="1"/>
  <c r="I35" i="27"/>
  <c r="H35" i="27" s="1"/>
  <c r="Q47" i="25"/>
  <c r="S47" i="25" s="1"/>
  <c r="I33" i="27" s="1"/>
  <c r="H33" i="27" s="1"/>
  <c r="Q41" i="25"/>
  <c r="S41" i="25" s="1"/>
  <c r="I27" i="27" s="1"/>
  <c r="I7" i="26"/>
  <c r="I14" i="26" s="1"/>
  <c r="Q42" i="25"/>
  <c r="S42" i="25" s="1"/>
  <c r="I28" i="27" s="1"/>
  <c r="H27" i="27" l="1"/>
  <c r="H28" i="27"/>
  <c r="Q40" i="25"/>
  <c r="S39" i="25"/>
  <c r="P88" i="25"/>
  <c r="S43" i="25"/>
  <c r="I29" i="27" s="1"/>
  <c r="S46" i="25"/>
  <c r="I32" i="27" s="1"/>
  <c r="G58" i="27" l="1"/>
  <c r="I58" i="27"/>
  <c r="S40" i="25"/>
  <c r="I26" i="27" s="1"/>
  <c r="Q88" i="25"/>
  <c r="Q89" i="25" s="1"/>
  <c r="H32" i="27"/>
  <c r="G45" i="27"/>
  <c r="G44" i="27"/>
  <c r="G46" i="27"/>
  <c r="H29" i="27"/>
  <c r="I25" i="27"/>
  <c r="I59" i="27" s="1"/>
  <c r="G59" i="27" l="1"/>
  <c r="S88" i="25"/>
  <c r="S89" i="25" s="1"/>
  <c r="P93" i="25"/>
  <c r="H26" i="27"/>
  <c r="G47" i="27"/>
  <c r="H25" i="27"/>
  <c r="R93" i="25" l="1"/>
  <c r="H37" i="27"/>
  <c r="H39" i="27" s="1"/>
  <c r="I37" i="27"/>
  <c r="I39" i="27" l="1"/>
  <c r="I42" i="27" l="1"/>
  <c r="B41" i="27"/>
</calcChain>
</file>

<file path=xl/sharedStrings.xml><?xml version="1.0" encoding="utf-8"?>
<sst xmlns="http://schemas.openxmlformats.org/spreadsheetml/2006/main" count="1661" uniqueCount="622">
  <si>
    <t>NO AKUN</t>
  </si>
  <si>
    <t>NAMA AKUN</t>
  </si>
  <si>
    <t xml:space="preserve"> SALDO</t>
  </si>
  <si>
    <t>Kas Kecil</t>
  </si>
  <si>
    <t>JURNAL TRANSAKSI</t>
  </si>
  <si>
    <t>KOMENTAR :</t>
  </si>
  <si>
    <t>TANGGAL</t>
  </si>
  <si>
    <t>KETERANGAN</t>
  </si>
  <si>
    <t>DEBET</t>
  </si>
  <si>
    <t>KREDIT</t>
  </si>
  <si>
    <t>Nama Akun</t>
  </si>
  <si>
    <t>TOTAL</t>
  </si>
  <si>
    <t>NERACA</t>
  </si>
  <si>
    <t xml:space="preserve"> KEWAJIBAN</t>
  </si>
  <si>
    <t>Kewajiban Lancar</t>
  </si>
  <si>
    <t>Jumlah KEWAJIBAN LANCAR</t>
  </si>
  <si>
    <t>Kewajiban Jangka Panjang</t>
  </si>
  <si>
    <t xml:space="preserve"> EKUITAS</t>
  </si>
  <si>
    <t>Kendaraan</t>
  </si>
  <si>
    <t>Jumlah EKUITAS</t>
  </si>
  <si>
    <t>JUMLAH KEWAJIBAN DAN EKUITAS</t>
  </si>
  <si>
    <t>LAPORAN LABA RUGI</t>
  </si>
  <si>
    <t>Bangunan</t>
  </si>
  <si>
    <t>Jumlah KEWAJIBAN JK PANJANG</t>
  </si>
  <si>
    <t>Persediaan</t>
  </si>
  <si>
    <t>ASET</t>
  </si>
  <si>
    <t>Aset Lancar</t>
  </si>
  <si>
    <t>Jumlah ASET LANCAR</t>
  </si>
  <si>
    <t>Aset Tetap</t>
  </si>
  <si>
    <t>Jumlah ASET TETAP</t>
  </si>
  <si>
    <t>JUMLAH ASET</t>
  </si>
  <si>
    <t>1-000</t>
  </si>
  <si>
    <t>1-200</t>
  </si>
  <si>
    <t>Akum. Penyusutan Bangunan</t>
  </si>
  <si>
    <t>Akum. Penyusutan Kendaraan</t>
  </si>
  <si>
    <t>2-000</t>
  </si>
  <si>
    <t>KEWAJIBAN</t>
  </si>
  <si>
    <t>2-100</t>
  </si>
  <si>
    <t>KEWAJIBAN LANCAR</t>
  </si>
  <si>
    <t>2-200</t>
  </si>
  <si>
    <t>3-000</t>
  </si>
  <si>
    <t>EKUITAS</t>
  </si>
  <si>
    <t>3-100</t>
  </si>
  <si>
    <t>3-200</t>
  </si>
  <si>
    <t>4-000</t>
  </si>
  <si>
    <t>4-200</t>
  </si>
  <si>
    <t>5-000</t>
  </si>
  <si>
    <t>5-100</t>
  </si>
  <si>
    <t>5-200</t>
  </si>
  <si>
    <t>5-300</t>
  </si>
  <si>
    <t>6-000</t>
  </si>
  <si>
    <t>7-000</t>
  </si>
  <si>
    <t>7-100</t>
  </si>
  <si>
    <t>7-200</t>
  </si>
  <si>
    <t>Debet</t>
  </si>
  <si>
    <t>Kredit</t>
  </si>
  <si>
    <t>Akun      D/K</t>
  </si>
  <si>
    <t>Akun      NR/LR</t>
  </si>
  <si>
    <t>-</t>
  </si>
  <si>
    <t>D</t>
  </si>
  <si>
    <t>NR</t>
  </si>
  <si>
    <t>K</t>
  </si>
  <si>
    <t>LR</t>
  </si>
  <si>
    <t>Neraca Saldo</t>
  </si>
  <si>
    <t>No Akun</t>
  </si>
  <si>
    <t>Laba Rugi</t>
  </si>
  <si>
    <t>Neraca</t>
  </si>
  <si>
    <t>ASET LANCAR</t>
  </si>
  <si>
    <t>ASET TETAP</t>
  </si>
  <si>
    <t>Neraca Awal</t>
  </si>
  <si>
    <t>Mutasi</t>
  </si>
  <si>
    <t>4-300</t>
  </si>
  <si>
    <t>Nama Perusahaan</t>
  </si>
  <si>
    <t>:</t>
  </si>
  <si>
    <t>NERACA LAJUR</t>
  </si>
  <si>
    <t>Klausa Cake</t>
  </si>
  <si>
    <t>Peralatan Usaha</t>
  </si>
  <si>
    <t>Akum. Penyusutan Peralatan</t>
  </si>
  <si>
    <t>Akum. Penyusutan Perlengkapan</t>
  </si>
  <si>
    <t>Sewa dibayar dimuka</t>
  </si>
  <si>
    <t>Hutang Lancar</t>
  </si>
  <si>
    <t>INVESTASI OBLIGASI</t>
  </si>
  <si>
    <t>Kepemilikan Merek</t>
  </si>
  <si>
    <t>Penjualan Titipan</t>
  </si>
  <si>
    <t>Penyusutan Perlengkapan</t>
  </si>
  <si>
    <t>Penyusutan Peralatan</t>
  </si>
  <si>
    <t>HRD</t>
  </si>
  <si>
    <t>Administrasi</t>
  </si>
  <si>
    <t>Akum. Penyusutan Sewa</t>
  </si>
  <si>
    <t>Tanggal Mulai</t>
  </si>
  <si>
    <t>Tanggal Berakhir</t>
  </si>
  <si>
    <t>6-100</t>
  </si>
  <si>
    <t>6-200</t>
  </si>
  <si>
    <t>6-300</t>
  </si>
  <si>
    <t>JUMLAH</t>
  </si>
  <si>
    <t xml:space="preserve">Cek </t>
  </si>
  <si>
    <t>Pengecekan Neraca</t>
  </si>
  <si>
    <t>Klausa</t>
  </si>
  <si>
    <t>Hari, tanggal</t>
  </si>
  <si>
    <t>Toko</t>
  </si>
  <si>
    <t>Paket</t>
  </si>
  <si>
    <t>Resell</t>
  </si>
  <si>
    <t>kantin</t>
  </si>
  <si>
    <t>Pesanan</t>
  </si>
  <si>
    <t>Jmlh</t>
  </si>
  <si>
    <t>Total</t>
  </si>
  <si>
    <t>Titipan</t>
  </si>
  <si>
    <t>Credit</t>
  </si>
  <si>
    <t>Saldo</t>
  </si>
  <si>
    <t>Senin</t>
  </si>
  <si>
    <t>Selasa</t>
  </si>
  <si>
    <t>Rabu</t>
  </si>
  <si>
    <t>Kamis</t>
  </si>
  <si>
    <t>Jumat</t>
  </si>
  <si>
    <t>Sabtu</t>
  </si>
  <si>
    <t>Minggu</t>
  </si>
  <si>
    <t>Rekap sebulan</t>
  </si>
  <si>
    <t xml:space="preserve">Jumlah </t>
  </si>
  <si>
    <t>AKTIVA</t>
  </si>
  <si>
    <t>PASSIVA</t>
  </si>
  <si>
    <t>4-400</t>
  </si>
  <si>
    <t>Mutasi Laba</t>
  </si>
  <si>
    <t>MUTASI LABA</t>
  </si>
  <si>
    <t>Akun %</t>
  </si>
  <si>
    <t>Neraca Final</t>
  </si>
  <si>
    <t>8-000</t>
  </si>
  <si>
    <t>8-100</t>
  </si>
  <si>
    <t>8-200</t>
  </si>
  <si>
    <t>Empty Akun</t>
  </si>
  <si>
    <t>KLAUSA CAKE</t>
  </si>
  <si>
    <t>Awal Periode</t>
  </si>
  <si>
    <t>Periode Berjalan</t>
  </si>
  <si>
    <t>Akhir Periode</t>
  </si>
  <si>
    <t>Saham Aris</t>
  </si>
  <si>
    <t>Saham Wildan</t>
  </si>
  <si>
    <t>JUMLAH DEBET</t>
  </si>
  <si>
    <t>JUMLAH KREDIT</t>
  </si>
  <si>
    <t>BSM 1</t>
  </si>
  <si>
    <t>BSM 2</t>
  </si>
  <si>
    <t>Kas total</t>
  </si>
  <si>
    <t>Kas kecil</t>
  </si>
  <si>
    <t>Jumlah</t>
  </si>
  <si>
    <t>Selisih</t>
  </si>
  <si>
    <t>Harga jual produk rata-rata</t>
  </si>
  <si>
    <t>Total produk yang dijual</t>
  </si>
  <si>
    <t>HPP</t>
  </si>
  <si>
    <t>Total biaya</t>
  </si>
  <si>
    <t>Total Pendapatan</t>
  </si>
  <si>
    <t>(klausa dan titipan)</t>
  </si>
  <si>
    <t>Minggu 1</t>
  </si>
  <si>
    <t>Minggu 2</t>
  </si>
  <si>
    <t>Minggu 3</t>
  </si>
  <si>
    <t>Minggu 4</t>
  </si>
  <si>
    <t>Minggu 5</t>
  </si>
  <si>
    <t>Selisih harga jual dengan HPP</t>
  </si>
  <si>
    <t>Perlengkapan bersih</t>
  </si>
  <si>
    <t>Peralatan bersih</t>
  </si>
  <si>
    <t>Nama</t>
  </si>
  <si>
    <t>Modal</t>
  </si>
  <si>
    <t>Jannah</t>
  </si>
  <si>
    <t>Tgl</t>
  </si>
  <si>
    <t xml:space="preserve">Jumat </t>
  </si>
  <si>
    <t>MInggu</t>
  </si>
  <si>
    <t>Periode</t>
  </si>
  <si>
    <t>s/d</t>
  </si>
  <si>
    <t>Pendapatan (A)</t>
  </si>
  <si>
    <t>Potongan (B)</t>
  </si>
  <si>
    <t>Masuk</t>
  </si>
  <si>
    <t>hari</t>
  </si>
  <si>
    <t>x</t>
  </si>
  <si>
    <t>=</t>
  </si>
  <si>
    <t>Lembur</t>
  </si>
  <si>
    <t>jam</t>
  </si>
  <si>
    <t>Izin</t>
  </si>
  <si>
    <t>Sakit</t>
  </si>
  <si>
    <t>(A) - (B)</t>
  </si>
  <si>
    <t>Hitung Uang</t>
  </si>
  <si>
    <t>HARGA POKOK PRODUKSI</t>
  </si>
  <si>
    <t>Bahan Baku Langsung</t>
  </si>
  <si>
    <t>Tenaga Kerja Langsung</t>
  </si>
  <si>
    <t>Overhead Manufaktur</t>
  </si>
  <si>
    <t>Tenaga Kerja Tidak Langsung</t>
  </si>
  <si>
    <t>Pemeliharaan</t>
  </si>
  <si>
    <t>1-110</t>
  </si>
  <si>
    <t>1-120</t>
  </si>
  <si>
    <t>1-130</t>
  </si>
  <si>
    <t>Persediaan Barang Jadi</t>
  </si>
  <si>
    <t>Harga Produk Titipan</t>
  </si>
  <si>
    <t>Biaya Distribusi</t>
  </si>
  <si>
    <t>Penjualan Klausa Cake</t>
  </si>
  <si>
    <t>Pemasaran</t>
  </si>
  <si>
    <t>Tenaga Kerja Penjual</t>
  </si>
  <si>
    <t>Operasional Produksi</t>
  </si>
  <si>
    <t>HARGA POKOK PRODUK TITIPAN</t>
  </si>
  <si>
    <t>Sewa Tempat Penjualan</t>
  </si>
  <si>
    <t>8-300</t>
  </si>
  <si>
    <t>8-400</t>
  </si>
  <si>
    <t>8-500</t>
  </si>
  <si>
    <t>BIAYA OPERASIONAL BISNIS</t>
  </si>
  <si>
    <t>Biaya Lain-lain</t>
  </si>
  <si>
    <t>Air</t>
  </si>
  <si>
    <t>Box</t>
  </si>
  <si>
    <t>Jmlh Penj. Klausa</t>
  </si>
  <si>
    <t>Surplus</t>
  </si>
  <si>
    <t>Jmlh Pesanan</t>
  </si>
  <si>
    <t>Jmlh Penj. Danusan</t>
  </si>
  <si>
    <t>Danusan</t>
  </si>
  <si>
    <t>Diskon</t>
  </si>
  <si>
    <t>Selain</t>
  </si>
  <si>
    <t>Total Klausa</t>
  </si>
  <si>
    <t>Total Bakpao</t>
  </si>
  <si>
    <t>Total Makaroni</t>
  </si>
  <si>
    <t>A.</t>
  </si>
  <si>
    <t>B.</t>
  </si>
  <si>
    <t>C.</t>
  </si>
  <si>
    <t>D.</t>
  </si>
  <si>
    <t>E.</t>
  </si>
  <si>
    <t>F.</t>
  </si>
  <si>
    <t>LABA KOTOR (A-B-C)</t>
  </si>
  <si>
    <t>Uang dari toko</t>
  </si>
  <si>
    <t>Persediaan BBL</t>
  </si>
  <si>
    <t>Persediaan BBTL</t>
  </si>
  <si>
    <t>Dividen</t>
  </si>
  <si>
    <t>Laba ditahan</t>
  </si>
  <si>
    <t>8-600</t>
  </si>
  <si>
    <t>Investasi Pak Irfan</t>
  </si>
  <si>
    <t>Investasi Mas ghofur</t>
  </si>
  <si>
    <t>Riset Produk dan Riset Pasar</t>
  </si>
  <si>
    <t>Laporan Penjualan Usaha Klausa Cake</t>
  </si>
  <si>
    <t>Perlengkapan</t>
  </si>
  <si>
    <t>Piutang</t>
  </si>
  <si>
    <t>Tunjangan Pulsa</t>
  </si>
  <si>
    <t>Slip Gaji Bulan   :</t>
  </si>
  <si>
    <t>8-700</t>
  </si>
  <si>
    <t>Prive</t>
  </si>
  <si>
    <t>Hari</t>
  </si>
  <si>
    <t>Normal</t>
  </si>
  <si>
    <t>Keterangan</t>
  </si>
  <si>
    <t>Terimakasih atas kerja kerasnya bulan ini. Semoga Allah senantiasa melapangkan rizki yang banyak yang barokah kepada kita, Amii...n</t>
  </si>
  <si>
    <t>Proporsi Dividen Investor</t>
  </si>
  <si>
    <t>BBL Klausa Cake</t>
  </si>
  <si>
    <t>Terigu</t>
  </si>
  <si>
    <t>B. Cokelat</t>
  </si>
  <si>
    <t>Gula</t>
  </si>
  <si>
    <t>Mentega</t>
  </si>
  <si>
    <t>Susu Kental Manis</t>
  </si>
  <si>
    <t>Telur</t>
  </si>
  <si>
    <t>Pisang</t>
  </si>
  <si>
    <t>Keju</t>
  </si>
  <si>
    <t>Gas 3 kg</t>
  </si>
  <si>
    <t>Kacang</t>
  </si>
  <si>
    <t>Selai Cokelat</t>
  </si>
  <si>
    <t>Selai Durian</t>
  </si>
  <si>
    <t>Selai Nanas</t>
  </si>
  <si>
    <t>Selai Mangga</t>
  </si>
  <si>
    <t>Pasta Cokelat</t>
  </si>
  <si>
    <t>Pasta Durian</t>
  </si>
  <si>
    <t>Pasta Nanas</t>
  </si>
  <si>
    <t>BBTL Klausa Cake</t>
  </si>
  <si>
    <t>Mika 4A</t>
  </si>
  <si>
    <t>Mika 3A</t>
  </si>
  <si>
    <t>Plastik essay</t>
  </si>
  <si>
    <t>Plastik bawang</t>
  </si>
  <si>
    <t>Kresek kecil</t>
  </si>
  <si>
    <t>Kresek Nanggung</t>
  </si>
  <si>
    <t>Kresek Merah 35</t>
  </si>
  <si>
    <t>Kresek Merah 40</t>
  </si>
  <si>
    <t>HVS</t>
  </si>
  <si>
    <t>BBTL Snack Box</t>
  </si>
  <si>
    <t>Dus 12x14</t>
  </si>
  <si>
    <t>Dus 22x24</t>
  </si>
  <si>
    <t>2 tang gelas</t>
  </si>
  <si>
    <t>Yasmin Gelas</t>
  </si>
  <si>
    <t>PERSEDIAAN BBL</t>
  </si>
  <si>
    <t>PERSEDIAAN BBTL</t>
  </si>
  <si>
    <t>Mika 5A kecil</t>
  </si>
  <si>
    <t>Bapak</t>
  </si>
  <si>
    <t>Mas Ojan</t>
  </si>
  <si>
    <t>Bu Sri</t>
  </si>
  <si>
    <t>Listrik TDP</t>
  </si>
  <si>
    <t>ikat</t>
  </si>
  <si>
    <t>kg</t>
  </si>
  <si>
    <t>rim</t>
  </si>
  <si>
    <t>dus</t>
  </si>
  <si>
    <t>NERACA AWAL</t>
  </si>
  <si>
    <t>STOK BAHAN BAKU</t>
  </si>
  <si>
    <t>1-300</t>
  </si>
  <si>
    <t>1-400</t>
  </si>
  <si>
    <t>1-500</t>
  </si>
  <si>
    <t>1-600</t>
  </si>
  <si>
    <t>1-310</t>
  </si>
  <si>
    <t>1-320</t>
  </si>
  <si>
    <t>1-330</t>
  </si>
  <si>
    <t>2-300</t>
  </si>
  <si>
    <t>2-400</t>
  </si>
  <si>
    <t>2-500</t>
  </si>
  <si>
    <t>2-600</t>
  </si>
  <si>
    <t>2-700</t>
  </si>
  <si>
    <t>2-800</t>
  </si>
  <si>
    <t>2-900</t>
  </si>
  <si>
    <t>3-110</t>
  </si>
  <si>
    <t>3-210</t>
  </si>
  <si>
    <t>3-220</t>
  </si>
  <si>
    <t>3-230</t>
  </si>
  <si>
    <t>5-400</t>
  </si>
  <si>
    <t>5-500</t>
  </si>
  <si>
    <t>6-310</t>
  </si>
  <si>
    <t>6-320</t>
  </si>
  <si>
    <t>6-330</t>
  </si>
  <si>
    <t>6-340</t>
  </si>
  <si>
    <t>6-350</t>
  </si>
  <si>
    <t>6-360</t>
  </si>
  <si>
    <t>6-370</t>
  </si>
  <si>
    <t>8-800</t>
  </si>
  <si>
    <t>9-000</t>
  </si>
  <si>
    <t>9-100</t>
  </si>
  <si>
    <t>9-200</t>
  </si>
  <si>
    <t>9-300</t>
  </si>
  <si>
    <t>9-400</t>
  </si>
  <si>
    <t>9-500</t>
  </si>
  <si>
    <t>9-600</t>
  </si>
  <si>
    <t>A-06</t>
  </si>
  <si>
    <t>Gudang</t>
  </si>
  <si>
    <t>bungkus</t>
  </si>
  <si>
    <t>kaleng</t>
  </si>
  <si>
    <t>pcs</t>
  </si>
  <si>
    <t>galon</t>
  </si>
  <si>
    <t>tabung</t>
  </si>
  <si>
    <t>botol</t>
  </si>
  <si>
    <t>pak</t>
  </si>
  <si>
    <t>STOK AWAL</t>
  </si>
  <si>
    <t>HARGA</t>
  </si>
  <si>
    <t>HARGA PER SATUAN</t>
  </si>
  <si>
    <t>AWAL</t>
  </si>
  <si>
    <t>AKHIR</t>
  </si>
  <si>
    <t>STOK AKHIR</t>
  </si>
  <si>
    <t>KUANTITAS</t>
  </si>
  <si>
    <t>APLIKASI Klausa V.3</t>
  </si>
  <si>
    <t>d-01</t>
  </si>
  <si>
    <t>Peramalan Permintaan Produk Klausa Cake</t>
  </si>
  <si>
    <t>Minggu Ke-</t>
  </si>
  <si>
    <t>Original</t>
  </si>
  <si>
    <t>Durian</t>
  </si>
  <si>
    <t>Nanas</t>
  </si>
  <si>
    <t>Mangga</t>
  </si>
  <si>
    <t>Produksi per hari (pcs)</t>
  </si>
  <si>
    <t>Event</t>
  </si>
  <si>
    <t>Rumus Bahan Baku</t>
  </si>
  <si>
    <t>No</t>
  </si>
  <si>
    <t>Nama Bahan</t>
  </si>
  <si>
    <t>Satuan</t>
  </si>
  <si>
    <t>Ket.</t>
  </si>
  <si>
    <t>Batas ideal</t>
  </si>
  <si>
    <t>200 gram</t>
  </si>
  <si>
    <t>16 pcs</t>
  </si>
  <si>
    <t>10 slices</t>
  </si>
  <si>
    <t>Selai</t>
  </si>
  <si>
    <t>60 ml</t>
  </si>
  <si>
    <t>Pasta</t>
  </si>
  <si>
    <t>18 liter</t>
  </si>
  <si>
    <t>3 kg</t>
  </si>
  <si>
    <t>Mika 5A</t>
  </si>
  <si>
    <t>pack</t>
  </si>
  <si>
    <t>100 pcs</t>
  </si>
  <si>
    <t>50 pcs</t>
  </si>
  <si>
    <t>4 pack</t>
  </si>
  <si>
    <t>5 pack</t>
  </si>
  <si>
    <t>Kresek Merah</t>
  </si>
  <si>
    <t>500 lembar</t>
  </si>
  <si>
    <t>uas</t>
  </si>
  <si>
    <t>Minggu 6</t>
  </si>
  <si>
    <t>a-01</t>
  </si>
  <si>
    <t>a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</si>
  <si>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</si>
  <si>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</si>
  <si>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</si>
  <si>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</si>
  <si>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</si>
  <si>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</si>
  <si>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</si>
  <si>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</si>
  <si>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</si>
  <si>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</si>
  <si>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</si>
  <si>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</si>
  <si>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</si>
  <si>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</si>
  <si>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</si>
  <si>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</si>
  <si>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</si>
  <si>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b</t>
  </si>
  <si>
    <t>b-01</t>
  </si>
  <si>
    <t>b-02</t>
  </si>
  <si>
    <t>b-03</t>
  </si>
  <si>
    <t>b-04</t>
  </si>
  <si>
    <t>b-05</t>
  </si>
  <si>
    <t>b-06</t>
  </si>
  <si>
    <t>b-07</t>
  </si>
  <si>
    <t>b-08</t>
  </si>
  <si>
    <t>b-09</t>
  </si>
  <si>
    <t>b-10</t>
  </si>
  <si>
    <t>c</t>
  </si>
  <si>
    <t>c-01</t>
  </si>
  <si>
    <t>c-02</t>
  </si>
  <si>
    <t>c-03</t>
  </si>
  <si>
    <t>c-04</t>
  </si>
  <si>
    <t>y</t>
  </si>
  <si>
    <t xml:space="preserve">Minggu ke - </t>
  </si>
  <si>
    <t>1 Oktober 2016</t>
  </si>
  <si>
    <t>31 Oktober 2016</t>
  </si>
  <si>
    <t>L</t>
  </si>
  <si>
    <t>wisuda</t>
  </si>
  <si>
    <t>L. Nasional</t>
  </si>
  <si>
    <t>CRM SYSTEM</t>
  </si>
  <si>
    <t>Laba Sebelum ditahan</t>
  </si>
  <si>
    <t>Laba dibagikan</t>
  </si>
  <si>
    <t>Makan</t>
  </si>
  <si>
    <t>Net Profit Margin</t>
  </si>
  <si>
    <t>Alokasi Laba/Rugi</t>
  </si>
  <si>
    <t>Perubahan Stok</t>
  </si>
  <si>
    <t>Danusan Lainnya</t>
  </si>
  <si>
    <t>Air Mineral Gelas</t>
  </si>
  <si>
    <t>Ringkasan Penjualan</t>
  </si>
  <si>
    <t>Penjualan Kotor</t>
  </si>
  <si>
    <t>Penjualan Bersih</t>
  </si>
  <si>
    <t>Grafik Penjualan Harian</t>
  </si>
  <si>
    <t>Penjualan Item (pcs)</t>
  </si>
  <si>
    <t>Penjualan Item (Rp)</t>
  </si>
  <si>
    <t>Stok Terpakai</t>
  </si>
  <si>
    <t>Biaya BBL dan BBTL</t>
  </si>
  <si>
    <t>BIAYA BBL</t>
  </si>
  <si>
    <t>BIAYA BBTL</t>
  </si>
  <si>
    <t>Maret</t>
  </si>
  <si>
    <t>CF</t>
  </si>
  <si>
    <t>Penjualan Klausa</t>
  </si>
  <si>
    <t>Produksi</t>
  </si>
  <si>
    <t>4 rasa</t>
  </si>
  <si>
    <t>Dark</t>
  </si>
  <si>
    <t>250 gr</t>
  </si>
  <si>
    <t>Choco dice</t>
  </si>
  <si>
    <t>Febri</t>
  </si>
  <si>
    <t>April</t>
  </si>
  <si>
    <t>Mei</t>
  </si>
  <si>
    <t>Juni</t>
  </si>
  <si>
    <t>Juli</t>
  </si>
  <si>
    <t>Penyusutan</t>
  </si>
  <si>
    <t>Profit</t>
  </si>
  <si>
    <t>Kas Akhir</t>
  </si>
  <si>
    <t>Kas Awal</t>
  </si>
  <si>
    <t>Klausa Kurang</t>
  </si>
  <si>
    <t>5-600</t>
  </si>
  <si>
    <t>Penjualan Chocofaza</t>
  </si>
  <si>
    <t>Febi</t>
  </si>
  <si>
    <t>6-110</t>
  </si>
  <si>
    <t>6-120</t>
  </si>
  <si>
    <t>BBL Klausa</t>
  </si>
  <si>
    <t>BBL Chocofaza</t>
  </si>
  <si>
    <t>CF 4 rasa</t>
  </si>
  <si>
    <t>CF Dark</t>
  </si>
  <si>
    <t>Chocodice</t>
  </si>
  <si>
    <t>250 gram</t>
  </si>
  <si>
    <t>150 gram</t>
  </si>
  <si>
    <t>box</t>
  </si>
  <si>
    <t>Pak Irfan</t>
  </si>
  <si>
    <t>Mas Ghofur</t>
  </si>
  <si>
    <t>hot</t>
  </si>
  <si>
    <t>blend</t>
  </si>
  <si>
    <t>BBTL Klausa</t>
  </si>
  <si>
    <t>6-380</t>
  </si>
  <si>
    <t>BBTL Chocofaza</t>
  </si>
  <si>
    <t>Profit diambil</t>
  </si>
  <si>
    <t>Pembelian Aset</t>
  </si>
  <si>
    <t>PENDAPATAN</t>
  </si>
  <si>
    <t>Pendapatan Lainnya</t>
  </si>
  <si>
    <t>CUP</t>
  </si>
  <si>
    <t>pal</t>
  </si>
  <si>
    <t>Investasi</t>
  </si>
  <si>
    <t>Keuntungan titipan</t>
  </si>
  <si>
    <t>Total titipan</t>
  </si>
  <si>
    <t>Total Selain</t>
  </si>
  <si>
    <t>Penjualan Dus dan AMDK gelas</t>
  </si>
  <si>
    <t>Penjualan Titipan (Danusan)</t>
  </si>
  <si>
    <t>Operasional</t>
  </si>
  <si>
    <t>Sewa Tempat Produksi</t>
  </si>
  <si>
    <t>awal</t>
  </si>
  <si>
    <t>akhir</t>
  </si>
  <si>
    <t>Infak</t>
  </si>
  <si>
    <t>total</t>
  </si>
  <si>
    <t>Helmi</t>
  </si>
  <si>
    <t>Saham Indra</t>
  </si>
  <si>
    <t>Investasi Pak Paijo</t>
  </si>
  <si>
    <t>4-110</t>
  </si>
  <si>
    <t>4-120</t>
  </si>
  <si>
    <t>4-130</t>
  </si>
  <si>
    <t>4-140</t>
  </si>
  <si>
    <t>Saham Keluarga</t>
  </si>
  <si>
    <t>4-150</t>
  </si>
  <si>
    <t>4-160</t>
  </si>
  <si>
    <t>Saham Karyawan</t>
  </si>
  <si>
    <t>Saham Eksternal</t>
  </si>
  <si>
    <t>mas ghofur</t>
  </si>
  <si>
    <t>aris</t>
  </si>
  <si>
    <t>BBTL</t>
  </si>
  <si>
    <t>Operasi</t>
  </si>
  <si>
    <t>Hibah</t>
  </si>
  <si>
    <t>LABA/RUGI (D-E)</t>
  </si>
  <si>
    <t>Total Danusan</t>
  </si>
  <si>
    <t xml:space="preserve">Bapak </t>
  </si>
  <si>
    <t>Agung</t>
  </si>
  <si>
    <t>Kang ade</t>
  </si>
  <si>
    <t>Filoku</t>
  </si>
  <si>
    <t>Siti</t>
  </si>
  <si>
    <t>Marketing</t>
  </si>
  <si>
    <t>Carnation</t>
  </si>
  <si>
    <t>Yasmin</t>
  </si>
  <si>
    <t>Roti</t>
  </si>
  <si>
    <t>Nampan</t>
  </si>
  <si>
    <t>Telur gula</t>
  </si>
  <si>
    <t>Milk</t>
  </si>
  <si>
    <t>Oats</t>
  </si>
  <si>
    <t>Black</t>
  </si>
  <si>
    <t>2000-an</t>
  </si>
  <si>
    <t>Nur</t>
  </si>
  <si>
    <t>Batas Minimal</t>
  </si>
  <si>
    <t>Batas Maksimal</t>
  </si>
  <si>
    <t>motor</t>
  </si>
  <si>
    <t>hrd</t>
  </si>
  <si>
    <t>c-05</t>
  </si>
  <si>
    <t>Dus 12x12</t>
  </si>
  <si>
    <t>Selai Stroberi</t>
  </si>
  <si>
    <t>neraca 1 agustus</t>
  </si>
  <si>
    <t>indra</t>
  </si>
  <si>
    <t>wildan</t>
  </si>
  <si>
    <t>keluarga</t>
  </si>
  <si>
    <t>perubahan</t>
  </si>
  <si>
    <t>Capital Gain</t>
  </si>
  <si>
    <t>Dividen Saham</t>
  </si>
  <si>
    <t>Bagi Hasil Investor</t>
  </si>
  <si>
    <t>Bagi Hasil yang ditahan</t>
  </si>
  <si>
    <t>PIUTANG</t>
  </si>
  <si>
    <t>Lebihan</t>
  </si>
  <si>
    <t>1500-an</t>
  </si>
  <si>
    <t>Bagi hasil</t>
  </si>
  <si>
    <t>Sherli</t>
  </si>
  <si>
    <t>Ruri</t>
  </si>
  <si>
    <t>Tunjangan Manajer</t>
  </si>
  <si>
    <t>Tabungan Motor</t>
  </si>
  <si>
    <t>Kecepatan</t>
  </si>
  <si>
    <t>Semangat</t>
  </si>
  <si>
    <t>Budaya</t>
  </si>
  <si>
    <t>Proses</t>
  </si>
  <si>
    <t xml:space="preserve">Hasil </t>
  </si>
  <si>
    <t>;</t>
  </si>
  <si>
    <t>Kostan</t>
  </si>
  <si>
    <t>Penilaian Kinerja Karyawan Klausa</t>
  </si>
  <si>
    <t>Indicator</t>
  </si>
  <si>
    <t>kas</t>
  </si>
  <si>
    <t>kang ade</t>
  </si>
  <si>
    <t>kang ade 2</t>
  </si>
  <si>
    <t>Desember</t>
  </si>
  <si>
    <t>BBL</t>
  </si>
  <si>
    <t>Bensin</t>
  </si>
  <si>
    <t>Biaya Bank</t>
  </si>
  <si>
    <t>Gaji Aris</t>
  </si>
  <si>
    <t>Gaji Karyawan</t>
  </si>
  <si>
    <t>Motor Jannah</t>
  </si>
  <si>
    <t>Motor Mio dari HRD</t>
  </si>
  <si>
    <t>Parkir</t>
  </si>
  <si>
    <t>Pengeluaran Toko</t>
  </si>
  <si>
    <t>Penjualan</t>
  </si>
  <si>
    <t>Lebihan penjualan</t>
  </si>
  <si>
    <t>Penjualan CF</t>
  </si>
  <si>
    <t>Penyesuaian BBL</t>
  </si>
  <si>
    <t>Penyesuaian BBTL</t>
  </si>
  <si>
    <t>Penyesuaian Kas Toko</t>
  </si>
  <si>
    <t>Penyesuaian Persediaan CF</t>
  </si>
  <si>
    <t>Penyesuaian Produk Jadi</t>
  </si>
  <si>
    <t>3 teflon</t>
  </si>
  <si>
    <t>titipan 2</t>
  </si>
  <si>
    <t>titipan 3</t>
  </si>
  <si>
    <t>Agung Lunasin Utang</t>
  </si>
  <si>
    <t>Aris</t>
  </si>
  <si>
    <t>Poin pkm</t>
  </si>
  <si>
    <t>Farid</t>
  </si>
  <si>
    <t>Adin</t>
  </si>
  <si>
    <t>KBMI</t>
  </si>
  <si>
    <t>Musy</t>
  </si>
  <si>
    <t>Monev Internal</t>
  </si>
  <si>
    <t>Eksternal</t>
  </si>
  <si>
    <t>Botani</t>
  </si>
  <si>
    <t>Ajeng</t>
  </si>
  <si>
    <t>Agung Ambil</t>
  </si>
  <si>
    <t>Utang</t>
  </si>
  <si>
    <t>Hadist</t>
  </si>
  <si>
    <t>Telur 1 peti</t>
  </si>
  <si>
    <t>Gula 10 kg</t>
  </si>
  <si>
    <t>Nota, pulpen, pel, dll</t>
  </si>
  <si>
    <t>Fotografi Marketing</t>
  </si>
  <si>
    <t>Bakpao</t>
  </si>
  <si>
    <t>Maintenance motor</t>
  </si>
  <si>
    <t>Pajak Motor</t>
  </si>
  <si>
    <t>Sponsor Univ Pakuan</t>
  </si>
  <si>
    <t>Lumpia</t>
  </si>
  <si>
    <t>Angkot</t>
  </si>
  <si>
    <t>Ke Curug</t>
  </si>
  <si>
    <t>Kipas</t>
  </si>
  <si>
    <t>Titipan 4</t>
  </si>
  <si>
    <t>Poin maks</t>
  </si>
  <si>
    <t>a-19</t>
  </si>
  <si>
    <t>Pasta stroberi</t>
  </si>
  <si>
    <t>Plastik halal</t>
  </si>
  <si>
    <t>Bonus Akhir Tahun</t>
  </si>
  <si>
    <t>Janah</t>
  </si>
  <si>
    <t>Beli Radio</t>
  </si>
  <si>
    <t>Listrik</t>
  </si>
  <si>
    <t>titipan 5</t>
  </si>
  <si>
    <t>Kesalahan Investasi</t>
  </si>
  <si>
    <t>Pak irfan</t>
  </si>
  <si>
    <t>Wildan</t>
  </si>
  <si>
    <t>Januari</t>
  </si>
  <si>
    <t>Februari</t>
  </si>
  <si>
    <t>Indra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</si>
</sst>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dd\ mmm\ yy"/>
    <numFmt numFmtId="166" formatCode="_([$Rp-421]* #,##0_);_([$Rp-421]* \(#,##0\);_([$Rp-421]* &quot;-&quot;??_);_(@_)"/>
    <numFmt numFmtId="167" formatCode="_(* #,##0.0_);_(* \(#,##0.0\);_(* &quot;-&quot;_);_(@_)"/>
    <numFmt numFmtId="168" formatCode="[$-409]d\-mmm;@"/>
    <numFmt numFmtId="169" formatCode="_(* #,##0.0000_);_(* \(#,##0.0000\);_(* &quot;-&quot;_);_(@_)"/>
    <numFmt numFmtId="170" formatCode="0.0%"/>
    <numFmt numFmtId="171" formatCode="_(* #,##0.0_);_(* \(#,##0.0\);_(* &quot;-&quot;??_);_(@_)"/>
    <numFmt numFmtId="172" formatCode="_(* #,##0_);_(* \(#,##0\);_(* &quot;-&quot;??_);_(@_)"/>
    <numFmt numFmtId="173" formatCode="_(* #,##0.000_);_(* \(#,##0.000\);_(* &quot;-&quot;_);_(@_)"/>
  </numFmts>
  <fonts count="45" x14ac:knownFonts="1">
    <font>
      <sz val="10"/>
      <name val="Arial"/>
    </font>
    <font>
      <sz val="10"/>
      <name val="Arial"/>
      <family val="2"/>
    </font>
    <font>
      <sz val="8"/>
      <name val="Tahom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i/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0"/>
      <color rgb="FF0066FF"/>
      <name val="Calibri"/>
      <family val="2"/>
      <scheme val="minor"/>
    </font>
    <font>
      <sz val="1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</font>
    <font>
      <b/>
      <i/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9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name val="Gabriola"/>
      <family val="5"/>
    </font>
    <font>
      <sz val="24"/>
      <name val="Market Deco"/>
    </font>
    <font>
      <sz val="24"/>
      <name val="Calibri"/>
      <family val="2"/>
      <scheme val="minor"/>
    </font>
    <font>
      <sz val="22"/>
      <name val="Calibri"/>
      <family val="2"/>
      <scheme val="minor"/>
    </font>
    <font>
      <sz val="24"/>
      <name val="Abaddon™"/>
    </font>
    <font>
      <b/>
      <sz val="14"/>
      <name val="Caviar Dreams"/>
      <family val="2"/>
    </font>
    <font>
      <sz val="10"/>
      <color theme="1"/>
      <name val="Calibri"/>
      <family val="2"/>
      <scheme val="minor"/>
    </font>
    <font>
      <sz val="16"/>
      <name val="Market Deco"/>
    </font>
    <font>
      <sz val="18"/>
      <name val="Calibri"/>
      <family val="2"/>
      <scheme val="minor"/>
    </font>
    <font>
      <sz val="10"/>
      <name val="Lao UI"/>
      <family val="2"/>
    </font>
    <font>
      <sz val="11"/>
      <name val="Lao UI"/>
      <family val="2"/>
    </font>
    <font>
      <sz val="10"/>
      <color rgb="FFFF0000"/>
      <name val="Lao UI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1" fillId="0" borderId="0"/>
    <xf numFmtId="9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3" fontId="44" fillId="0" borderId="0" applyFont="0" applyFill="0" applyBorder="0" applyAlignment="0" applyProtection="0"/>
  </cellStyleXfs>
  <cellXfs count="742">
    <xf numFmtId="0" fontId="0" fillId="0" borderId="0" xfId="0"/>
    <xf numFmtId="0" fontId="3" fillId="0" borderId="0" xfId="2" applyFont="1" applyBorder="1"/>
    <xf numFmtId="165" fontId="5" fillId="0" borderId="0" xfId="2" applyNumberFormat="1" applyFont="1" applyBorder="1" applyAlignment="1">
      <alignment horizontal="center"/>
    </xf>
    <xf numFmtId="41" fontId="9" fillId="0" borderId="0" xfId="2" applyNumberFormat="1" applyFont="1" applyBorder="1" applyAlignment="1">
      <alignment horizontal="right"/>
    </xf>
    <xf numFmtId="165" fontId="3" fillId="0" borderId="0" xfId="2" applyNumberFormat="1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41" fontId="3" fillId="0" borderId="0" xfId="2" applyNumberFormat="1" applyFont="1" applyBorder="1"/>
    <xf numFmtId="0" fontId="10" fillId="0" borderId="0" xfId="2" applyFont="1" applyBorder="1"/>
    <xf numFmtId="0" fontId="10" fillId="0" borderId="0" xfId="2" applyFont="1" applyBorder="1" applyAlignment="1">
      <alignment vertical="center"/>
    </xf>
    <xf numFmtId="0" fontId="7" fillId="0" borderId="0" xfId="2" applyFont="1" applyFill="1" applyBorder="1" applyAlignment="1"/>
    <xf numFmtId="0" fontId="10" fillId="0" borderId="0" xfId="2" applyFont="1" applyBorder="1" applyAlignment="1"/>
    <xf numFmtId="0" fontId="11" fillId="0" borderId="0" xfId="2" applyFont="1" applyFill="1" applyBorder="1" applyAlignment="1">
      <alignment horizontal="center"/>
    </xf>
    <xf numFmtId="164" fontId="11" fillId="0" borderId="0" xfId="1" applyNumberFormat="1" applyFont="1" applyFill="1" applyBorder="1" applyAlignment="1">
      <alignment horizontal="center" wrapText="1"/>
    </xf>
    <xf numFmtId="0" fontId="12" fillId="0" borderId="0" xfId="2" applyFont="1" applyFill="1" applyBorder="1" applyAlignment="1">
      <alignment vertical="center"/>
    </xf>
    <xf numFmtId="0" fontId="12" fillId="0" borderId="0" xfId="2" applyFont="1" applyFill="1" applyBorder="1"/>
    <xf numFmtId="0" fontId="8" fillId="2" borderId="0" xfId="2" applyFont="1" applyFill="1" applyBorder="1" applyAlignment="1">
      <alignment wrapText="1"/>
    </xf>
    <xf numFmtId="41" fontId="12" fillId="2" borderId="0" xfId="1" applyFont="1" applyFill="1" applyBorder="1" applyAlignment="1">
      <alignment vertical="center"/>
    </xf>
    <xf numFmtId="0" fontId="12" fillId="2" borderId="0" xfId="2" applyFont="1" applyFill="1" applyBorder="1" applyAlignment="1">
      <alignment horizontal="left" indent="1"/>
    </xf>
    <xf numFmtId="41" fontId="12" fillId="2" borderId="0" xfId="1" applyNumberFormat="1" applyFont="1" applyFill="1" applyBorder="1" applyAlignment="1" applyProtection="1">
      <alignment horizontal="left" vertical="center"/>
      <protection hidden="1"/>
    </xf>
    <xf numFmtId="0" fontId="12" fillId="2" borderId="0" xfId="2" applyFont="1" applyFill="1" applyBorder="1"/>
    <xf numFmtId="41" fontId="12" fillId="2" borderId="0" xfId="1" applyNumberFormat="1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left"/>
    </xf>
    <xf numFmtId="0" fontId="12" fillId="2" borderId="0" xfId="2" applyFont="1" applyFill="1" applyBorder="1" applyAlignment="1">
      <alignment horizontal="left" indent="2"/>
    </xf>
    <xf numFmtId="0" fontId="12" fillId="2" borderId="0" xfId="2" applyFont="1" applyFill="1" applyBorder="1" applyAlignment="1">
      <alignment horizontal="left" indent="3"/>
    </xf>
    <xf numFmtId="41" fontId="12" fillId="2" borderId="0" xfId="2" applyNumberFormat="1" applyFont="1" applyFill="1" applyBorder="1"/>
    <xf numFmtId="0" fontId="8" fillId="2" borderId="0" xfId="2" applyFont="1" applyFill="1" applyBorder="1" applyAlignment="1">
      <alignment horizontal="right" vertical="center" wrapText="1" indent="1"/>
    </xf>
    <xf numFmtId="41" fontId="10" fillId="0" borderId="0" xfId="2" applyNumberFormat="1" applyFont="1" applyBorder="1"/>
    <xf numFmtId="41" fontId="12" fillId="2" borderId="0" xfId="2" applyNumberFormat="1" applyFont="1" applyFill="1" applyBorder="1" applyAlignment="1">
      <alignment horizontal="left" indent="1"/>
    </xf>
    <xf numFmtId="41" fontId="12" fillId="2" borderId="4" xfId="2" applyNumberFormat="1" applyFont="1" applyFill="1" applyBorder="1"/>
    <xf numFmtId="41" fontId="12" fillId="2" borderId="4" xfId="1" applyNumberFormat="1" applyFont="1" applyFill="1" applyBorder="1" applyAlignment="1" applyProtection="1">
      <alignment horizontal="left" vertical="center"/>
      <protection hidden="1"/>
    </xf>
    <xf numFmtId="41" fontId="12" fillId="2" borderId="0" xfId="2" applyNumberFormat="1" applyFont="1" applyFill="1" applyBorder="1" applyAlignment="1">
      <alignment horizontal="left" indent="2"/>
    </xf>
    <xf numFmtId="0" fontId="12" fillId="2" borderId="0" xfId="2" applyFont="1" applyFill="1" applyBorder="1" applyAlignment="1">
      <alignment horizontal="right"/>
    </xf>
    <xf numFmtId="0" fontId="12" fillId="2" borderId="0" xfId="2" applyFont="1" applyFill="1" applyBorder="1" applyAlignment="1">
      <alignment horizontal="right" vertical="center" wrapText="1"/>
    </xf>
    <xf numFmtId="41" fontId="12" fillId="2" borderId="0" xfId="1" applyFont="1" applyFill="1" applyBorder="1"/>
    <xf numFmtId="41" fontId="12" fillId="2" borderId="4" xfId="1" applyFont="1" applyFill="1" applyBorder="1" applyAlignment="1">
      <alignment horizontal="center" vertical="center"/>
    </xf>
    <xf numFmtId="0" fontId="12" fillId="0" borderId="0" xfId="2" applyFont="1"/>
    <xf numFmtId="0" fontId="12" fillId="0" borderId="0" xfId="2" applyFont="1" applyFill="1" applyBorder="1" applyAlignment="1">
      <alignment horizontal="center" vertical="center" wrapText="1"/>
    </xf>
    <xf numFmtId="41" fontId="12" fillId="0" borderId="0" xfId="2" applyNumberFormat="1" applyFont="1"/>
    <xf numFmtId="0" fontId="12" fillId="4" borderId="0" xfId="2" applyFont="1" applyFill="1" applyBorder="1"/>
    <xf numFmtId="0" fontId="12" fillId="2" borderId="1" xfId="2" applyFont="1" applyFill="1" applyBorder="1"/>
    <xf numFmtId="0" fontId="12" fillId="2" borderId="1" xfId="2" applyFont="1" applyFill="1" applyBorder="1" applyAlignment="1">
      <alignment horizontal="left" indent="1"/>
    </xf>
    <xf numFmtId="41" fontId="3" fillId="0" borderId="0" xfId="1" applyFont="1" applyBorder="1"/>
    <xf numFmtId="165" fontId="3" fillId="2" borderId="1" xfId="2" applyNumberFormat="1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2" borderId="1" xfId="2" applyFont="1" applyFill="1" applyBorder="1" applyAlignment="1">
      <alignment horizontal="left" indent="1"/>
    </xf>
    <xf numFmtId="41" fontId="3" fillId="2" borderId="1" xfId="2" applyNumberFormat="1" applyFont="1" applyFill="1" applyBorder="1"/>
    <xf numFmtId="0" fontId="10" fillId="0" borderId="0" xfId="2" applyFont="1" applyBorder="1" applyAlignment="1">
      <alignment horizontal="center"/>
    </xf>
    <xf numFmtId="0" fontId="23" fillId="6" borderId="1" xfId="2" applyFont="1" applyFill="1" applyBorder="1" applyAlignment="1">
      <alignment horizontal="left" indent="1"/>
    </xf>
    <xf numFmtId="0" fontId="12" fillId="3" borderId="0" xfId="2" applyFont="1" applyFill="1" applyBorder="1" applyAlignment="1">
      <alignment horizontal="left" indent="1"/>
    </xf>
    <xf numFmtId="41" fontId="12" fillId="0" borderId="0" xfId="2" applyNumberFormat="1" applyFont="1" applyFill="1" applyBorder="1"/>
    <xf numFmtId="0" fontId="26" fillId="0" borderId="0" xfId="0" applyFont="1"/>
    <xf numFmtId="0" fontId="20" fillId="0" borderId="0" xfId="0" applyFont="1"/>
    <xf numFmtId="0" fontId="26" fillId="5" borderId="0" xfId="0" applyFont="1" applyFill="1"/>
    <xf numFmtId="166" fontId="26" fillId="0" borderId="11" xfId="0" applyNumberFormat="1" applyFont="1" applyBorder="1"/>
    <xf numFmtId="41" fontId="26" fillId="0" borderId="11" xfId="0" applyNumberFormat="1" applyFont="1" applyBorder="1"/>
    <xf numFmtId="166" fontId="26" fillId="5" borderId="11" xfId="1" applyNumberFormat="1" applyFont="1" applyFill="1" applyBorder="1"/>
    <xf numFmtId="0" fontId="26" fillId="0" borderId="11" xfId="0" applyFont="1" applyBorder="1"/>
    <xf numFmtId="42" fontId="26" fillId="0" borderId="11" xfId="5" applyFont="1" applyBorder="1"/>
    <xf numFmtId="42" fontId="26" fillId="5" borderId="11" xfId="5" applyFont="1" applyFill="1" applyBorder="1"/>
    <xf numFmtId="42" fontId="26" fillId="0" borderId="12" xfId="0" applyNumberFormat="1" applyFont="1" applyBorder="1"/>
    <xf numFmtId="42" fontId="26" fillId="0" borderId="11" xfId="0" applyNumberFormat="1" applyFont="1" applyBorder="1"/>
    <xf numFmtId="0" fontId="26" fillId="0" borderId="7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41" fontId="26" fillId="0" borderId="14" xfId="0" applyNumberFormat="1" applyFont="1" applyBorder="1"/>
    <xf numFmtId="42" fontId="26" fillId="5" borderId="14" xfId="5" applyFont="1" applyFill="1" applyBorder="1"/>
    <xf numFmtId="0" fontId="26" fillId="0" borderId="14" xfId="0" applyFont="1" applyBorder="1"/>
    <xf numFmtId="42" fontId="26" fillId="0" borderId="15" xfId="0" applyNumberFormat="1" applyFont="1" applyBorder="1"/>
    <xf numFmtId="41" fontId="12" fillId="0" borderId="0" xfId="1" applyFont="1"/>
    <xf numFmtId="0" fontId="0" fillId="0" borderId="0" xfId="0" applyAlignment="1">
      <alignment horizontal="center"/>
    </xf>
    <xf numFmtId="41" fontId="12" fillId="2" borderId="6" xfId="2" applyNumberFormat="1" applyFont="1" applyFill="1" applyBorder="1"/>
    <xf numFmtId="0" fontId="24" fillId="2" borderId="0" xfId="2" applyFont="1" applyFill="1" applyBorder="1" applyAlignment="1">
      <alignment horizontal="left" indent="2"/>
    </xf>
    <xf numFmtId="0" fontId="12" fillId="0" borderId="0" xfId="2" applyFont="1" applyBorder="1" applyAlignment="1"/>
    <xf numFmtId="0" fontId="12" fillId="0" borderId="0" xfId="2" applyFont="1" applyBorder="1" applyAlignment="1">
      <alignment vertical="center"/>
    </xf>
    <xf numFmtId="0" fontId="12" fillId="0" borderId="0" xfId="2" applyFont="1" applyBorder="1"/>
    <xf numFmtId="0" fontId="12" fillId="0" borderId="0" xfId="2" applyFont="1" applyFill="1" applyBorder="1" applyAlignment="1">
      <alignment vertical="center" shrinkToFit="1"/>
    </xf>
    <xf numFmtId="0" fontId="8" fillId="2" borderId="1" xfId="2" applyFont="1" applyFill="1" applyBorder="1"/>
    <xf numFmtId="41" fontId="29" fillId="2" borderId="1" xfId="1" applyNumberFormat="1" applyFont="1" applyFill="1" applyBorder="1" applyAlignment="1">
      <alignment vertical="center" wrapText="1"/>
    </xf>
    <xf numFmtId="0" fontId="8" fillId="2" borderId="1" xfId="2" applyFont="1" applyFill="1" applyBorder="1" applyAlignment="1">
      <alignment horizontal="left" indent="1"/>
    </xf>
    <xf numFmtId="41" fontId="8" fillId="2" borderId="1" xfId="1" applyNumberFormat="1" applyFont="1" applyFill="1" applyBorder="1" applyAlignment="1">
      <alignment horizontal="left" vertical="center" wrapText="1"/>
    </xf>
    <xf numFmtId="0" fontId="12" fillId="0" borderId="0" xfId="2" applyFont="1" applyFill="1" applyBorder="1" applyAlignment="1">
      <alignment horizontal="left" vertical="center" indent="1"/>
    </xf>
    <xf numFmtId="41" fontId="12" fillId="2" borderId="1" xfId="2" applyNumberFormat="1" applyFont="1" applyFill="1" applyBorder="1" applyAlignment="1">
      <alignment horizontal="left" vertical="center" indent="1"/>
    </xf>
    <xf numFmtId="0" fontId="12" fillId="2" borderId="1" xfId="2" applyFont="1" applyFill="1" applyBorder="1" applyAlignment="1">
      <alignment horizontal="left" indent="2"/>
    </xf>
    <xf numFmtId="41" fontId="12" fillId="2" borderId="1" xfId="1" applyNumberFormat="1" applyFont="1" applyFill="1" applyBorder="1" applyAlignment="1">
      <alignment horizontal="left" vertical="center" wrapText="1"/>
    </xf>
    <xf numFmtId="0" fontId="12" fillId="0" borderId="0" xfId="2" applyFont="1" applyFill="1" applyBorder="1" applyAlignment="1">
      <alignment horizontal="left" vertical="center" indent="2"/>
    </xf>
    <xf numFmtId="0" fontId="12" fillId="0" borderId="0" xfId="2" applyFont="1" applyFill="1" applyBorder="1" applyAlignment="1">
      <alignment horizontal="left" vertical="center" indent="3"/>
    </xf>
    <xf numFmtId="41" fontId="12" fillId="2" borderId="1" xfId="1" applyNumberFormat="1" applyFont="1" applyFill="1" applyBorder="1" applyAlignment="1" applyProtection="1">
      <alignment horizontal="left" vertical="center"/>
      <protection hidden="1"/>
    </xf>
    <xf numFmtId="0" fontId="12" fillId="0" borderId="0" xfId="2" applyFont="1" applyFill="1" applyBorder="1" applyAlignment="1">
      <alignment horizontal="left" vertical="center" indent="5"/>
    </xf>
    <xf numFmtId="41" fontId="12" fillId="0" borderId="0" xfId="2" applyNumberFormat="1" applyFont="1" applyBorder="1"/>
    <xf numFmtId="0" fontId="24" fillId="2" borderId="1" xfId="2" applyFont="1" applyFill="1" applyBorder="1" applyAlignment="1">
      <alignment horizontal="left" indent="2"/>
    </xf>
    <xf numFmtId="41" fontId="12" fillId="0" borderId="0" xfId="1" applyFont="1" applyBorder="1"/>
    <xf numFmtId="41" fontId="12" fillId="0" borderId="0" xfId="1" applyFont="1" applyFill="1" applyBorder="1"/>
    <xf numFmtId="0" fontId="8" fillId="2" borderId="1" xfId="2" applyFont="1" applyFill="1" applyBorder="1" applyAlignment="1">
      <alignment horizontal="right" vertical="center" indent="1"/>
    </xf>
    <xf numFmtId="0" fontId="12" fillId="0" borderId="0" xfId="2" applyFont="1" applyFill="1" applyBorder="1" applyAlignment="1">
      <alignment horizontal="left" vertical="center" indent="4"/>
    </xf>
    <xf numFmtId="0" fontId="12" fillId="2" borderId="1" xfId="2" applyFont="1" applyFill="1" applyBorder="1" applyAlignment="1">
      <alignment horizontal="left" vertical="center" indent="4"/>
    </xf>
    <xf numFmtId="0" fontId="12" fillId="0" borderId="0" xfId="2" applyFont="1" applyBorder="1" applyAlignment="1">
      <alignment horizontal="right"/>
    </xf>
    <xf numFmtId="0" fontId="12" fillId="0" borderId="0" xfId="2" applyFont="1" applyFill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41" fontId="16" fillId="0" borderId="1" xfId="1" applyFont="1" applyBorder="1"/>
    <xf numFmtId="0" fontId="16" fillId="0" borderId="21" xfId="0" applyFont="1" applyBorder="1" applyAlignment="1">
      <alignment horizontal="left" vertical="center"/>
    </xf>
    <xf numFmtId="41" fontId="16" fillId="5" borderId="1" xfId="1" applyFont="1" applyFill="1" applyBorder="1"/>
    <xf numFmtId="0" fontId="8" fillId="0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/>
    </xf>
    <xf numFmtId="0" fontId="30" fillId="2" borderId="0" xfId="2" applyFont="1" applyFill="1" applyBorder="1" applyAlignment="1">
      <alignment horizontal="center"/>
    </xf>
    <xf numFmtId="0" fontId="12" fillId="0" borderId="0" xfId="0" applyFont="1" applyBorder="1"/>
    <xf numFmtId="16" fontId="3" fillId="2" borderId="1" xfId="2" applyNumberFormat="1" applyFont="1" applyFill="1" applyBorder="1" applyAlignment="1">
      <alignment horizontal="center"/>
    </xf>
    <xf numFmtId="41" fontId="16" fillId="5" borderId="10" xfId="1" applyFont="1" applyFill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2" fillId="0" borderId="0" xfId="0" applyFont="1" applyFill="1" applyBorder="1"/>
    <xf numFmtId="41" fontId="12" fillId="0" borderId="0" xfId="0" applyNumberFormat="1" applyFont="1" applyBorder="1"/>
    <xf numFmtId="41" fontId="16" fillId="0" borderId="1" xfId="1" applyNumberFormat="1" applyFont="1" applyBorder="1"/>
    <xf numFmtId="164" fontId="12" fillId="0" borderId="0" xfId="2" applyNumberFormat="1" applyFont="1" applyBorder="1"/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26" fillId="2" borderId="0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0" xfId="0" applyFont="1" applyFill="1" applyBorder="1"/>
    <xf numFmtId="0" fontId="12" fillId="3" borderId="0" xfId="0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 vertical="center"/>
    </xf>
    <xf numFmtId="41" fontId="12" fillId="2" borderId="1" xfId="1" applyNumberFormat="1" applyFont="1" applyFill="1" applyBorder="1" applyAlignment="1">
      <alignment horizontal="left" vertical="center"/>
    </xf>
    <xf numFmtId="0" fontId="0" fillId="0" borderId="0" xfId="0" applyFill="1"/>
    <xf numFmtId="9" fontId="12" fillId="2" borderId="0" xfId="2" applyNumberFormat="1" applyFont="1" applyFill="1" applyBorder="1" applyAlignment="1">
      <alignment horizontal="right"/>
    </xf>
    <xf numFmtId="10" fontId="12" fillId="0" borderId="0" xfId="4" applyNumberFormat="1" applyFont="1" applyBorder="1"/>
    <xf numFmtId="0" fontId="12" fillId="3" borderId="9" xfId="0" applyFont="1" applyFill="1" applyBorder="1"/>
    <xf numFmtId="0" fontId="12" fillId="3" borderId="37" xfId="0" applyFont="1" applyFill="1" applyBorder="1"/>
    <xf numFmtId="0" fontId="12" fillId="3" borderId="38" xfId="0" applyFont="1" applyFill="1" applyBorder="1"/>
    <xf numFmtId="0" fontId="12" fillId="2" borderId="0" xfId="0" applyFont="1" applyFill="1" applyBorder="1"/>
    <xf numFmtId="0" fontId="12" fillId="3" borderId="7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49" fontId="12" fillId="3" borderId="0" xfId="2" applyNumberFormat="1" applyFont="1" applyFill="1" applyBorder="1" applyAlignment="1">
      <alignment horizontal="center"/>
    </xf>
    <xf numFmtId="0" fontId="24" fillId="3" borderId="0" xfId="2" applyFont="1" applyFill="1" applyBorder="1" applyAlignment="1">
      <alignment horizontal="left" indent="1"/>
    </xf>
    <xf numFmtId="41" fontId="12" fillId="3" borderId="0" xfId="1" applyNumberFormat="1" applyFont="1" applyFill="1" applyBorder="1" applyAlignment="1">
      <alignment horizontal="right" vertical="center"/>
    </xf>
    <xf numFmtId="49" fontId="12" fillId="2" borderId="0" xfId="2" applyNumberFormat="1" applyFont="1" applyFill="1" applyBorder="1" applyAlignment="1">
      <alignment horizontal="center"/>
    </xf>
    <xf numFmtId="0" fontId="24" fillId="2" borderId="0" xfId="2" applyFont="1" applyFill="1" applyBorder="1" applyAlignment="1">
      <alignment horizontal="left" indent="1"/>
    </xf>
    <xf numFmtId="41" fontId="12" fillId="2" borderId="0" xfId="1" applyNumberFormat="1" applyFont="1" applyFill="1" applyBorder="1" applyAlignment="1">
      <alignment horizontal="right" vertical="center"/>
    </xf>
    <xf numFmtId="49" fontId="12" fillId="3" borderId="0" xfId="2" quotePrefix="1" applyNumberFormat="1" applyFont="1" applyFill="1" applyBorder="1" applyAlignment="1">
      <alignment horizontal="center"/>
    </xf>
    <xf numFmtId="49" fontId="12" fillId="2" borderId="0" xfId="2" quotePrefix="1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24" fillId="3" borderId="0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left" vertical="center" indent="1"/>
    </xf>
    <xf numFmtId="0" fontId="19" fillId="0" borderId="0" xfId="2" applyFont="1" applyBorder="1" applyAlignment="1">
      <alignment horizontal="right"/>
    </xf>
    <xf numFmtId="0" fontId="18" fillId="0" borderId="0" xfId="2" applyFont="1" applyBorder="1" applyAlignment="1">
      <alignment horizontal="right"/>
    </xf>
    <xf numFmtId="0" fontId="8" fillId="7" borderId="0" xfId="2" applyFont="1" applyFill="1" applyBorder="1" applyAlignment="1">
      <alignment horizontal="center" vertical="center" wrapText="1"/>
    </xf>
    <xf numFmtId="49" fontId="12" fillId="7" borderId="0" xfId="2" applyNumberFormat="1" applyFont="1" applyFill="1" applyBorder="1" applyAlignment="1">
      <alignment horizontal="center"/>
    </xf>
    <xf numFmtId="0" fontId="24" fillId="7" borderId="0" xfId="2" applyFont="1" applyFill="1" applyBorder="1" applyAlignment="1">
      <alignment horizontal="left" indent="1"/>
    </xf>
    <xf numFmtId="0" fontId="12" fillId="7" borderId="0" xfId="2" applyFont="1" applyFill="1" applyBorder="1" applyAlignment="1">
      <alignment horizontal="left" indent="1"/>
    </xf>
    <xf numFmtId="41" fontId="12" fillId="7" borderId="0" xfId="1" applyFont="1" applyFill="1" applyBorder="1" applyAlignment="1">
      <alignment horizontal="right" vertical="center"/>
    </xf>
    <xf numFmtId="49" fontId="12" fillId="7" borderId="0" xfId="2" quotePrefix="1" applyNumberFormat="1" applyFont="1" applyFill="1" applyBorder="1" applyAlignment="1">
      <alignment horizontal="center"/>
    </xf>
    <xf numFmtId="41" fontId="12" fillId="7" borderId="0" xfId="1" applyNumberFormat="1" applyFont="1" applyFill="1" applyBorder="1" applyAlignment="1">
      <alignment horizontal="right" vertical="center"/>
    </xf>
    <xf numFmtId="0" fontId="24" fillId="7" borderId="0" xfId="0" applyFont="1" applyFill="1" applyBorder="1" applyAlignment="1">
      <alignment horizontal="left" indent="1"/>
    </xf>
    <xf numFmtId="0" fontId="12" fillId="7" borderId="0" xfId="0" applyFont="1" applyFill="1" applyBorder="1" applyAlignment="1">
      <alignment horizontal="left" indent="1"/>
    </xf>
    <xf numFmtId="1" fontId="12" fillId="7" borderId="0" xfId="2" quotePrefix="1" applyNumberFormat="1" applyFont="1" applyFill="1" applyBorder="1" applyAlignment="1">
      <alignment horizontal="center"/>
    </xf>
    <xf numFmtId="0" fontId="8" fillId="7" borderId="0" xfId="3" applyFont="1" applyFill="1" applyBorder="1" applyAlignment="1">
      <alignment horizontal="center" vertical="center"/>
    </xf>
    <xf numFmtId="0" fontId="12" fillId="7" borderId="0" xfId="2" applyFont="1" applyFill="1" applyBorder="1" applyAlignment="1">
      <alignment vertical="center"/>
    </xf>
    <xf numFmtId="41" fontId="12" fillId="7" borderId="0" xfId="2" applyNumberFormat="1" applyFont="1" applyFill="1" applyBorder="1" applyAlignment="1">
      <alignment vertical="center"/>
    </xf>
    <xf numFmtId="0" fontId="12" fillId="0" borderId="0" xfId="2" applyNumberFormat="1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horizontal="left" vertical="center" wrapText="1" indent="1"/>
    </xf>
    <xf numFmtId="168" fontId="12" fillId="7" borderId="0" xfId="0" applyNumberFormat="1" applyFont="1" applyFill="1" applyBorder="1" applyAlignment="1">
      <alignment horizontal="center"/>
    </xf>
    <xf numFmtId="0" fontId="15" fillId="7" borderId="23" xfId="0" applyFont="1" applyFill="1" applyBorder="1" applyAlignment="1">
      <alignment horizontal="center" vertical="center" wrapText="1"/>
    </xf>
    <xf numFmtId="0" fontId="15" fillId="7" borderId="23" xfId="0" applyFont="1" applyFill="1" applyBorder="1" applyAlignment="1">
      <alignment horizontal="center" vertical="center"/>
    </xf>
    <xf numFmtId="41" fontId="16" fillId="7" borderId="1" xfId="1" applyFont="1" applyFill="1" applyBorder="1" applyAlignment="1">
      <alignment horizontal="center"/>
    </xf>
    <xf numFmtId="41" fontId="16" fillId="7" borderId="10" xfId="1" applyFont="1" applyFill="1" applyBorder="1" applyAlignment="1">
      <alignment horizontal="center"/>
    </xf>
    <xf numFmtId="41" fontId="12" fillId="7" borderId="33" xfId="0" applyNumberFormat="1" applyFont="1" applyFill="1" applyBorder="1"/>
    <xf numFmtId="41" fontId="12" fillId="7" borderId="36" xfId="0" applyNumberFormat="1" applyFont="1" applyFill="1" applyBorder="1"/>
    <xf numFmtId="41" fontId="12" fillId="7" borderId="35" xfId="0" applyNumberFormat="1" applyFont="1" applyFill="1" applyBorder="1"/>
    <xf numFmtId="165" fontId="3" fillId="7" borderId="1" xfId="2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41" fontId="5" fillId="7" borderId="1" xfId="2" applyNumberFormat="1" applyFont="1" applyFill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8" fillId="7" borderId="1" xfId="2" applyFont="1" applyFill="1" applyBorder="1" applyAlignment="1">
      <alignment horizontal="center" vertical="center" shrinkToFit="1"/>
    </xf>
    <xf numFmtId="0" fontId="8" fillId="7" borderId="1" xfId="1" applyNumberFormat="1" applyFont="1" applyFill="1" applyBorder="1" applyAlignment="1">
      <alignment horizontal="center" vertical="center" wrapText="1"/>
    </xf>
    <xf numFmtId="0" fontId="8" fillId="7" borderId="1" xfId="2" applyFont="1" applyFill="1" applyBorder="1" applyAlignment="1">
      <alignment horizontal="right" vertical="center" indent="1"/>
    </xf>
    <xf numFmtId="41" fontId="8" fillId="7" borderId="1" xfId="1" applyNumberFormat="1" applyFont="1" applyFill="1" applyBorder="1" applyAlignment="1">
      <alignment horizontal="center" vertical="center"/>
    </xf>
    <xf numFmtId="41" fontId="8" fillId="7" borderId="1" xfId="1" applyNumberFormat="1" applyFont="1" applyFill="1" applyBorder="1" applyAlignment="1">
      <alignment horizontal="left" vertical="center" wrapText="1"/>
    </xf>
    <xf numFmtId="0" fontId="8" fillId="7" borderId="1" xfId="2" applyFont="1" applyFill="1" applyBorder="1" applyAlignment="1">
      <alignment horizontal="center" vertical="center"/>
    </xf>
    <xf numFmtId="0" fontId="8" fillId="7" borderId="1" xfId="2" applyFont="1" applyFill="1" applyBorder="1" applyAlignment="1">
      <alignment horizontal="center"/>
    </xf>
    <xf numFmtId="0" fontId="8" fillId="7" borderId="0" xfId="2" applyFont="1" applyFill="1" applyBorder="1" applyAlignment="1">
      <alignment horizontal="center"/>
    </xf>
    <xf numFmtId="0" fontId="13" fillId="7" borderId="0" xfId="2" applyFont="1" applyFill="1" applyBorder="1" applyAlignment="1">
      <alignment horizontal="center"/>
    </xf>
    <xf numFmtId="0" fontId="8" fillId="7" borderId="0" xfId="2" applyFont="1" applyFill="1" applyBorder="1" applyAlignment="1">
      <alignment horizontal="left" vertical="center" wrapText="1"/>
    </xf>
    <xf numFmtId="0" fontId="12" fillId="7" borderId="0" xfId="2" applyFont="1" applyFill="1" applyBorder="1" applyAlignment="1">
      <alignment horizontal="left" indent="3"/>
    </xf>
    <xf numFmtId="41" fontId="8" fillId="7" borderId="5" xfId="1" applyNumberFormat="1" applyFont="1" applyFill="1" applyBorder="1" applyAlignment="1">
      <alignment horizontal="center" vertical="center"/>
    </xf>
    <xf numFmtId="41" fontId="8" fillId="7" borderId="5" xfId="1" applyNumberFormat="1" applyFont="1" applyFill="1" applyBorder="1" applyAlignment="1" applyProtection="1">
      <alignment horizontal="left" vertical="center"/>
      <protection hidden="1"/>
    </xf>
    <xf numFmtId="0" fontId="12" fillId="7" borderId="0" xfId="2" applyFont="1" applyFill="1" applyBorder="1"/>
    <xf numFmtId="0" fontId="8" fillId="7" borderId="0" xfId="2" applyFont="1" applyFill="1" applyBorder="1" applyAlignment="1">
      <alignment horizontal="center"/>
    </xf>
    <xf numFmtId="41" fontId="12" fillId="7" borderId="0" xfId="2" applyNumberFormat="1" applyFont="1" applyFill="1" applyBorder="1"/>
    <xf numFmtId="168" fontId="12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7" fontId="0" fillId="2" borderId="0" xfId="1" applyNumberFormat="1" applyFont="1" applyFill="1" applyBorder="1" applyAlignment="1">
      <alignment horizontal="center"/>
    </xf>
    <xf numFmtId="0" fontId="0" fillId="2" borderId="0" xfId="0" applyFill="1"/>
    <xf numFmtId="41" fontId="0" fillId="2" borderId="0" xfId="1" applyFont="1" applyFill="1" applyBorder="1" applyAlignment="1">
      <alignment horizontal="center"/>
    </xf>
    <xf numFmtId="41" fontId="0" fillId="2" borderId="0" xfId="1" applyFont="1" applyFill="1"/>
    <xf numFmtId="41" fontId="12" fillId="7" borderId="0" xfId="1" applyFont="1" applyFill="1"/>
    <xf numFmtId="0" fontId="12" fillId="7" borderId="0" xfId="2" applyFont="1" applyFill="1" applyBorder="1" applyAlignment="1">
      <alignment horizontal="right"/>
    </xf>
    <xf numFmtId="41" fontId="12" fillId="7" borderId="0" xfId="1" applyFont="1" applyFill="1" applyBorder="1"/>
    <xf numFmtId="41" fontId="12" fillId="2" borderId="0" xfId="1" applyFont="1" applyFill="1"/>
    <xf numFmtId="0" fontId="12" fillId="2" borderId="0" xfId="2" applyFont="1" applyFill="1" applyBorder="1" applyAlignment="1">
      <alignment horizontal="left"/>
    </xf>
    <xf numFmtId="0" fontId="10" fillId="2" borderId="0" xfId="2" applyFont="1" applyFill="1" applyBorder="1"/>
    <xf numFmtId="0" fontId="10" fillId="2" borderId="0" xfId="2" applyFont="1" applyFill="1" applyBorder="1" applyAlignment="1">
      <alignment horizontal="center"/>
    </xf>
    <xf numFmtId="0" fontId="10" fillId="7" borderId="0" xfId="2" applyFont="1" applyFill="1" applyBorder="1"/>
    <xf numFmtId="0" fontId="10" fillId="7" borderId="0" xfId="2" applyFont="1" applyFill="1" applyBorder="1" applyAlignment="1">
      <alignment horizontal="center"/>
    </xf>
    <xf numFmtId="164" fontId="6" fillId="7" borderId="0" xfId="1" applyNumberFormat="1" applyFont="1" applyFill="1" applyBorder="1" applyAlignment="1">
      <alignment horizontal="center" vertical="center" wrapText="1"/>
    </xf>
    <xf numFmtId="0" fontId="6" fillId="2" borderId="0" xfId="2" applyFont="1" applyFill="1" applyBorder="1"/>
    <xf numFmtId="0" fontId="6" fillId="2" borderId="0" xfId="2" applyFont="1" applyFill="1" applyBorder="1" applyAlignment="1">
      <alignment horizontal="left" indent="1"/>
    </xf>
    <xf numFmtId="41" fontId="6" fillId="2" borderId="0" xfId="1" applyNumberFormat="1" applyFont="1" applyFill="1" applyBorder="1" applyAlignment="1">
      <alignment horizontal="left" vertical="center" wrapText="1"/>
    </xf>
    <xf numFmtId="0" fontId="10" fillId="2" borderId="0" xfId="2" applyFont="1" applyFill="1" applyBorder="1" applyAlignment="1">
      <alignment horizontal="left" indent="2"/>
    </xf>
    <xf numFmtId="41" fontId="10" fillId="2" borderId="0" xfId="1" applyNumberFormat="1" applyFont="1" applyFill="1" applyBorder="1" applyAlignment="1" applyProtection="1">
      <alignment horizontal="left" vertical="center"/>
      <protection hidden="1"/>
    </xf>
    <xf numFmtId="0" fontId="28" fillId="2" borderId="0" xfId="2" applyFont="1" applyFill="1" applyBorder="1" applyAlignment="1">
      <alignment horizontal="left" indent="2"/>
    </xf>
    <xf numFmtId="0" fontId="10" fillId="2" borderId="0" xfId="2" applyFont="1" applyFill="1" applyBorder="1" applyAlignment="1">
      <alignment horizontal="left" vertical="center" indent="2"/>
    </xf>
    <xf numFmtId="41" fontId="10" fillId="2" borderId="0" xfId="1" applyFont="1" applyFill="1" applyBorder="1" applyAlignment="1">
      <alignment horizontal="left" vertical="center" indent="2"/>
    </xf>
    <xf numFmtId="0" fontId="6" fillId="2" borderId="0" xfId="2" applyFont="1" applyFill="1" applyBorder="1" applyAlignment="1"/>
    <xf numFmtId="0" fontId="6" fillId="7" borderId="0" xfId="2" applyFont="1" applyFill="1" applyBorder="1" applyAlignment="1">
      <alignment horizontal="right" vertical="center"/>
    </xf>
    <xf numFmtId="41" fontId="6" fillId="7" borderId="0" xfId="2" applyNumberFormat="1" applyFont="1" applyFill="1" applyBorder="1" applyAlignment="1">
      <alignment horizontal="right" vertical="center"/>
    </xf>
    <xf numFmtId="0" fontId="10" fillId="2" borderId="0" xfId="2" applyFont="1" applyFill="1" applyBorder="1" applyAlignment="1">
      <alignment vertical="center"/>
    </xf>
    <xf numFmtId="0" fontId="6" fillId="2" borderId="0" xfId="2" applyFont="1" applyFill="1" applyBorder="1" applyAlignment="1">
      <alignment horizontal="right" vertical="center"/>
    </xf>
    <xf numFmtId="41" fontId="10" fillId="2" borderId="0" xfId="2" applyNumberFormat="1" applyFont="1" applyFill="1" applyBorder="1" applyAlignment="1">
      <alignment vertical="center"/>
    </xf>
    <xf numFmtId="0" fontId="10" fillId="7" borderId="0" xfId="2" applyFont="1" applyFill="1" applyBorder="1" applyAlignment="1">
      <alignment vertical="center"/>
    </xf>
    <xf numFmtId="0" fontId="10" fillId="7" borderId="0" xfId="2" applyFont="1" applyFill="1" applyBorder="1" applyAlignment="1">
      <alignment horizontal="right" vertical="center"/>
    </xf>
    <xf numFmtId="41" fontId="10" fillId="7" borderId="0" xfId="2" applyNumberFormat="1" applyFont="1" applyFill="1" applyBorder="1" applyAlignment="1">
      <alignment vertical="center"/>
    </xf>
    <xf numFmtId="164" fontId="6" fillId="7" borderId="17" xfId="1" applyNumberFormat="1" applyFont="1" applyFill="1" applyBorder="1" applyAlignment="1">
      <alignment horizontal="center" vertical="center" wrapText="1"/>
    </xf>
    <xf numFmtId="164" fontId="6" fillId="7" borderId="18" xfId="1" applyNumberFormat="1" applyFont="1" applyFill="1" applyBorder="1" applyAlignment="1">
      <alignment horizontal="center" vertical="center" wrapText="1"/>
    </xf>
    <xf numFmtId="41" fontId="6" fillId="2" borderId="17" xfId="1" applyNumberFormat="1" applyFont="1" applyFill="1" applyBorder="1" applyAlignment="1">
      <alignment horizontal="left" vertical="center" wrapText="1"/>
    </xf>
    <xf numFmtId="41" fontId="6" fillId="2" borderId="18" xfId="1" applyNumberFormat="1" applyFont="1" applyFill="1" applyBorder="1" applyAlignment="1">
      <alignment horizontal="left" vertical="center" wrapText="1"/>
    </xf>
    <xf numFmtId="41" fontId="10" fillId="2" borderId="17" xfId="1" applyNumberFormat="1" applyFont="1" applyFill="1" applyBorder="1" applyAlignment="1" applyProtection="1">
      <alignment horizontal="left" vertical="center"/>
      <protection hidden="1"/>
    </xf>
    <xf numFmtId="41" fontId="10" fillId="2" borderId="18" xfId="1" applyNumberFormat="1" applyFont="1" applyFill="1" applyBorder="1" applyAlignment="1" applyProtection="1">
      <alignment horizontal="left" vertical="center"/>
      <protection hidden="1"/>
    </xf>
    <xf numFmtId="41" fontId="10" fillId="2" borderId="17" xfId="1" applyNumberFormat="1" applyFont="1" applyFill="1" applyBorder="1" applyAlignment="1">
      <alignment horizontal="left" vertical="center" wrapText="1"/>
    </xf>
    <xf numFmtId="41" fontId="10" fillId="2" borderId="18" xfId="1" applyNumberFormat="1" applyFont="1" applyFill="1" applyBorder="1" applyAlignment="1">
      <alignment horizontal="left" vertical="center" wrapText="1"/>
    </xf>
    <xf numFmtId="0" fontId="6" fillId="2" borderId="17" xfId="2" applyFont="1" applyFill="1" applyBorder="1"/>
    <xf numFmtId="0" fontId="6" fillId="2" borderId="18" xfId="2" applyFont="1" applyFill="1" applyBorder="1"/>
    <xf numFmtId="0" fontId="6" fillId="2" borderId="17" xfId="2" applyFont="1" applyFill="1" applyBorder="1" applyAlignment="1">
      <alignment horizontal="left" indent="1"/>
    </xf>
    <xf numFmtId="0" fontId="6" fillId="2" borderId="18" xfId="2" applyFont="1" applyFill="1" applyBorder="1" applyAlignment="1">
      <alignment horizontal="left" indent="1"/>
    </xf>
    <xf numFmtId="0" fontId="10" fillId="2" borderId="17" xfId="2" applyFont="1" applyFill="1" applyBorder="1"/>
    <xf numFmtId="0" fontId="10" fillId="2" borderId="18" xfId="2" applyFont="1" applyFill="1" applyBorder="1"/>
    <xf numFmtId="41" fontId="6" fillId="7" borderId="17" xfId="2" applyNumberFormat="1" applyFont="1" applyFill="1" applyBorder="1" applyAlignment="1">
      <alignment horizontal="right" vertical="center"/>
    </xf>
    <xf numFmtId="41" fontId="6" fillId="7" borderId="18" xfId="2" applyNumberFormat="1" applyFont="1" applyFill="1" applyBorder="1" applyAlignment="1">
      <alignment horizontal="right" vertical="center"/>
    </xf>
    <xf numFmtId="0" fontId="10" fillId="2" borderId="17" xfId="2" applyFont="1" applyFill="1" applyBorder="1" applyAlignment="1">
      <alignment vertical="center"/>
    </xf>
    <xf numFmtId="0" fontId="10" fillId="2" borderId="18" xfId="2" applyFont="1" applyFill="1" applyBorder="1" applyAlignment="1">
      <alignment vertical="center"/>
    </xf>
    <xf numFmtId="0" fontId="10" fillId="7" borderId="17" xfId="2" applyFont="1" applyFill="1" applyBorder="1" applyAlignment="1">
      <alignment vertical="center"/>
    </xf>
    <xf numFmtId="0" fontId="10" fillId="7" borderId="18" xfId="2" applyFont="1" applyFill="1" applyBorder="1" applyAlignment="1">
      <alignment vertical="center"/>
    </xf>
    <xf numFmtId="41" fontId="10" fillId="2" borderId="18" xfId="1" applyFont="1" applyFill="1" applyBorder="1" applyAlignment="1">
      <alignment vertical="center"/>
    </xf>
    <xf numFmtId="0" fontId="10" fillId="2" borderId="17" xfId="2" applyFont="1" applyFill="1" applyBorder="1" applyAlignment="1">
      <alignment horizontal="left" vertical="center" indent="2"/>
    </xf>
    <xf numFmtId="41" fontId="10" fillId="2" borderId="18" xfId="2" applyNumberFormat="1" applyFont="1" applyFill="1" applyBorder="1" applyAlignment="1">
      <alignment vertical="center"/>
    </xf>
    <xf numFmtId="0" fontId="10" fillId="2" borderId="17" xfId="2" applyFont="1" applyFill="1" applyBorder="1" applyAlignment="1">
      <alignment horizontal="center"/>
    </xf>
    <xf numFmtId="0" fontId="10" fillId="2" borderId="18" xfId="2" applyFont="1" applyFill="1" applyBorder="1" applyAlignment="1">
      <alignment horizontal="center"/>
    </xf>
    <xf numFmtId="49" fontId="10" fillId="2" borderId="17" xfId="2" quotePrefix="1" applyNumberFormat="1" applyFont="1" applyFill="1" applyBorder="1" applyAlignment="1">
      <alignment horizontal="center"/>
    </xf>
    <xf numFmtId="0" fontId="6" fillId="7" borderId="17" xfId="2" applyFont="1" applyFill="1" applyBorder="1" applyAlignment="1">
      <alignment horizontal="right" vertical="center"/>
    </xf>
    <xf numFmtId="0" fontId="6" fillId="7" borderId="18" xfId="2" applyFont="1" applyFill="1" applyBorder="1" applyAlignment="1">
      <alignment horizontal="right" vertical="center"/>
    </xf>
    <xf numFmtId="0" fontId="10" fillId="2" borderId="41" xfId="2" applyFont="1" applyFill="1" applyBorder="1"/>
    <xf numFmtId="0" fontId="6" fillId="2" borderId="6" xfId="2" applyFont="1" applyFill="1" applyBorder="1" applyAlignment="1">
      <alignment horizontal="right"/>
    </xf>
    <xf numFmtId="0" fontId="10" fillId="2" borderId="42" xfId="2" applyFont="1" applyFill="1" applyBorder="1"/>
    <xf numFmtId="41" fontId="10" fillId="2" borderId="17" xfId="2" applyNumberFormat="1" applyFont="1" applyFill="1" applyBorder="1" applyAlignment="1">
      <alignment vertical="center"/>
    </xf>
    <xf numFmtId="41" fontId="10" fillId="7" borderId="17" xfId="2" applyNumberFormat="1" applyFont="1" applyFill="1" applyBorder="1" applyAlignment="1">
      <alignment vertical="center"/>
    </xf>
    <xf numFmtId="41" fontId="10" fillId="7" borderId="18" xfId="2" applyNumberFormat="1" applyFont="1" applyFill="1" applyBorder="1" applyAlignment="1">
      <alignment vertical="center"/>
    </xf>
    <xf numFmtId="41" fontId="6" fillId="2" borderId="20" xfId="1" applyNumberFormat="1" applyFont="1" applyFill="1" applyBorder="1" applyAlignment="1">
      <alignment horizontal="center" vertical="center" wrapText="1"/>
    </xf>
    <xf numFmtId="41" fontId="10" fillId="2" borderId="20" xfId="1" applyNumberFormat="1" applyFont="1" applyFill="1" applyBorder="1" applyAlignment="1" applyProtection="1">
      <alignment horizontal="center" vertical="center"/>
      <protection hidden="1"/>
    </xf>
    <xf numFmtId="0" fontId="6" fillId="2" borderId="20" xfId="2" applyFont="1" applyFill="1" applyBorder="1" applyAlignment="1">
      <alignment horizontal="center"/>
    </xf>
    <xf numFmtId="0" fontId="10" fillId="2" borderId="20" xfId="2" applyFont="1" applyFill="1" applyBorder="1" applyAlignment="1">
      <alignment horizontal="center"/>
    </xf>
    <xf numFmtId="9" fontId="10" fillId="2" borderId="20" xfId="1" applyNumberFormat="1" applyFont="1" applyFill="1" applyBorder="1" applyAlignment="1" applyProtection="1">
      <alignment horizontal="center" vertical="center"/>
      <protection hidden="1"/>
    </xf>
    <xf numFmtId="0" fontId="10" fillId="2" borderId="20" xfId="2" applyFont="1" applyFill="1" applyBorder="1" applyAlignment="1">
      <alignment horizontal="center" vertical="center"/>
    </xf>
    <xf numFmtId="9" fontId="10" fillId="2" borderId="20" xfId="2" applyNumberFormat="1" applyFont="1" applyFill="1" applyBorder="1" applyAlignment="1">
      <alignment horizontal="center"/>
    </xf>
    <xf numFmtId="9" fontId="10" fillId="2" borderId="20" xfId="2" applyNumberFormat="1" applyFont="1" applyFill="1" applyBorder="1" applyAlignment="1">
      <alignment horizontal="center" vertical="center"/>
    </xf>
    <xf numFmtId="41" fontId="10" fillId="7" borderId="20" xfId="2" applyNumberFormat="1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center"/>
    </xf>
    <xf numFmtId="0" fontId="10" fillId="2" borderId="6" xfId="2" applyFont="1" applyFill="1" applyBorder="1" applyAlignment="1">
      <alignment horizontal="center"/>
    </xf>
    <xf numFmtId="41" fontId="12" fillId="2" borderId="0" xfId="1" applyFont="1" applyFill="1" applyAlignment="1">
      <alignment horizontal="right"/>
    </xf>
    <xf numFmtId="0" fontId="0" fillId="7" borderId="1" xfId="0" applyFill="1" applyBorder="1" applyAlignment="1">
      <alignment horizontal="center"/>
    </xf>
    <xf numFmtId="41" fontId="0" fillId="7" borderId="10" xfId="0" applyNumberFormat="1" applyFill="1" applyBorder="1" applyAlignment="1"/>
    <xf numFmtId="41" fontId="0" fillId="7" borderId="2" xfId="1" applyFont="1" applyFill="1" applyBorder="1" applyAlignment="1"/>
    <xf numFmtId="41" fontId="0" fillId="7" borderId="2" xfId="0" applyNumberFormat="1" applyFill="1" applyBorder="1" applyAlignment="1"/>
    <xf numFmtId="0" fontId="0" fillId="2" borderId="0" xfId="0" applyFill="1" applyAlignment="1">
      <alignment horizontal="center"/>
    </xf>
    <xf numFmtId="0" fontId="0" fillId="2" borderId="17" xfId="0" applyFill="1" applyBorder="1"/>
    <xf numFmtId="0" fontId="0" fillId="2" borderId="0" xfId="0" applyFill="1" applyBorder="1"/>
    <xf numFmtId="41" fontId="0" fillId="2" borderId="0" xfId="1" applyFont="1" applyFill="1" applyBorder="1"/>
    <xf numFmtId="41" fontId="0" fillId="2" borderId="18" xfId="1" applyFont="1" applyFill="1" applyBorder="1"/>
    <xf numFmtId="41" fontId="0" fillId="2" borderId="6" xfId="1" applyFont="1" applyFill="1" applyBorder="1" applyAlignment="1"/>
    <xf numFmtId="0" fontId="0" fillId="2" borderId="6" xfId="0" applyFill="1" applyBorder="1" applyAlignment="1"/>
    <xf numFmtId="41" fontId="0" fillId="2" borderId="18" xfId="0" applyNumberFormat="1" applyFill="1" applyBorder="1"/>
    <xf numFmtId="41" fontId="0" fillId="2" borderId="19" xfId="1" applyFont="1" applyFill="1" applyBorder="1"/>
    <xf numFmtId="0" fontId="0" fillId="2" borderId="10" xfId="0" applyFill="1" applyBorder="1" applyAlignment="1">
      <alignment horizontal="center"/>
    </xf>
    <xf numFmtId="41" fontId="0" fillId="2" borderId="2" xfId="1" applyFont="1" applyFill="1" applyBorder="1"/>
    <xf numFmtId="14" fontId="0" fillId="2" borderId="0" xfId="0" applyNumberFormat="1" applyFill="1" applyAlignment="1">
      <alignment horizontal="left"/>
    </xf>
    <xf numFmtId="16" fontId="0" fillId="2" borderId="0" xfId="0" applyNumberFormat="1" applyFill="1" applyAlignment="1">
      <alignment horizontal="left"/>
    </xf>
    <xf numFmtId="16" fontId="0" fillId="2" borderId="0" xfId="0" applyNumberFormat="1" applyFill="1" applyAlignment="1">
      <alignment horizontal="center"/>
    </xf>
    <xf numFmtId="16" fontId="0" fillId="2" borderId="0" xfId="0" applyNumberFormat="1" applyFill="1"/>
    <xf numFmtId="0" fontId="0" fillId="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0" xfId="0" applyFill="1"/>
    <xf numFmtId="41" fontId="0" fillId="7" borderId="0" xfId="0" applyNumberFormat="1" applyFill="1"/>
    <xf numFmtId="0" fontId="12" fillId="0" borderId="0" xfId="2" applyFont="1" applyFill="1" applyBorder="1" applyAlignment="1"/>
    <xf numFmtId="0" fontId="12" fillId="2" borderId="0" xfId="2" applyFont="1" applyFill="1" applyBorder="1" applyAlignment="1">
      <alignment vertical="center"/>
    </xf>
    <xf numFmtId="41" fontId="12" fillId="0" borderId="0" xfId="1" applyFont="1" applyBorder="1" applyAlignment="1">
      <alignment horizontal="left"/>
    </xf>
    <xf numFmtId="41" fontId="12" fillId="0" borderId="0" xfId="1" applyFont="1" applyFill="1" applyBorder="1" applyAlignment="1">
      <alignment horizontal="left"/>
    </xf>
    <xf numFmtId="41" fontId="12" fillId="0" borderId="0" xfId="1" applyFont="1" applyBorder="1" applyAlignment="1"/>
    <xf numFmtId="41" fontId="12" fillId="0" borderId="0" xfId="1" applyFont="1" applyBorder="1" applyAlignment="1">
      <alignment vertical="center"/>
    </xf>
    <xf numFmtId="41" fontId="12" fillId="0" borderId="0" xfId="1" applyFont="1" applyBorder="1" applyAlignment="1">
      <alignment horizontal="center" vertical="center"/>
    </xf>
    <xf numFmtId="0" fontId="12" fillId="2" borderId="0" xfId="1" applyNumberFormat="1" applyFont="1" applyFill="1"/>
    <xf numFmtId="0" fontId="25" fillId="0" borderId="0" xfId="2" applyFont="1" applyFill="1" applyBorder="1" applyAlignment="1">
      <alignment horizontal="center" vertical="top"/>
    </xf>
    <xf numFmtId="0" fontId="10" fillId="2" borderId="17" xfId="2" applyFont="1" applyFill="1" applyBorder="1" applyAlignment="1">
      <alignment horizontal="center" vertical="top"/>
    </xf>
    <xf numFmtId="0" fontId="12" fillId="3" borderId="20" xfId="2" applyFont="1" applyFill="1" applyBorder="1" applyAlignment="1">
      <alignment horizontal="center"/>
    </xf>
    <xf numFmtId="0" fontId="12" fillId="2" borderId="20" xfId="2" applyFont="1" applyFill="1" applyBorder="1" applyAlignment="1">
      <alignment horizontal="center"/>
    </xf>
    <xf numFmtId="0" fontId="12" fillId="3" borderId="20" xfId="2" applyFont="1" applyFill="1" applyBorder="1"/>
    <xf numFmtId="0" fontId="12" fillId="2" borderId="20" xfId="2" applyFont="1" applyFill="1" applyBorder="1"/>
    <xf numFmtId="41" fontId="12" fillId="3" borderId="17" xfId="1" applyFont="1" applyFill="1" applyBorder="1"/>
    <xf numFmtId="0" fontId="12" fillId="3" borderId="18" xfId="2" applyFont="1" applyFill="1" applyBorder="1"/>
    <xf numFmtId="41" fontId="12" fillId="2" borderId="17" xfId="1" applyFont="1" applyFill="1" applyBorder="1"/>
    <xf numFmtId="0" fontId="12" fillId="2" borderId="18" xfId="2" applyFont="1" applyFill="1" applyBorder="1"/>
    <xf numFmtId="167" fontId="12" fillId="3" borderId="20" xfId="1" applyNumberFormat="1" applyFont="1" applyFill="1" applyBorder="1"/>
    <xf numFmtId="167" fontId="12" fillId="2" borderId="20" xfId="1" applyNumberFormat="1" applyFont="1" applyFill="1" applyBorder="1"/>
    <xf numFmtId="41" fontId="12" fillId="3" borderId="20" xfId="0" applyNumberFormat="1" applyFont="1" applyFill="1" applyBorder="1"/>
    <xf numFmtId="41" fontId="12" fillId="2" borderId="20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16" fontId="16" fillId="0" borderId="10" xfId="0" applyNumberFormat="1" applyFont="1" applyBorder="1" applyAlignment="1">
      <alignment horizontal="center"/>
    </xf>
    <xf numFmtId="0" fontId="15" fillId="7" borderId="45" xfId="0" applyFont="1" applyFill="1" applyBorder="1" applyAlignment="1">
      <alignment horizontal="center" vertical="center" wrapText="1"/>
    </xf>
    <xf numFmtId="41" fontId="16" fillId="0" borderId="2" xfId="1" applyFont="1" applyBorder="1"/>
    <xf numFmtId="41" fontId="16" fillId="7" borderId="2" xfId="1" applyFont="1" applyFill="1" applyBorder="1" applyAlignment="1">
      <alignment horizontal="center"/>
    </xf>
    <xf numFmtId="41" fontId="12" fillId="7" borderId="34" xfId="0" applyNumberFormat="1" applyFont="1" applyFill="1" applyBorder="1"/>
    <xf numFmtId="41" fontId="16" fillId="0" borderId="21" xfId="1" applyFont="1" applyBorder="1"/>
    <xf numFmtId="41" fontId="16" fillId="5" borderId="22" xfId="1" applyFont="1" applyFill="1" applyBorder="1"/>
    <xf numFmtId="41" fontId="16" fillId="7" borderId="21" xfId="1" applyFont="1" applyFill="1" applyBorder="1" applyAlignment="1">
      <alignment horizontal="center"/>
    </xf>
    <xf numFmtId="41" fontId="16" fillId="7" borderId="22" xfId="1" applyFont="1" applyFill="1" applyBorder="1" applyAlignment="1">
      <alignment horizontal="center"/>
    </xf>
    <xf numFmtId="41" fontId="12" fillId="7" borderId="50" xfId="0" applyNumberFormat="1" applyFont="1" applyFill="1" applyBorder="1"/>
    <xf numFmtId="0" fontId="15" fillId="7" borderId="45" xfId="0" applyFont="1" applyFill="1" applyBorder="1" applyAlignment="1">
      <alignment horizontal="center" vertical="center"/>
    </xf>
    <xf numFmtId="41" fontId="16" fillId="0" borderId="22" xfId="1" applyFont="1" applyBorder="1"/>
    <xf numFmtId="0" fontId="3" fillId="2" borderId="10" xfId="2" applyFont="1" applyFill="1" applyBorder="1" applyAlignment="1">
      <alignment horizontal="left" indent="1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3" fillId="8" borderId="2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1" fontId="3" fillId="2" borderId="10" xfId="1" applyFont="1" applyFill="1" applyBorder="1"/>
    <xf numFmtId="0" fontId="3" fillId="2" borderId="2" xfId="2" applyFont="1" applyFill="1" applyBorder="1" applyAlignment="1"/>
    <xf numFmtId="41" fontId="3" fillId="2" borderId="2" xfId="1" applyFont="1" applyFill="1" applyBorder="1"/>
    <xf numFmtId="41" fontId="3" fillId="2" borderId="1" xfId="1" applyFont="1" applyFill="1" applyBorder="1"/>
    <xf numFmtId="41" fontId="3" fillId="2" borderId="41" xfId="1" applyFont="1" applyFill="1" applyBorder="1"/>
    <xf numFmtId="0" fontId="3" fillId="2" borderId="42" xfId="0" applyFont="1" applyFill="1" applyBorder="1"/>
    <xf numFmtId="0" fontId="3" fillId="2" borderId="2" xfId="0" applyFont="1" applyFill="1" applyBorder="1"/>
    <xf numFmtId="0" fontId="3" fillId="8" borderId="10" xfId="0" applyFont="1" applyFill="1" applyBorder="1"/>
    <xf numFmtId="41" fontId="3" fillId="2" borderId="39" xfId="1" applyFont="1" applyFill="1" applyBorder="1"/>
    <xf numFmtId="0" fontId="3" fillId="2" borderId="40" xfId="0" applyFont="1" applyFill="1" applyBorder="1"/>
    <xf numFmtId="0" fontId="10" fillId="0" borderId="0" xfId="0" applyFont="1" applyBorder="1"/>
    <xf numFmtId="0" fontId="6" fillId="7" borderId="0" xfId="2" applyFont="1" applyFill="1" applyBorder="1" applyAlignment="1">
      <alignment vertical="center" wrapText="1" shrinkToFit="1"/>
    </xf>
    <xf numFmtId="0" fontId="12" fillId="0" borderId="0" xfId="0" applyFont="1" applyBorder="1" applyAlignment="1">
      <alignment horizontal="center"/>
    </xf>
    <xf numFmtId="0" fontId="8" fillId="8" borderId="1" xfId="2" applyFont="1" applyFill="1" applyBorder="1" applyAlignment="1">
      <alignment horizontal="center" vertical="center"/>
    </xf>
    <xf numFmtId="16" fontId="12" fillId="3" borderId="20" xfId="2" applyNumberFormat="1" applyFont="1" applyFill="1" applyBorder="1" applyAlignment="1">
      <alignment horizontal="center"/>
    </xf>
    <xf numFmtId="41" fontId="16" fillId="0" borderId="10" xfId="1" applyFont="1" applyBorder="1"/>
    <xf numFmtId="41" fontId="12" fillId="0" borderId="2" xfId="1" applyFont="1" applyBorder="1"/>
    <xf numFmtId="41" fontId="16" fillId="7" borderId="16" xfId="1" applyFont="1" applyFill="1" applyBorder="1" applyAlignment="1">
      <alignment horizontal="center"/>
    </xf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2" xfId="0" applyFont="1" applyBorder="1"/>
    <xf numFmtId="0" fontId="12" fillId="0" borderId="44" xfId="0" applyFont="1" applyBorder="1"/>
    <xf numFmtId="0" fontId="12" fillId="0" borderId="38" xfId="0" applyFont="1" applyBorder="1"/>
    <xf numFmtId="0" fontId="12" fillId="0" borderId="0" xfId="0" applyFont="1" applyBorder="1" applyAlignment="1">
      <alignment horizontal="center" vertical="center"/>
    </xf>
    <xf numFmtId="168" fontId="12" fillId="0" borderId="3" xfId="0" applyNumberFormat="1" applyFont="1" applyFill="1" applyBorder="1" applyAlignment="1">
      <alignment horizontal="center"/>
    </xf>
    <xf numFmtId="168" fontId="12" fillId="0" borderId="0" xfId="0" applyNumberFormat="1" applyFont="1" applyFill="1" applyBorder="1" applyAlignment="1">
      <alignment horizontal="center"/>
    </xf>
    <xf numFmtId="0" fontId="12" fillId="0" borderId="39" xfId="0" applyFont="1" applyFill="1" applyBorder="1"/>
    <xf numFmtId="0" fontId="12" fillId="0" borderId="17" xfId="0" applyFont="1" applyFill="1" applyBorder="1"/>
    <xf numFmtId="0" fontId="12" fillId="0" borderId="41" xfId="0" applyFont="1" applyFill="1" applyBorder="1"/>
    <xf numFmtId="168" fontId="12" fillId="3" borderId="0" xfId="1" applyNumberFormat="1" applyFont="1" applyFill="1" applyBorder="1" applyAlignment="1">
      <alignment horizontal="center"/>
    </xf>
    <xf numFmtId="168" fontId="12" fillId="0" borderId="0" xfId="1" applyNumberFormat="1" applyFont="1" applyBorder="1" applyAlignment="1">
      <alignment horizontal="center"/>
    </xf>
    <xf numFmtId="0" fontId="1" fillId="3" borderId="0" xfId="0" applyFont="1" applyFill="1" applyBorder="1" applyAlignment="1"/>
    <xf numFmtId="0" fontId="12" fillId="3" borderId="0" xfId="0" applyFont="1" applyFill="1" applyBorder="1" applyAlignment="1"/>
    <xf numFmtId="168" fontId="12" fillId="0" borderId="43" xfId="0" applyNumberFormat="1" applyFont="1" applyFill="1" applyBorder="1" applyAlignment="1">
      <alignment horizontal="center"/>
    </xf>
    <xf numFmtId="168" fontId="12" fillId="0" borderId="20" xfId="0" applyNumberFormat="1" applyFont="1" applyFill="1" applyBorder="1" applyAlignment="1">
      <alignment horizontal="center"/>
    </xf>
    <xf numFmtId="168" fontId="12" fillId="0" borderId="4" xfId="0" applyNumberFormat="1" applyFont="1" applyFill="1" applyBorder="1" applyAlignment="1">
      <alignment horizontal="center"/>
    </xf>
    <xf numFmtId="168" fontId="12" fillId="0" borderId="6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3" borderId="31" xfId="0" applyNumberFormat="1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52" xfId="0" applyFont="1" applyFill="1" applyBorder="1" applyAlignment="1">
      <alignment horizontal="center" vertical="center"/>
    </xf>
    <xf numFmtId="0" fontId="12" fillId="3" borderId="51" xfId="0" applyFont="1" applyFill="1" applyBorder="1" applyAlignment="1">
      <alignment horizontal="center" vertical="center" wrapText="1"/>
    </xf>
    <xf numFmtId="0" fontId="12" fillId="0" borderId="7" xfId="0" applyNumberFormat="1" applyFont="1" applyFill="1" applyBorder="1" applyAlignment="1">
      <alignment horizontal="center"/>
    </xf>
    <xf numFmtId="0" fontId="12" fillId="0" borderId="8" xfId="0" applyFont="1" applyFill="1" applyBorder="1" applyAlignment="1">
      <alignment horizontal="left"/>
    </xf>
    <xf numFmtId="164" fontId="12" fillId="3" borderId="8" xfId="1" applyNumberFormat="1" applyFont="1" applyFill="1" applyBorder="1"/>
    <xf numFmtId="43" fontId="12" fillId="3" borderId="8" xfId="1" applyNumberFormat="1" applyFont="1" applyFill="1" applyBorder="1" applyAlignment="1"/>
    <xf numFmtId="0" fontId="12" fillId="0" borderId="8" xfId="0" applyFont="1" applyFill="1" applyBorder="1"/>
    <xf numFmtId="0" fontId="12" fillId="0" borderId="9" xfId="0" applyFont="1" applyFill="1" applyBorder="1" applyAlignment="1">
      <alignment horizontal="left"/>
    </xf>
    <xf numFmtId="43" fontId="12" fillId="0" borderId="14" xfId="0" applyNumberFormat="1" applyFont="1" applyFill="1" applyBorder="1"/>
    <xf numFmtId="0" fontId="12" fillId="0" borderId="11" xfId="0" applyNumberFormat="1" applyFont="1" applyFill="1" applyBorder="1" applyAlignment="1">
      <alignment horizontal="center"/>
    </xf>
    <xf numFmtId="164" fontId="12" fillId="3" borderId="0" xfId="1" applyNumberFormat="1" applyFont="1" applyFill="1" applyBorder="1"/>
    <xf numFmtId="43" fontId="12" fillId="3" borderId="0" xfId="1" applyNumberFormat="1" applyFont="1" applyFill="1" applyBorder="1" applyAlignment="1"/>
    <xf numFmtId="0" fontId="12" fillId="0" borderId="37" xfId="0" applyFont="1" applyFill="1" applyBorder="1" applyAlignment="1">
      <alignment horizontal="left"/>
    </xf>
    <xf numFmtId="0" fontId="12" fillId="0" borderId="53" xfId="0" applyNumberFormat="1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164" fontId="12" fillId="3" borderId="6" xfId="1" applyNumberFormat="1" applyFont="1" applyFill="1" applyBorder="1"/>
    <xf numFmtId="43" fontId="12" fillId="3" borderId="6" xfId="1" applyNumberFormat="1" applyFont="1" applyFill="1" applyBorder="1" applyAlignment="1"/>
    <xf numFmtId="0" fontId="12" fillId="0" borderId="6" xfId="0" applyFont="1" applyFill="1" applyBorder="1"/>
    <xf numFmtId="0" fontId="12" fillId="0" borderId="54" xfId="0" applyFont="1" applyFill="1" applyBorder="1" applyAlignment="1">
      <alignment horizontal="left"/>
    </xf>
    <xf numFmtId="0" fontId="12" fillId="0" borderId="55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left"/>
    </xf>
    <xf numFmtId="164" fontId="12" fillId="3" borderId="4" xfId="1" applyNumberFormat="1" applyFont="1" applyFill="1" applyBorder="1"/>
    <xf numFmtId="43" fontId="12" fillId="3" borderId="4" xfId="1" applyNumberFormat="1" applyFont="1" applyFill="1" applyBorder="1" applyAlignment="1"/>
    <xf numFmtId="0" fontId="12" fillId="0" borderId="4" xfId="0" applyFont="1" applyFill="1" applyBorder="1"/>
    <xf numFmtId="0" fontId="12" fillId="0" borderId="56" xfId="0" applyFont="1" applyFill="1" applyBorder="1" applyAlignment="1">
      <alignment horizontal="left"/>
    </xf>
    <xf numFmtId="0" fontId="12" fillId="0" borderId="11" xfId="0" applyFont="1" applyFill="1" applyBorder="1"/>
    <xf numFmtId="169" fontId="12" fillId="3" borderId="0" xfId="1" applyNumberFormat="1" applyFont="1" applyFill="1" applyBorder="1"/>
    <xf numFmtId="0" fontId="12" fillId="0" borderId="14" xfId="0" applyFont="1" applyFill="1" applyBorder="1"/>
    <xf numFmtId="43" fontId="12" fillId="3" borderId="0" xfId="1" applyNumberFormat="1" applyFont="1" applyFill="1" applyBorder="1"/>
    <xf numFmtId="0" fontId="12" fillId="0" borderId="12" xfId="0" applyNumberFormat="1" applyFont="1" applyFill="1" applyBorder="1" applyAlignment="1">
      <alignment horizontal="center"/>
    </xf>
    <xf numFmtId="0" fontId="12" fillId="0" borderId="44" xfId="0" applyFont="1" applyFill="1" applyBorder="1" applyAlignment="1">
      <alignment horizontal="left"/>
    </xf>
    <xf numFmtId="164" fontId="12" fillId="3" borderId="44" xfId="1" applyNumberFormat="1" applyFont="1" applyFill="1" applyBorder="1"/>
    <xf numFmtId="43" fontId="12" fillId="3" borderId="44" xfId="1" applyNumberFormat="1" applyFont="1" applyFill="1" applyBorder="1"/>
    <xf numFmtId="0" fontId="12" fillId="0" borderId="44" xfId="0" applyFont="1" applyFill="1" applyBorder="1"/>
    <xf numFmtId="0" fontId="12" fillId="0" borderId="38" xfId="0" applyFont="1" applyFill="1" applyBorder="1" applyAlignment="1">
      <alignment horizontal="left"/>
    </xf>
    <xf numFmtId="0" fontId="12" fillId="0" borderId="15" xfId="0" applyFont="1" applyFill="1" applyBorder="1"/>
    <xf numFmtId="16" fontId="12" fillId="3" borderId="1" xfId="2" applyNumberFormat="1" applyFont="1" applyFill="1" applyBorder="1" applyAlignment="1">
      <alignment horizontal="center"/>
    </xf>
    <xf numFmtId="0" fontId="12" fillId="3" borderId="1" xfId="2" applyFont="1" applyFill="1" applyBorder="1"/>
    <xf numFmtId="41" fontId="12" fillId="3" borderId="10" xfId="1" applyFont="1" applyFill="1" applyBorder="1"/>
    <xf numFmtId="0" fontId="12" fillId="3" borderId="2" xfId="2" applyFont="1" applyFill="1" applyBorder="1"/>
    <xf numFmtId="167" fontId="12" fillId="3" borderId="1" xfId="1" applyNumberFormat="1" applyFont="1" applyFill="1" applyBorder="1"/>
    <xf numFmtId="41" fontId="12" fillId="3" borderId="1" xfId="0" applyNumberFormat="1" applyFont="1" applyFill="1" applyBorder="1"/>
    <xf numFmtId="0" fontId="12" fillId="3" borderId="1" xfId="2" applyFont="1" applyFill="1" applyBorder="1" applyAlignment="1">
      <alignment horizontal="center"/>
    </xf>
    <xf numFmtId="0" fontId="12" fillId="2" borderId="1" xfId="2" applyFont="1" applyFill="1" applyBorder="1" applyAlignment="1">
      <alignment horizontal="center"/>
    </xf>
    <xf numFmtId="41" fontId="12" fillId="2" borderId="10" xfId="1" applyFont="1" applyFill="1" applyBorder="1"/>
    <xf numFmtId="0" fontId="12" fillId="2" borderId="2" xfId="2" applyFont="1" applyFill="1" applyBorder="1"/>
    <xf numFmtId="167" fontId="12" fillId="2" borderId="1" xfId="1" applyNumberFormat="1" applyFont="1" applyFill="1" applyBorder="1"/>
    <xf numFmtId="41" fontId="12" fillId="2" borderId="1" xfId="0" applyNumberFormat="1" applyFont="1" applyFill="1" applyBorder="1"/>
    <xf numFmtId="41" fontId="12" fillId="3" borderId="1" xfId="1" applyFont="1" applyFill="1" applyBorder="1"/>
    <xf numFmtId="41" fontId="12" fillId="3" borderId="20" xfId="1" applyFont="1" applyFill="1" applyBorder="1"/>
    <xf numFmtId="41" fontId="12" fillId="2" borderId="1" xfId="1" applyFont="1" applyFill="1" applyBorder="1"/>
    <xf numFmtId="41" fontId="12" fillId="2" borderId="20" xfId="1" applyFont="1" applyFill="1" applyBorder="1"/>
    <xf numFmtId="0" fontId="40" fillId="0" borderId="0" xfId="0" applyFont="1" applyFill="1" applyBorder="1" applyAlignment="1">
      <alignment vertical="center"/>
    </xf>
    <xf numFmtId="0" fontId="1" fillId="2" borderId="17" xfId="0" applyFont="1" applyFill="1" applyBorder="1"/>
    <xf numFmtId="9" fontId="12" fillId="0" borderId="0" xfId="4" applyFont="1"/>
    <xf numFmtId="0" fontId="12" fillId="7" borderId="1" xfId="2" applyFont="1" applyFill="1" applyBorder="1" applyAlignment="1">
      <alignment horizontal="center"/>
    </xf>
    <xf numFmtId="0" fontId="8" fillId="7" borderId="0" xfId="2" applyFont="1" applyFill="1" applyBorder="1" applyAlignment="1">
      <alignment horizontal="center"/>
    </xf>
    <xf numFmtId="0" fontId="12" fillId="7" borderId="1" xfId="2" applyFont="1" applyFill="1" applyBorder="1" applyAlignment="1">
      <alignment horizontal="center"/>
    </xf>
    <xf numFmtId="41" fontId="12" fillId="7" borderId="0" xfId="0" applyNumberFormat="1" applyFont="1" applyFill="1" applyBorder="1"/>
    <xf numFmtId="0" fontId="12" fillId="7" borderId="1" xfId="2" applyFont="1" applyFill="1" applyBorder="1"/>
    <xf numFmtId="41" fontId="12" fillId="7" borderId="10" xfId="1" applyFont="1" applyFill="1" applyBorder="1"/>
    <xf numFmtId="0" fontId="12" fillId="7" borderId="2" xfId="2" applyFont="1" applyFill="1" applyBorder="1"/>
    <xf numFmtId="167" fontId="12" fillId="7" borderId="1" xfId="1" applyNumberFormat="1" applyFont="1" applyFill="1" applyBorder="1"/>
    <xf numFmtId="41" fontId="12" fillId="7" borderId="1" xfId="0" applyNumberFormat="1" applyFont="1" applyFill="1" applyBorder="1"/>
    <xf numFmtId="41" fontId="12" fillId="7" borderId="1" xfId="1" applyFont="1" applyFill="1" applyBorder="1"/>
    <xf numFmtId="0" fontId="12" fillId="7" borderId="1" xfId="0" applyFont="1" applyFill="1" applyBorder="1"/>
    <xf numFmtId="0" fontId="12" fillId="7" borderId="20" xfId="2" applyFont="1" applyFill="1" applyBorder="1" applyAlignment="1">
      <alignment horizontal="center"/>
    </xf>
    <xf numFmtId="0" fontId="12" fillId="7" borderId="20" xfId="2" applyFont="1" applyFill="1" applyBorder="1"/>
    <xf numFmtId="41" fontId="12" fillId="7" borderId="17" xfId="1" applyFont="1" applyFill="1" applyBorder="1"/>
    <xf numFmtId="0" fontId="12" fillId="7" borderId="18" xfId="2" applyFont="1" applyFill="1" applyBorder="1"/>
    <xf numFmtId="167" fontId="12" fillId="7" borderId="20" xfId="1" applyNumberFormat="1" applyFont="1" applyFill="1" applyBorder="1"/>
    <xf numFmtId="41" fontId="12" fillId="7" borderId="20" xfId="1" applyFont="1" applyFill="1" applyBorder="1"/>
    <xf numFmtId="0" fontId="8" fillId="7" borderId="1" xfId="0" applyFont="1" applyFill="1" applyBorder="1" applyAlignment="1">
      <alignment horizontal="center" vertical="center"/>
    </xf>
    <xf numFmtId="0" fontId="12" fillId="7" borderId="43" xfId="2" applyFont="1" applyFill="1" applyBorder="1"/>
    <xf numFmtId="41" fontId="12" fillId="7" borderId="39" xfId="1" applyFont="1" applyFill="1" applyBorder="1"/>
    <xf numFmtId="0" fontId="12" fillId="7" borderId="40" xfId="2" applyFont="1" applyFill="1" applyBorder="1"/>
    <xf numFmtId="0" fontId="12" fillId="7" borderId="43" xfId="0" applyFont="1" applyFill="1" applyBorder="1"/>
    <xf numFmtId="0" fontId="41" fillId="0" borderId="0" xfId="0" applyFont="1"/>
    <xf numFmtId="41" fontId="41" fillId="0" borderId="0" xfId="0" applyNumberFormat="1" applyFont="1"/>
    <xf numFmtId="166" fontId="41" fillId="0" borderId="0" xfId="0" applyNumberFormat="1" applyFont="1"/>
    <xf numFmtId="16" fontId="41" fillId="0" borderId="0" xfId="0" applyNumberFormat="1" applyFont="1"/>
    <xf numFmtId="0" fontId="41" fillId="0" borderId="0" xfId="0" applyFont="1" applyBorder="1"/>
    <xf numFmtId="0" fontId="41" fillId="0" borderId="0" xfId="0" applyFont="1" applyBorder="1" applyAlignment="1">
      <alignment horizontal="center" vertical="center"/>
    </xf>
    <xf numFmtId="42" fontId="41" fillId="7" borderId="0" xfId="5" applyFont="1" applyFill="1" applyBorder="1" applyAlignment="1">
      <alignment horizontal="center" vertical="center"/>
    </xf>
    <xf numFmtId="0" fontId="41" fillId="7" borderId="0" xfId="0" applyFont="1" applyFill="1"/>
    <xf numFmtId="0" fontId="41" fillId="10" borderId="0" xfId="0" applyFont="1" applyFill="1" applyBorder="1" applyAlignment="1">
      <alignment horizontal="center" vertical="center"/>
    </xf>
    <xf numFmtId="0" fontId="41" fillId="4" borderId="0" xfId="0" applyFont="1" applyFill="1"/>
    <xf numFmtId="0" fontId="41" fillId="4" borderId="0" xfId="0" applyFont="1" applyFill="1" applyAlignment="1">
      <alignment vertical="center"/>
    </xf>
    <xf numFmtId="0" fontId="43" fillId="7" borderId="0" xfId="0" applyFont="1" applyFill="1"/>
    <xf numFmtId="0" fontId="12" fillId="0" borderId="0" xfId="0" applyFont="1"/>
    <xf numFmtId="0" fontId="12" fillId="3" borderId="1" xfId="0" applyFont="1" applyFill="1" applyBorder="1"/>
    <xf numFmtId="0" fontId="12" fillId="2" borderId="1" xfId="0" applyFont="1" applyFill="1" applyBorder="1"/>
    <xf numFmtId="41" fontId="12" fillId="5" borderId="0" xfId="0" applyNumberFormat="1" applyFont="1" applyFill="1" applyBorder="1"/>
    <xf numFmtId="0" fontId="12" fillId="5" borderId="0" xfId="0" applyFont="1" applyFill="1" applyBorder="1"/>
    <xf numFmtId="41" fontId="12" fillId="0" borderId="0" xfId="0" applyNumberFormat="1" applyFont="1" applyFill="1" applyBorder="1"/>
    <xf numFmtId="0" fontId="0" fillId="2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15" fillId="7" borderId="27" xfId="0" applyFont="1" applyFill="1" applyBorder="1" applyAlignment="1">
      <alignment horizontal="center" vertical="center"/>
    </xf>
    <xf numFmtId="0" fontId="15" fillId="7" borderId="48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5" fillId="7" borderId="26" xfId="0" applyFont="1" applyFill="1" applyBorder="1" applyAlignment="1">
      <alignment vertical="center"/>
    </xf>
    <xf numFmtId="0" fontId="15" fillId="7" borderId="27" xfId="0" applyFont="1" applyFill="1" applyBorder="1" applyAlignment="1">
      <alignment vertical="center"/>
    </xf>
    <xf numFmtId="41" fontId="0" fillId="2" borderId="0" xfId="1" applyFont="1" applyFill="1" applyBorder="1" applyAlignment="1"/>
    <xf numFmtId="0" fontId="0" fillId="2" borderId="0" xfId="0" applyFill="1" applyBorder="1" applyAlignment="1"/>
    <xf numFmtId="41" fontId="12" fillId="0" borderId="0" xfId="0" applyNumberFormat="1" applyFont="1"/>
    <xf numFmtId="0" fontId="12" fillId="7" borderId="1" xfId="2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1" fontId="12" fillId="0" borderId="0" xfId="1" applyFont="1" applyFill="1"/>
    <xf numFmtId="41" fontId="12" fillId="0" borderId="0" xfId="1" applyFont="1" applyFill="1" applyAlignment="1">
      <alignment horizontal="center" vertical="center"/>
    </xf>
    <xf numFmtId="41" fontId="1" fillId="2" borderId="0" xfId="1" applyFont="1" applyFill="1" applyBorder="1" applyAlignment="1">
      <alignment horizontal="center"/>
    </xf>
    <xf numFmtId="0" fontId="12" fillId="0" borderId="0" xfId="0" applyFont="1" applyFill="1"/>
    <xf numFmtId="0" fontId="12" fillId="7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1" fontId="12" fillId="7" borderId="0" xfId="1" applyFont="1" applyFill="1" applyBorder="1" applyAlignment="1">
      <alignment horizontal="center" vertical="center"/>
    </xf>
    <xf numFmtId="41" fontId="12" fillId="7" borderId="0" xfId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7" borderId="0" xfId="1" applyNumberFormat="1" applyFont="1" applyFill="1" applyAlignment="1">
      <alignment horizontal="center"/>
    </xf>
    <xf numFmtId="41" fontId="12" fillId="0" borderId="0" xfId="1" applyFont="1" applyFill="1" applyAlignment="1">
      <alignment horizontal="center"/>
    </xf>
    <xf numFmtId="0" fontId="12" fillId="0" borderId="0" xfId="1" applyNumberFormat="1" applyFont="1" applyFill="1" applyAlignment="1">
      <alignment horizontal="center"/>
    </xf>
    <xf numFmtId="0" fontId="12" fillId="0" borderId="0" xfId="0" applyFont="1" applyFill="1" applyAlignment="1">
      <alignment horizontal="left"/>
    </xf>
    <xf numFmtId="41" fontId="0" fillId="2" borderId="0" xfId="1" applyNumberFormat="1" applyFont="1" applyFill="1" applyBorder="1" applyAlignment="1">
      <alignment horizontal="center"/>
    </xf>
    <xf numFmtId="0" fontId="1" fillId="2" borderId="0" xfId="0" applyFont="1" applyFill="1" applyBorder="1"/>
    <xf numFmtId="41" fontId="0" fillId="0" borderId="0" xfId="0" applyNumberFormat="1"/>
    <xf numFmtId="41" fontId="12" fillId="0" borderId="0" xfId="0" applyNumberFormat="1" applyFont="1" applyFill="1"/>
    <xf numFmtId="170" fontId="12" fillId="0" borderId="0" xfId="4" applyNumberFormat="1" applyFont="1" applyFill="1" applyBorder="1"/>
    <xf numFmtId="9" fontId="12" fillId="0" borderId="0" xfId="4" applyFont="1" applyBorder="1"/>
    <xf numFmtId="41" fontId="16" fillId="7" borderId="17" xfId="1" applyFont="1" applyFill="1" applyBorder="1" applyAlignment="1">
      <alignment horizontal="center"/>
    </xf>
    <xf numFmtId="9" fontId="6" fillId="7" borderId="20" xfId="4" applyFont="1" applyFill="1" applyBorder="1" applyAlignment="1">
      <alignment horizontal="right" vertical="center"/>
    </xf>
    <xf numFmtId="0" fontId="12" fillId="0" borderId="0" xfId="0" applyFont="1" applyAlignment="1">
      <alignment horizontal="center"/>
    </xf>
    <xf numFmtId="41" fontId="12" fillId="0" borderId="0" xfId="1" applyFont="1" applyAlignment="1">
      <alignment horizontal="center"/>
    </xf>
    <xf numFmtId="41" fontId="12" fillId="2" borderId="1" xfId="2" applyNumberFormat="1" applyFont="1" applyFill="1" applyBorder="1" applyAlignment="1">
      <alignment horizontal="left" indent="2"/>
    </xf>
    <xf numFmtId="41" fontId="0" fillId="0" borderId="0" xfId="0" applyNumberFormat="1" applyAlignment="1"/>
    <xf numFmtId="41" fontId="0" fillId="0" borderId="0" xfId="1" applyFont="1"/>
    <xf numFmtId="41" fontId="12" fillId="2" borderId="1" xfId="2" applyNumberFormat="1" applyFont="1" applyFill="1" applyBorder="1" applyAlignment="1">
      <alignment horizontal="left" indent="1"/>
    </xf>
    <xf numFmtId="41" fontId="3" fillId="0" borderId="0" xfId="1" applyFont="1" applyBorder="1" applyAlignment="1">
      <alignment horizontal="center" vertical="center"/>
    </xf>
    <xf numFmtId="10" fontId="12" fillId="0" borderId="0" xfId="4" applyNumberFormat="1" applyFont="1"/>
    <xf numFmtId="41" fontId="3" fillId="0" borderId="0" xfId="1" applyFont="1" applyBorder="1" applyAlignment="1">
      <alignment horizontal="center"/>
    </xf>
    <xf numFmtId="10" fontId="10" fillId="2" borderId="20" xfId="1" applyNumberFormat="1" applyFont="1" applyFill="1" applyBorder="1" applyAlignment="1" applyProtection="1">
      <alignment horizontal="center" vertical="center"/>
      <protection hidden="1"/>
    </xf>
    <xf numFmtId="9" fontId="12" fillId="0" borderId="0" xfId="4" applyNumberFormat="1" applyFont="1"/>
    <xf numFmtId="41" fontId="12" fillId="2" borderId="0" xfId="1" applyFont="1" applyFill="1" applyAlignment="1">
      <alignment horizontal="left"/>
    </xf>
    <xf numFmtId="16" fontId="12" fillId="2" borderId="0" xfId="1" applyNumberFormat="1" applyFont="1" applyFill="1"/>
    <xf numFmtId="16" fontId="3" fillId="0" borderId="0" xfId="1" applyNumberFormat="1" applyFont="1" applyBorder="1" applyAlignment="1">
      <alignment horizontal="left"/>
    </xf>
    <xf numFmtId="41" fontId="3" fillId="0" borderId="0" xfId="1" applyFont="1" applyBorder="1" applyAlignment="1">
      <alignment horizontal="left"/>
    </xf>
    <xf numFmtId="16" fontId="3" fillId="0" borderId="0" xfId="1" applyNumberFormat="1" applyFont="1" applyBorder="1" applyAlignment="1">
      <alignment horizontal="left" vertical="center"/>
    </xf>
    <xf numFmtId="41" fontId="3" fillId="0" borderId="0" xfId="1" applyFont="1" applyBorder="1" applyAlignment="1">
      <alignment horizontal="left" vertical="center"/>
    </xf>
    <xf numFmtId="41" fontId="12" fillId="2" borderId="0" xfId="1" applyNumberFormat="1" applyFont="1" applyFill="1" applyBorder="1" applyAlignment="1">
      <alignment horizontal="left" indent="2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2" fillId="7" borderId="0" xfId="0" applyFont="1" applyFill="1" applyAlignment="1">
      <alignment horizontal="center" vertical="center"/>
    </xf>
    <xf numFmtId="172" fontId="12" fillId="0" borderId="0" xfId="6" applyNumberFormat="1" applyFont="1" applyBorder="1"/>
    <xf numFmtId="0" fontId="12" fillId="0" borderId="0" xfId="0" applyFont="1" applyFill="1" applyAlignment="1">
      <alignment horizontal="center"/>
    </xf>
    <xf numFmtId="171" fontId="12" fillId="2" borderId="0" xfId="6" applyNumberFormat="1" applyFont="1" applyFill="1" applyBorder="1" applyAlignment="1">
      <alignment horizontal="center"/>
    </xf>
    <xf numFmtId="171" fontId="12" fillId="7" borderId="0" xfId="6" applyNumberFormat="1" applyFont="1" applyFill="1" applyBorder="1" applyAlignment="1">
      <alignment horizontal="center"/>
    </xf>
    <xf numFmtId="171" fontId="12" fillId="2" borderId="0" xfId="6" applyNumberFormat="1" applyFont="1" applyFill="1" applyAlignment="1">
      <alignment horizontal="center"/>
    </xf>
    <xf numFmtId="171" fontId="12" fillId="7" borderId="0" xfId="6" applyNumberFormat="1" applyFont="1" applyFill="1" applyAlignment="1">
      <alignment horizontal="center"/>
    </xf>
    <xf numFmtId="171" fontId="12" fillId="0" borderId="0" xfId="6" applyNumberFormat="1" applyFont="1" applyFill="1" applyAlignment="1">
      <alignment horizontal="center"/>
    </xf>
    <xf numFmtId="172" fontId="12" fillId="2" borderId="0" xfId="6" applyNumberFormat="1" applyFont="1" applyFill="1" applyBorder="1" applyAlignment="1">
      <alignment horizontal="center"/>
    </xf>
    <xf numFmtId="172" fontId="12" fillId="7" borderId="0" xfId="6" applyNumberFormat="1" applyFont="1" applyFill="1" applyBorder="1" applyAlignment="1">
      <alignment horizontal="center"/>
    </xf>
    <xf numFmtId="172" fontId="12" fillId="2" borderId="0" xfId="6" applyNumberFormat="1" applyFont="1" applyFill="1" applyAlignment="1">
      <alignment horizontal="center"/>
    </xf>
    <xf numFmtId="172" fontId="12" fillId="7" borderId="0" xfId="6" applyNumberFormat="1" applyFont="1" applyFill="1" applyAlignment="1">
      <alignment horizontal="center"/>
    </xf>
    <xf numFmtId="172" fontId="12" fillId="0" borderId="0" xfId="6" applyNumberFormat="1" applyFont="1" applyFill="1" applyAlignment="1">
      <alignment horizontal="center"/>
    </xf>
    <xf numFmtId="172" fontId="12" fillId="0" borderId="0" xfId="6" applyNumberFormat="1" applyFont="1" applyFill="1" applyBorder="1" applyAlignment="1">
      <alignment horizontal="center"/>
    </xf>
    <xf numFmtId="9" fontId="0" fillId="0" borderId="0" xfId="0" applyNumberFormat="1"/>
    <xf numFmtId="0" fontId="1" fillId="2" borderId="39" xfId="0" applyFont="1" applyFill="1" applyBorder="1" applyAlignment="1">
      <alignment wrapText="1"/>
    </xf>
    <xf numFmtId="41" fontId="0" fillId="2" borderId="40" xfId="1" applyFont="1" applyFill="1" applyBorder="1" applyAlignment="1">
      <alignment vertical="center"/>
    </xf>
    <xf numFmtId="0" fontId="1" fillId="2" borderId="17" xfId="0" applyFont="1" applyFill="1" applyBorder="1" applyAlignment="1">
      <alignment wrapText="1"/>
    </xf>
    <xf numFmtId="41" fontId="0" fillId="2" borderId="18" xfId="1" applyFont="1" applyFill="1" applyBorder="1" applyAlignment="1">
      <alignment vertical="center"/>
    </xf>
    <xf numFmtId="0" fontId="12" fillId="3" borderId="3" xfId="2" applyFont="1" applyFill="1" applyBorder="1" applyAlignment="1">
      <alignment horizontal="center"/>
    </xf>
    <xf numFmtId="9" fontId="12" fillId="0" borderId="0" xfId="4" applyFont="1" applyFill="1" applyBorder="1"/>
    <xf numFmtId="9" fontId="10" fillId="2" borderId="20" xfId="1" applyNumberFormat="1" applyFont="1" applyFill="1" applyBorder="1" applyAlignment="1">
      <alignment horizontal="center"/>
    </xf>
    <xf numFmtId="0" fontId="8" fillId="11" borderId="0" xfId="2" applyFont="1" applyFill="1" applyBorder="1" applyAlignment="1">
      <alignment horizontal="center"/>
    </xf>
    <xf numFmtId="0" fontId="12" fillId="11" borderId="0" xfId="2" applyFont="1" applyFill="1" applyBorder="1"/>
    <xf numFmtId="10" fontId="12" fillId="11" borderId="0" xfId="4" applyNumberFormat="1" applyFont="1" applyFill="1" applyBorder="1"/>
    <xf numFmtId="0" fontId="31" fillId="0" borderId="0" xfId="0" applyFont="1" applyBorder="1" applyAlignment="1">
      <alignment horizontal="center" vertical="top"/>
    </xf>
    <xf numFmtId="0" fontId="15" fillId="7" borderId="0" xfId="0" applyFont="1" applyFill="1" applyBorder="1" applyAlignment="1">
      <alignment horizontal="center" vertical="center" wrapText="1"/>
    </xf>
    <xf numFmtId="41" fontId="16" fillId="7" borderId="0" xfId="1" applyFont="1" applyFill="1" applyBorder="1" applyAlignment="1">
      <alignment horizontal="center"/>
    </xf>
    <xf numFmtId="41" fontId="12" fillId="7" borderId="0" xfId="1" applyFont="1" applyFill="1" applyAlignment="1">
      <alignment horizontal="left"/>
    </xf>
    <xf numFmtId="170" fontId="12" fillId="0" borderId="0" xfId="4" applyNumberFormat="1" applyFont="1"/>
    <xf numFmtId="0" fontId="0" fillId="2" borderId="1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" fillId="2" borderId="0" xfId="0" applyFont="1" applyFill="1"/>
    <xf numFmtId="173" fontId="12" fillId="0" borderId="0" xfId="2" applyNumberFormat="1" applyFont="1" applyBorder="1"/>
    <xf numFmtId="41" fontId="18" fillId="2" borderId="0" xfId="1" applyFont="1" applyFill="1"/>
    <xf numFmtId="0" fontId="1" fillId="0" borderId="0" xfId="0" applyFont="1"/>
    <xf numFmtId="0" fontId="12" fillId="2" borderId="0" xfId="2" applyFont="1" applyFill="1" applyBorder="1" applyAlignment="1">
      <alignment horizontal="right"/>
    </xf>
    <xf numFmtId="41" fontId="12" fillId="0" borderId="0" xfId="1" applyFont="1" applyAlignment="1"/>
    <xf numFmtId="0" fontId="12" fillId="0" borderId="0" xfId="4" applyNumberFormat="1" applyFont="1"/>
    <xf numFmtId="0" fontId="0" fillId="0" borderId="1" xfId="0" applyBorder="1"/>
    <xf numFmtId="173" fontId="12" fillId="0" borderId="0" xfId="0" applyNumberFormat="1" applyFont="1" applyBorder="1"/>
    <xf numFmtId="10" fontId="0" fillId="0" borderId="0" xfId="4" applyNumberFormat="1" applyFont="1"/>
    <xf numFmtId="9" fontId="12" fillId="0" borderId="0" xfId="0" applyNumberFormat="1" applyFont="1" applyBorder="1"/>
    <xf numFmtId="0" fontId="33" fillId="3" borderId="0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/>
    </xf>
    <xf numFmtId="0" fontId="32" fillId="3" borderId="0" xfId="0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horizontal="center" vertical="center"/>
    </xf>
    <xf numFmtId="0" fontId="25" fillId="0" borderId="0" xfId="2" applyFont="1" applyFill="1" applyBorder="1" applyAlignment="1">
      <alignment horizontal="center"/>
    </xf>
    <xf numFmtId="0" fontId="25" fillId="0" borderId="0" xfId="2" applyFont="1" applyFill="1" applyBorder="1" applyAlignment="1">
      <alignment horizontal="center" vertical="top"/>
    </xf>
    <xf numFmtId="0" fontId="8" fillId="7" borderId="0" xfId="2" applyFont="1" applyFill="1" applyBorder="1" applyAlignment="1">
      <alignment horizontal="center" vertical="center" wrapText="1"/>
    </xf>
    <xf numFmtId="0" fontId="8" fillId="7" borderId="0" xfId="2" applyNumberFormat="1" applyFont="1" applyFill="1" applyBorder="1" applyAlignment="1">
      <alignment horizontal="center" vertical="center" wrapText="1"/>
    </xf>
    <xf numFmtId="0" fontId="12" fillId="7" borderId="0" xfId="2" applyFont="1" applyFill="1" applyBorder="1" applyAlignment="1">
      <alignment horizontal="center" vertical="center" wrapText="1"/>
    </xf>
    <xf numFmtId="0" fontId="41" fillId="10" borderId="0" xfId="0" applyFont="1" applyFill="1" applyAlignment="1">
      <alignment horizontal="center" vertical="center"/>
    </xf>
    <xf numFmtId="0" fontId="42" fillId="7" borderId="0" xfId="0" applyFont="1" applyFill="1" applyAlignment="1">
      <alignment horizontal="center" vertical="center"/>
    </xf>
    <xf numFmtId="0" fontId="21" fillId="7" borderId="0" xfId="2" applyFont="1" applyFill="1" applyBorder="1" applyAlignment="1">
      <alignment horizontal="center"/>
    </xf>
    <xf numFmtId="0" fontId="4" fillId="7" borderId="0" xfId="2" applyFont="1" applyFill="1" applyBorder="1" applyAlignment="1">
      <alignment horizontal="center" vertical="center"/>
    </xf>
    <xf numFmtId="0" fontId="6" fillId="7" borderId="0" xfId="2" applyFont="1" applyFill="1" applyBorder="1" applyAlignment="1">
      <alignment horizontal="center" vertical="center"/>
    </xf>
    <xf numFmtId="0" fontId="6" fillId="7" borderId="39" xfId="2" applyFont="1" applyFill="1" applyBorder="1" applyAlignment="1">
      <alignment horizontal="center" vertical="center" wrapText="1" shrinkToFit="1"/>
    </xf>
    <xf numFmtId="0" fontId="6" fillId="7" borderId="17" xfId="2" applyFont="1" applyFill="1" applyBorder="1" applyAlignment="1">
      <alignment horizontal="center" vertical="center" wrapText="1" shrinkToFit="1"/>
    </xf>
    <xf numFmtId="0" fontId="6" fillId="7" borderId="4" xfId="2" applyFont="1" applyFill="1" applyBorder="1" applyAlignment="1">
      <alignment horizontal="center" vertical="center" wrapText="1"/>
    </xf>
    <xf numFmtId="0" fontId="6" fillId="7" borderId="0" xfId="2" applyFont="1" applyFill="1" applyBorder="1" applyAlignment="1">
      <alignment horizontal="center" vertical="center" wrapText="1"/>
    </xf>
    <xf numFmtId="164" fontId="6" fillId="7" borderId="39" xfId="1" applyNumberFormat="1" applyFont="1" applyFill="1" applyBorder="1" applyAlignment="1">
      <alignment horizontal="center" vertical="center" wrapText="1"/>
    </xf>
    <xf numFmtId="164" fontId="6" fillId="7" borderId="40" xfId="1" applyNumberFormat="1" applyFont="1" applyFill="1" applyBorder="1" applyAlignment="1">
      <alignment horizontal="center" vertical="center" wrapText="1"/>
    </xf>
    <xf numFmtId="0" fontId="6" fillId="7" borderId="40" xfId="2" applyFont="1" applyFill="1" applyBorder="1" applyAlignment="1">
      <alignment horizontal="center" vertical="center" wrapText="1" shrinkToFit="1"/>
    </xf>
    <xf numFmtId="0" fontId="6" fillId="7" borderId="18" xfId="2" applyFont="1" applyFill="1" applyBorder="1" applyAlignment="1">
      <alignment horizontal="center" vertical="center" wrapText="1" shrinkToFit="1"/>
    </xf>
    <xf numFmtId="0" fontId="6" fillId="7" borderId="4" xfId="2" applyFont="1" applyFill="1" applyBorder="1" applyAlignment="1">
      <alignment horizontal="center" vertical="center" shrinkToFit="1"/>
    </xf>
    <xf numFmtId="0" fontId="6" fillId="7" borderId="0" xfId="2" applyFont="1" applyFill="1" applyBorder="1" applyAlignment="1">
      <alignment horizontal="center" vertical="center" shrinkToFit="1"/>
    </xf>
    <xf numFmtId="0" fontId="10" fillId="2" borderId="41" xfId="2" applyFont="1" applyFill="1" applyBorder="1" applyAlignment="1">
      <alignment horizontal="center"/>
    </xf>
    <xf numFmtId="0" fontId="10" fillId="2" borderId="42" xfId="2" applyFont="1" applyFill="1" applyBorder="1" applyAlignment="1">
      <alignment horizontal="center"/>
    </xf>
    <xf numFmtId="164" fontId="6" fillId="7" borderId="43" xfId="1" applyNumberFormat="1" applyFont="1" applyFill="1" applyBorder="1" applyAlignment="1">
      <alignment horizontal="center" vertical="center" wrapText="1"/>
    </xf>
    <xf numFmtId="164" fontId="6" fillId="7" borderId="20" xfId="1" applyNumberFormat="1" applyFont="1" applyFill="1" applyBorder="1" applyAlignment="1">
      <alignment horizontal="center" vertical="center" wrapText="1"/>
    </xf>
    <xf numFmtId="0" fontId="10" fillId="2" borderId="6" xfId="2" applyFont="1" applyFill="1" applyBorder="1" applyAlignment="1">
      <alignment horizontal="center"/>
    </xf>
    <xf numFmtId="164" fontId="6" fillId="7" borderId="4" xfId="1" applyNumberFormat="1" applyFont="1" applyFill="1" applyBorder="1" applyAlignment="1">
      <alignment horizontal="center" vertical="center" wrapText="1"/>
    </xf>
    <xf numFmtId="0" fontId="12" fillId="7" borderId="0" xfId="2" applyFont="1" applyFill="1" applyBorder="1" applyAlignment="1">
      <alignment horizontal="center" vertical="center"/>
    </xf>
    <xf numFmtId="0" fontId="12" fillId="7" borderId="1" xfId="2" applyFont="1" applyFill="1" applyBorder="1" applyAlignment="1">
      <alignment horizontal="center"/>
    </xf>
    <xf numFmtId="0" fontId="22" fillId="7" borderId="0" xfId="2" applyFont="1" applyFill="1" applyBorder="1" applyAlignment="1">
      <alignment horizontal="center" vertical="center"/>
    </xf>
    <xf numFmtId="0" fontId="8" fillId="7" borderId="0" xfId="2" applyFont="1" applyFill="1" applyBorder="1" applyAlignment="1">
      <alignment horizontal="center" vertical="center"/>
    </xf>
    <xf numFmtId="0" fontId="8" fillId="7" borderId="7" xfId="2" applyFont="1" applyFill="1" applyBorder="1" applyAlignment="1">
      <alignment horizontal="center" vertical="center"/>
    </xf>
    <xf numFmtId="0" fontId="8" fillId="7" borderId="8" xfId="2" applyFont="1" applyFill="1" applyBorder="1" applyAlignment="1">
      <alignment horizontal="center" vertical="center"/>
    </xf>
    <xf numFmtId="0" fontId="8" fillId="7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22" fillId="7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39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41" fontId="0" fillId="2" borderId="40" xfId="1" applyFont="1" applyFill="1" applyBorder="1" applyAlignment="1">
      <alignment horizontal="center" vertical="center"/>
    </xf>
    <xf numFmtId="41" fontId="0" fillId="2" borderId="18" xfId="1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4" fillId="7" borderId="0" xfId="0" applyFont="1" applyFill="1" applyAlignment="1">
      <alignment horizontal="right"/>
    </xf>
    <xf numFmtId="0" fontId="14" fillId="7" borderId="0" xfId="0" applyFont="1" applyFill="1" applyAlignment="1">
      <alignment horizontal="left"/>
    </xf>
    <xf numFmtId="0" fontId="0" fillId="2" borderId="39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1" fillId="2" borderId="39" xfId="0" applyFont="1" applyFill="1" applyBorder="1" applyAlignment="1">
      <alignment horizontal="center" vertical="center" wrapText="1"/>
    </xf>
    <xf numFmtId="41" fontId="8" fillId="7" borderId="1" xfId="1" applyFont="1" applyFill="1" applyBorder="1" applyAlignment="1">
      <alignment horizontal="center" wrapText="1"/>
    </xf>
    <xf numFmtId="0" fontId="8" fillId="7" borderId="1" xfId="2" applyNumberFormat="1" applyFont="1" applyFill="1" applyBorder="1" applyAlignment="1">
      <alignment horizontal="center" vertical="center" wrapText="1"/>
    </xf>
    <xf numFmtId="0" fontId="8" fillId="7" borderId="2" xfId="2" applyFont="1" applyFill="1" applyBorder="1" applyAlignment="1">
      <alignment horizontal="center" vertical="center" wrapText="1"/>
    </xf>
    <xf numFmtId="41" fontId="8" fillId="7" borderId="1" xfId="1" applyFont="1" applyFill="1" applyBorder="1" applyAlignment="1">
      <alignment horizontal="center" vertical="center"/>
    </xf>
    <xf numFmtId="0" fontId="8" fillId="7" borderId="1" xfId="2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5" fillId="7" borderId="46" xfId="0" applyFont="1" applyFill="1" applyBorder="1" applyAlignment="1">
      <alignment horizontal="center" vertical="center" wrapText="1"/>
    </xf>
    <xf numFmtId="0" fontId="15" fillId="7" borderId="48" xfId="0" applyFont="1" applyFill="1" applyBorder="1" applyAlignment="1">
      <alignment horizontal="center" vertical="center" wrapText="1"/>
    </xf>
    <xf numFmtId="0" fontId="15" fillId="7" borderId="46" xfId="0" applyFont="1" applyFill="1" applyBorder="1" applyAlignment="1">
      <alignment horizontal="center" vertical="center"/>
    </xf>
    <xf numFmtId="0" fontId="15" fillId="7" borderId="48" xfId="0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0" fontId="15" fillId="7" borderId="27" xfId="0" applyFont="1" applyFill="1" applyBorder="1" applyAlignment="1">
      <alignment horizontal="center" vertical="center"/>
    </xf>
    <xf numFmtId="0" fontId="16" fillId="7" borderId="28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/>
    </xf>
    <xf numFmtId="0" fontId="26" fillId="7" borderId="31" xfId="0" applyFont="1" applyFill="1" applyBorder="1" applyAlignment="1">
      <alignment horizontal="center"/>
    </xf>
    <xf numFmtId="0" fontId="26" fillId="7" borderId="32" xfId="0" applyFont="1" applyFill="1" applyBorder="1" applyAlignment="1">
      <alignment horizontal="center"/>
    </xf>
    <xf numFmtId="0" fontId="15" fillId="7" borderId="47" xfId="0" applyFont="1" applyFill="1" applyBorder="1" applyAlignment="1">
      <alignment horizontal="center" vertical="center"/>
    </xf>
    <xf numFmtId="0" fontId="15" fillId="7" borderId="49" xfId="0" applyFont="1" applyFill="1" applyBorder="1" applyAlignment="1">
      <alignment horizontal="center" vertical="center"/>
    </xf>
    <xf numFmtId="0" fontId="15" fillId="7" borderId="47" xfId="0" applyFont="1" applyFill="1" applyBorder="1" applyAlignment="1">
      <alignment horizontal="center" vertical="center" wrapText="1"/>
    </xf>
    <xf numFmtId="0" fontId="15" fillId="7" borderId="49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41" fontId="12" fillId="0" borderId="8" xfId="1" applyFont="1" applyBorder="1" applyAlignment="1">
      <alignment horizontal="center"/>
    </xf>
    <xf numFmtId="0" fontId="31" fillId="0" borderId="0" xfId="0" applyFont="1" applyBorder="1" applyAlignment="1">
      <alignment horizontal="center" vertical="top"/>
    </xf>
    <xf numFmtId="0" fontId="15" fillId="7" borderId="7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5" fillId="7" borderId="44" xfId="0" applyFont="1" applyFill="1" applyBorder="1" applyAlignment="1">
      <alignment horizontal="center" vertical="center"/>
    </xf>
    <xf numFmtId="0" fontId="15" fillId="7" borderId="29" xfId="0" applyFont="1" applyFill="1" applyBorder="1" applyAlignment="1">
      <alignment horizontal="center" vertical="center" wrapText="1"/>
    </xf>
    <xf numFmtId="0" fontId="15" fillId="7" borderId="30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7" borderId="24" xfId="0" applyFont="1" applyFill="1" applyBorder="1" applyAlignment="1">
      <alignment horizontal="center" vertical="center"/>
    </xf>
    <xf numFmtId="0" fontId="15" fillId="7" borderId="25" xfId="0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 wrapText="1"/>
    </xf>
    <xf numFmtId="0" fontId="15" fillId="7" borderId="27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15" fillId="7" borderId="58" xfId="0" applyFont="1" applyFill="1" applyBorder="1" applyAlignment="1">
      <alignment horizontal="center" vertical="center"/>
    </xf>
    <xf numFmtId="0" fontId="15" fillId="7" borderId="57" xfId="0" applyFont="1" applyFill="1" applyBorder="1" applyAlignment="1">
      <alignment horizontal="center" vertical="center"/>
    </xf>
    <xf numFmtId="165" fontId="22" fillId="7" borderId="0" xfId="2" applyNumberFormat="1" applyFont="1" applyFill="1" applyBorder="1" applyAlignment="1">
      <alignment horizontal="center"/>
    </xf>
    <xf numFmtId="165" fontId="8" fillId="7" borderId="0" xfId="2" applyNumberFormat="1" applyFont="1" applyFill="1" applyBorder="1" applyAlignment="1">
      <alignment horizontal="center"/>
    </xf>
    <xf numFmtId="165" fontId="5" fillId="7" borderId="0" xfId="2" applyNumberFormat="1" applyFont="1" applyFill="1" applyBorder="1" applyAlignment="1">
      <alignment horizontal="center"/>
    </xf>
    <xf numFmtId="41" fontId="9" fillId="7" borderId="0" xfId="2" applyNumberFormat="1" applyFont="1" applyFill="1" applyBorder="1" applyAlignment="1">
      <alignment horizontal="center" vertical="center"/>
    </xf>
    <xf numFmtId="41" fontId="5" fillId="7" borderId="1" xfId="2" applyNumberFormat="1" applyFont="1" applyFill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165" fontId="5" fillId="7" borderId="1" xfId="2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41" fontId="12" fillId="0" borderId="0" xfId="1" applyFont="1" applyAlignment="1">
      <alignment horizontal="right"/>
    </xf>
    <xf numFmtId="41" fontId="27" fillId="7" borderId="0" xfId="1" applyFont="1" applyFill="1" applyAlignment="1">
      <alignment horizontal="center" vertical="center"/>
    </xf>
    <xf numFmtId="0" fontId="12" fillId="2" borderId="0" xfId="2" applyFont="1" applyFill="1" applyBorder="1" applyAlignment="1">
      <alignment horizontal="right"/>
    </xf>
    <xf numFmtId="41" fontId="8" fillId="7" borderId="0" xfId="1" applyFont="1" applyFill="1" applyAlignment="1">
      <alignment horizontal="center"/>
    </xf>
    <xf numFmtId="0" fontId="12" fillId="9" borderId="17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1" xfId="2" applyFont="1" applyFill="1" applyBorder="1" applyAlignment="1">
      <alignment horizontal="center" vertical="center"/>
    </xf>
    <xf numFmtId="0" fontId="25" fillId="7" borderId="0" xfId="2" applyFont="1" applyFill="1" applyBorder="1" applyAlignment="1">
      <alignment horizontal="center"/>
    </xf>
    <xf numFmtId="0" fontId="25" fillId="7" borderId="0" xfId="2" applyFont="1" applyFill="1" applyBorder="1" applyAlignment="1">
      <alignment horizontal="center" vertical="top"/>
    </xf>
    <xf numFmtId="165" fontId="8" fillId="8" borderId="0" xfId="2" applyNumberFormat="1" applyFont="1" applyFill="1" applyBorder="1" applyAlignment="1">
      <alignment horizontal="center"/>
    </xf>
    <xf numFmtId="41" fontId="9" fillId="8" borderId="0" xfId="2" applyNumberFormat="1" applyFont="1" applyFill="1" applyBorder="1" applyAlignment="1">
      <alignment horizontal="center" vertical="center"/>
    </xf>
    <xf numFmtId="0" fontId="5" fillId="8" borderId="1" xfId="2" applyFont="1" applyFill="1" applyBorder="1" applyAlignment="1">
      <alignment horizontal="center" vertical="center"/>
    </xf>
    <xf numFmtId="41" fontId="5" fillId="8" borderId="1" xfId="2" applyNumberFormat="1" applyFont="1" applyFill="1" applyBorder="1" applyAlignment="1">
      <alignment horizontal="center" vertical="center"/>
    </xf>
    <xf numFmtId="0" fontId="5" fillId="8" borderId="39" xfId="2" applyFont="1" applyFill="1" applyBorder="1" applyAlignment="1">
      <alignment horizontal="center" vertical="center"/>
    </xf>
    <xf numFmtId="0" fontId="5" fillId="8" borderId="40" xfId="2" applyFont="1" applyFill="1" applyBorder="1" applyAlignment="1">
      <alignment horizontal="center" vertical="center"/>
    </xf>
    <xf numFmtId="0" fontId="5" fillId="8" borderId="17" xfId="2" applyFont="1" applyFill="1" applyBorder="1" applyAlignment="1">
      <alignment horizontal="center" vertical="center"/>
    </xf>
    <xf numFmtId="0" fontId="5" fillId="8" borderId="18" xfId="2" applyFont="1" applyFill="1" applyBorder="1" applyAlignment="1">
      <alignment horizontal="center" vertical="center"/>
    </xf>
    <xf numFmtId="165" fontId="5" fillId="8" borderId="1" xfId="2" applyNumberFormat="1" applyFont="1" applyFill="1" applyBorder="1" applyAlignment="1">
      <alignment horizontal="center" vertical="center"/>
    </xf>
    <xf numFmtId="0" fontId="5" fillId="8" borderId="43" xfId="2" applyFont="1" applyFill="1" applyBorder="1" applyAlignment="1">
      <alignment horizontal="center" vertical="center" wrapText="1"/>
    </xf>
    <xf numFmtId="0" fontId="5" fillId="8" borderId="3" xfId="2" applyFont="1" applyFill="1" applyBorder="1" applyAlignment="1">
      <alignment horizontal="center" vertical="center" wrapText="1"/>
    </xf>
    <xf numFmtId="0" fontId="4" fillId="7" borderId="0" xfId="2" applyFont="1" applyFill="1" applyBorder="1" applyAlignment="1">
      <alignment horizontal="center"/>
    </xf>
    <xf numFmtId="0" fontId="6" fillId="7" borderId="0" xfId="2" applyFont="1" applyFill="1" applyBorder="1" applyAlignment="1">
      <alignment horizontal="center" vertical="center" wrapText="1" shrinkToFit="1"/>
    </xf>
    <xf numFmtId="0" fontId="12" fillId="7" borderId="0" xfId="0" applyFont="1" applyFill="1" applyAlignment="1">
      <alignment horizontal="center" vertical="center"/>
    </xf>
    <xf numFmtId="164" fontId="12" fillId="0" borderId="39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4" fontId="12" fillId="0" borderId="41" xfId="0" applyNumberFormat="1" applyFont="1" applyFill="1" applyBorder="1" applyAlignment="1">
      <alignment horizontal="center" vertical="center"/>
    </xf>
    <xf numFmtId="164" fontId="12" fillId="0" borderId="43" xfId="0" applyNumberFormat="1" applyFont="1" applyFill="1" applyBorder="1" applyAlignment="1">
      <alignment horizontal="center" vertical="center"/>
    </xf>
    <xf numFmtId="164" fontId="12" fillId="0" borderId="20" xfId="0" applyNumberFormat="1" applyFont="1" applyFill="1" applyBorder="1" applyAlignment="1">
      <alignment horizontal="center" vertical="center"/>
    </xf>
    <xf numFmtId="164" fontId="12" fillId="0" borderId="3" xfId="0" applyNumberFormat="1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/>
    </xf>
    <xf numFmtId="0" fontId="38" fillId="3" borderId="43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38" fillId="3" borderId="3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1" fontId="12" fillId="0" borderId="43" xfId="1" applyNumberFormat="1" applyFont="1" applyFill="1" applyBorder="1" applyAlignment="1">
      <alignment horizontal="center"/>
    </xf>
    <xf numFmtId="41" fontId="12" fillId="0" borderId="20" xfId="1" applyNumberFormat="1" applyFont="1" applyFill="1" applyBorder="1" applyAlignment="1">
      <alignment horizontal="center"/>
    </xf>
    <xf numFmtId="41" fontId="12" fillId="0" borderId="3" xfId="1" applyNumberFormat="1" applyFont="1" applyFill="1" applyBorder="1" applyAlignment="1">
      <alignment horizontal="center"/>
    </xf>
    <xf numFmtId="0" fontId="8" fillId="8" borderId="10" xfId="2" applyFont="1" applyFill="1" applyBorder="1" applyAlignment="1">
      <alignment horizontal="center" vertical="center"/>
    </xf>
    <xf numFmtId="0" fontId="8" fillId="8" borderId="16" xfId="2" applyFont="1" applyFill="1" applyBorder="1" applyAlignment="1">
      <alignment horizontal="center" vertical="center"/>
    </xf>
    <xf numFmtId="0" fontId="8" fillId="8" borderId="2" xfId="2" applyFont="1" applyFill="1" applyBorder="1" applyAlignment="1">
      <alignment horizontal="center" vertical="center"/>
    </xf>
    <xf numFmtId="0" fontId="8" fillId="8" borderId="1" xfId="2" applyNumberFormat="1" applyFont="1" applyFill="1" applyBorder="1" applyAlignment="1">
      <alignment horizontal="center" vertical="center" wrapText="1"/>
    </xf>
    <xf numFmtId="0" fontId="8" fillId="8" borderId="2" xfId="2" applyFont="1" applyFill="1" applyBorder="1" applyAlignment="1">
      <alignment horizontal="center" vertical="center" wrapText="1"/>
    </xf>
    <xf numFmtId="41" fontId="8" fillId="8" borderId="1" xfId="1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top"/>
    </xf>
  </cellXfs>
  <cellStyles count="7">
    <cellStyle name="Comma" xfId="6" builtinId="3"/>
    <cellStyle name="Comma [0]" xfId="1" builtinId="6"/>
    <cellStyle name="Currency [0]" xfId="5" builtinId="7"/>
    <cellStyle name="Normal" xfId="0" builtinId="0"/>
    <cellStyle name="Normal_BAB03" xfId="2"/>
    <cellStyle name="Normal_ratio_index" xfId="3"/>
    <cellStyle name="Percent" xfId="4" builtinId="5"/>
  </cellStyles>
  <dxfs count="0"/>
  <tableStyles count="0" defaultTableStyle="TableStyleMedium9" defaultPivotStyle="PivotStyleLight16"/>
  <colors>
    <mruColors>
      <color rgb="FF009999"/>
      <color rgb="FF0066FF"/>
      <color rgb="FFD9CBA3"/>
      <color rgb="FFD8DFBD"/>
      <color rgb="FF00FF00"/>
      <color rgb="FF663300"/>
      <color rgb="FF1B9D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578417749684458"/>
          <c:y val="7.3150476342078233E-2"/>
          <c:w val="0.60421582250315675"/>
          <c:h val="0.85369904731584456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'Laporan Penjualan'!$L$3:$L$7</c:f>
              <c:strCache>
                <c:ptCount val="5"/>
                <c:pt idx="0">
                  <c:v>Klausa</c:v>
                </c:pt>
                <c:pt idx="1">
                  <c:v>Titipan</c:v>
                </c:pt>
                <c:pt idx="2">
                  <c:v>Danusan Lainnya</c:v>
                </c:pt>
                <c:pt idx="3">
                  <c:v>Box</c:v>
                </c:pt>
                <c:pt idx="4">
                  <c:v>Air Mineral Gelas</c:v>
                </c:pt>
              </c:strCache>
            </c:strRef>
          </c:cat>
          <c:val>
            <c:numRef>
              <c:f>'Laporan Penjualan'!$M$3:$M$7</c:f>
              <c:numCache>
                <c:formatCode>_(* #,##0_);_(* \(#,##0\);_(* "-"_);_(@_)</c:formatCode>
                <c:ptCount val="5"/>
                <c:pt idx="0">
                  <c:v>18406</c:v>
                </c:pt>
                <c:pt idx="1">
                  <c:v>5293.4</c:v>
                </c:pt>
                <c:pt idx="2">
                  <c:v>247.14285714285714</c:v>
                </c:pt>
                <c:pt idx="3">
                  <c:v>1197</c:v>
                </c:pt>
                <c:pt idx="4">
                  <c:v>723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5818368"/>
        <c:axId val="206703424"/>
      </c:barChart>
      <c:catAx>
        <c:axId val="125818368"/>
        <c:scaling>
          <c:orientation val="minMax"/>
        </c:scaling>
        <c:delete val="0"/>
        <c:axPos val="l"/>
        <c:majorTickMark val="none"/>
        <c:minorTickMark val="none"/>
        <c:tickLblPos val="nextTo"/>
        <c:crossAx val="206703424"/>
        <c:crosses val="autoZero"/>
        <c:auto val="1"/>
        <c:lblAlgn val="ctr"/>
        <c:lblOffset val="100"/>
        <c:noMultiLvlLbl val="0"/>
      </c:catAx>
      <c:valAx>
        <c:axId val="206703424"/>
        <c:scaling>
          <c:orientation val="minMax"/>
        </c:scaling>
        <c:delete val="1"/>
        <c:axPos val="b"/>
        <c:numFmt formatCode="_(* #,##0_);_(* \(#,##0\);_(* &quot;-&quot;_);_(@_)" sourceLinked="1"/>
        <c:majorTickMark val="none"/>
        <c:minorTickMark val="none"/>
        <c:tickLblPos val="none"/>
        <c:crossAx val="12581836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cat>
            <c:strRef>
              <c:f>'Laporan Penjualan'!$L$10:$L$14</c:f>
              <c:strCache>
                <c:ptCount val="5"/>
                <c:pt idx="0">
                  <c:v>Klausa</c:v>
                </c:pt>
                <c:pt idx="1">
                  <c:v>Titipan</c:v>
                </c:pt>
                <c:pt idx="2">
                  <c:v>Danusan Lainnya</c:v>
                </c:pt>
                <c:pt idx="3">
                  <c:v>Box</c:v>
                </c:pt>
                <c:pt idx="4">
                  <c:v>Air Mineral Gelas</c:v>
                </c:pt>
              </c:strCache>
            </c:strRef>
          </c:cat>
          <c:val>
            <c:numRef>
              <c:f>'Laporan Penjualan'!$M$10:$M$14</c:f>
              <c:numCache>
                <c:formatCode>_([$Rp-421]* #,##0_);_([$Rp-421]* \(#,##0\);_([$Rp-421]* "-"??_);_(@_)</c:formatCode>
                <c:ptCount val="5"/>
                <c:pt idx="0">
                  <c:v>34835500</c:v>
                </c:pt>
                <c:pt idx="1">
                  <c:v>13233500</c:v>
                </c:pt>
                <c:pt idx="2">
                  <c:v>432500</c:v>
                </c:pt>
                <c:pt idx="3">
                  <c:v>598500</c:v>
                </c:pt>
                <c:pt idx="4">
                  <c:v>361500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563456"/>
        <c:axId val="206705152"/>
      </c:barChart>
      <c:catAx>
        <c:axId val="204563456"/>
        <c:scaling>
          <c:orientation val="minMax"/>
        </c:scaling>
        <c:delete val="0"/>
        <c:axPos val="l"/>
        <c:majorTickMark val="out"/>
        <c:minorTickMark val="none"/>
        <c:tickLblPos val="nextTo"/>
        <c:crossAx val="206705152"/>
        <c:crosses val="autoZero"/>
        <c:auto val="1"/>
        <c:lblAlgn val="ctr"/>
        <c:lblOffset val="100"/>
        <c:noMultiLvlLbl val="0"/>
      </c:catAx>
      <c:valAx>
        <c:axId val="206705152"/>
        <c:scaling>
          <c:orientation val="minMax"/>
        </c:scaling>
        <c:delete val="0"/>
        <c:axPos val="b"/>
        <c:majorGridlines/>
        <c:numFmt formatCode="_([$Rp-421]* #,##0_);_([$Rp-421]* \(#,##0\);_([$Rp-421]* &quot;-&quot;??_);_(@_)" sourceLinked="1"/>
        <c:majorTickMark val="out"/>
        <c:minorTickMark val="none"/>
        <c:tickLblPos val="nextTo"/>
        <c:crossAx val="20456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'Laporan Penjualan'!$L$18:$L$48</c:f>
              <c:strCache>
                <c:ptCount val="31"/>
                <c:pt idx="0">
                  <c:v>-</c:v>
                </c:pt>
                <c:pt idx="1">
                  <c:v>01-Des</c:v>
                </c:pt>
                <c:pt idx="2">
                  <c:v>02-Des</c:v>
                </c:pt>
                <c:pt idx="3">
                  <c:v>03-Des</c:v>
                </c:pt>
                <c:pt idx="4">
                  <c:v>04-Des</c:v>
                </c:pt>
                <c:pt idx="5">
                  <c:v>05-Des</c:v>
                </c:pt>
                <c:pt idx="6">
                  <c:v>06-Des</c:v>
                </c:pt>
                <c:pt idx="7">
                  <c:v>07-Des</c:v>
                </c:pt>
                <c:pt idx="8">
                  <c:v>08-Des</c:v>
                </c:pt>
                <c:pt idx="9">
                  <c:v>09-Des</c:v>
                </c:pt>
                <c:pt idx="10">
                  <c:v>10-Des</c:v>
                </c:pt>
                <c:pt idx="11">
                  <c:v>11-Des</c:v>
                </c:pt>
                <c:pt idx="12">
                  <c:v>12-Des</c:v>
                </c:pt>
                <c:pt idx="13">
                  <c:v>13-Des</c:v>
                </c:pt>
                <c:pt idx="14">
                  <c:v>14-Des</c:v>
                </c:pt>
                <c:pt idx="15">
                  <c:v>15-Des</c:v>
                </c:pt>
                <c:pt idx="16">
                  <c:v>16-Des</c:v>
                </c:pt>
                <c:pt idx="17">
                  <c:v>17-Des</c:v>
                </c:pt>
                <c:pt idx="18">
                  <c:v>18-Des</c:v>
                </c:pt>
                <c:pt idx="19">
                  <c:v>19-Des</c:v>
                </c:pt>
                <c:pt idx="20">
                  <c:v>20-Des</c:v>
                </c:pt>
                <c:pt idx="21">
                  <c:v>21-Des</c:v>
                </c:pt>
                <c:pt idx="22">
                  <c:v>22-Des</c:v>
                </c:pt>
                <c:pt idx="23">
                  <c:v>23-Des</c:v>
                </c:pt>
                <c:pt idx="24">
                  <c:v>24-Des</c:v>
                </c:pt>
                <c:pt idx="25">
                  <c:v>25-Des</c:v>
                </c:pt>
                <c:pt idx="26">
                  <c:v>26-Des</c:v>
                </c:pt>
                <c:pt idx="27">
                  <c:v>27-Des</c:v>
                </c:pt>
                <c:pt idx="28">
                  <c:v>28-Des</c:v>
                </c:pt>
                <c:pt idx="29">
                  <c:v>29-Des</c:v>
                </c:pt>
                <c:pt idx="30">
                  <c:v>30-Des</c:v>
                </c:pt>
              </c:strCache>
            </c:strRef>
          </c:cat>
          <c:val>
            <c:numRef>
              <c:f>'Laporan Penjualan'!$M$18:$M$48</c:f>
              <c:numCache>
                <c:formatCode>_(* #,##0_);_(* \(#,##0\);_(* "-"_);_(@_)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1175500</c:v>
                </c:pt>
                <c:pt idx="3">
                  <c:v>960500</c:v>
                </c:pt>
                <c:pt idx="4">
                  <c:v>2092000</c:v>
                </c:pt>
                <c:pt idx="5">
                  <c:v>2566000</c:v>
                </c:pt>
                <c:pt idx="6">
                  <c:v>1930500</c:v>
                </c:pt>
                <c:pt idx="7">
                  <c:v>3792000</c:v>
                </c:pt>
                <c:pt idx="8">
                  <c:v>2289500</c:v>
                </c:pt>
                <c:pt idx="9">
                  <c:v>693000</c:v>
                </c:pt>
                <c:pt idx="10">
                  <c:v>799500</c:v>
                </c:pt>
                <c:pt idx="11">
                  <c:v>2628500</c:v>
                </c:pt>
                <c:pt idx="12">
                  <c:v>2270000</c:v>
                </c:pt>
                <c:pt idx="13">
                  <c:v>3384000</c:v>
                </c:pt>
                <c:pt idx="14">
                  <c:v>2383000</c:v>
                </c:pt>
                <c:pt idx="15">
                  <c:v>3565000</c:v>
                </c:pt>
                <c:pt idx="16">
                  <c:v>1072000</c:v>
                </c:pt>
                <c:pt idx="17">
                  <c:v>1042000</c:v>
                </c:pt>
                <c:pt idx="18">
                  <c:v>2225000</c:v>
                </c:pt>
                <c:pt idx="19">
                  <c:v>2195500</c:v>
                </c:pt>
                <c:pt idx="20">
                  <c:v>2319000</c:v>
                </c:pt>
                <c:pt idx="21">
                  <c:v>2974000</c:v>
                </c:pt>
                <c:pt idx="22">
                  <c:v>2030000</c:v>
                </c:pt>
                <c:pt idx="23">
                  <c:v>1640000</c:v>
                </c:pt>
                <c:pt idx="24">
                  <c:v>0</c:v>
                </c:pt>
                <c:pt idx="25">
                  <c:v>0</c:v>
                </c:pt>
                <c:pt idx="26">
                  <c:v>627500</c:v>
                </c:pt>
                <c:pt idx="27">
                  <c:v>1242000</c:v>
                </c:pt>
                <c:pt idx="28">
                  <c:v>1156000</c:v>
                </c:pt>
                <c:pt idx="29">
                  <c:v>371500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axId val="204563968"/>
        <c:axId val="206706880"/>
      </c:barChart>
      <c:catAx>
        <c:axId val="2045639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206706880"/>
        <c:crosses val="autoZero"/>
        <c:auto val="1"/>
        <c:lblAlgn val="ctr"/>
        <c:lblOffset val="100"/>
        <c:noMultiLvlLbl val="1"/>
      </c:catAx>
      <c:valAx>
        <c:axId val="206706880"/>
        <c:scaling>
          <c:orientation val="minMax"/>
        </c:scaling>
        <c:delete val="0"/>
        <c:axPos val="l"/>
        <c:majorGridlines/>
        <c:title>
          <c:overlay val="0"/>
        </c:title>
        <c:numFmt formatCode="_(* #,##0_);_(* \(#,##0\);_(* &quot;-&quot;_);_(@_)" sourceLinked="1"/>
        <c:majorTickMark val="none"/>
        <c:minorTickMark val="none"/>
        <c:tickLblPos val="nextTo"/>
        <c:crossAx val="20456396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Menu Utama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Menu Utama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Menu Utama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enu Utama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Menu Utama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Menu Utama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Menu Utama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677332</xdr:colOff>
      <xdr:row>14</xdr:row>
      <xdr:rowOff>43389</xdr:rowOff>
    </xdr:from>
    <xdr:to>
      <xdr:col>4</xdr:col>
      <xdr:colOff>867584</xdr:colOff>
      <xdr:row>26</xdr:row>
      <xdr:rowOff>106850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15" y="2466972"/>
          <a:ext cx="2825502" cy="20425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0</xdr:colOff>
      <xdr:row>50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8534400" cy="80962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1095</xdr:colOff>
      <xdr:row>4</xdr:row>
      <xdr:rowOff>201083</xdr:rowOff>
    </xdr:to>
    <xdr:sp macro="" textlink="">
      <xdr:nvSpPr>
        <xdr:cNvPr id="4" name="Rectangle 3">
          <a:hlinkClick xmlns:r="http://schemas.openxmlformats.org/officeDocument/2006/relationships" r:id="rId1"/>
        </xdr:cNvPr>
        <xdr:cNvSpPr/>
      </xdr:nvSpPr>
      <xdr:spPr>
        <a:xfrm>
          <a:off x="6038850" y="0"/>
          <a:ext cx="1095" cy="1153583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id-ID" sz="1400">
              <a:solidFill>
                <a:sysClr val="windowText" lastClr="000000"/>
              </a:solidFill>
              <a:latin typeface="Market Deco" panose="02000000000000000000" pitchFamily="2" charset="0"/>
            </a:rPr>
            <a:t>MENU UTAMA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581024</xdr:colOff>
      <xdr:row>1048576</xdr:row>
      <xdr:rowOff>53772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505824" cy="944542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2</xdr:row>
      <xdr:rowOff>114300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0" y="0"/>
          <a:ext cx="604345" cy="13716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id-ID" sz="1400">
              <a:solidFill>
                <a:sysClr val="windowText" lastClr="000000"/>
              </a:solidFill>
              <a:latin typeface="Market Deco" panose="02000000000000000000" pitchFamily="2" charset="0"/>
            </a:rPr>
            <a:t>MENU UTAMA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10433</xdr:colOff>
      <xdr:row>4</xdr:row>
      <xdr:rowOff>11206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0" y="0"/>
          <a:ext cx="10433" cy="935131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id-ID" sz="1400">
              <a:solidFill>
                <a:sysClr val="windowText" lastClr="000000"/>
              </a:solidFill>
              <a:latin typeface="Market Deco" panose="02000000000000000000" pitchFamily="2" charset="0"/>
            </a:rPr>
            <a:t>MENU UTAMA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552450</xdr:colOff>
      <xdr:row>51</xdr:row>
      <xdr:rowOff>49529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77250" cy="830770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600075</xdr:colOff>
      <xdr:row>1048576</xdr:row>
      <xdr:rowOff>30626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744075" cy="50503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1095</xdr:colOff>
      <xdr:row>3</xdr:row>
      <xdr:rowOff>201083</xdr:rowOff>
    </xdr:to>
    <xdr:sp macro="" textlink="">
      <xdr:nvSpPr>
        <xdr:cNvPr id="4" name="Rectangle 3">
          <a:hlinkClick xmlns:r="http://schemas.openxmlformats.org/officeDocument/2006/relationships" r:id="rId1"/>
        </xdr:cNvPr>
        <xdr:cNvSpPr/>
      </xdr:nvSpPr>
      <xdr:spPr>
        <a:xfrm>
          <a:off x="0" y="0"/>
          <a:ext cx="604345" cy="1471083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id-ID" sz="1400">
              <a:solidFill>
                <a:sysClr val="windowText" lastClr="000000"/>
              </a:solidFill>
              <a:latin typeface="Market Deco" panose="02000000000000000000" pitchFamily="2" charset="0"/>
            </a:rPr>
            <a:t>MENU UTAMA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16384</xdr:col>
      <xdr:colOff>19050</xdr:colOff>
      <xdr:row>31</xdr:row>
      <xdr:rowOff>131791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"/>
          <a:ext cx="9163050" cy="515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27</xdr:row>
      <xdr:rowOff>104775</xdr:rowOff>
    </xdr:from>
    <xdr:to>
      <xdr:col>4</xdr:col>
      <xdr:colOff>142875</xdr:colOff>
      <xdr:row>38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228601</xdr:colOff>
      <xdr:row>28</xdr:row>
      <xdr:rowOff>19050</xdr:rowOff>
    </xdr:from>
    <xdr:to>
      <xdr:col>9</xdr:col>
      <xdr:colOff>2114551</xdr:colOff>
      <xdr:row>37</xdr:row>
      <xdr:rowOff>109537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</xdr:colOff>
      <xdr:row>7</xdr:row>
      <xdr:rowOff>114300</xdr:rowOff>
    </xdr:from>
    <xdr:to>
      <xdr:col>9</xdr:col>
      <xdr:colOff>2305050</xdr:colOff>
      <xdr:row>23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7</xdr:row>
      <xdr:rowOff>117475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0" y="0"/>
          <a:ext cx="604345" cy="1503892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id-ID" sz="1400">
              <a:solidFill>
                <a:sysClr val="windowText" lastClr="000000"/>
              </a:solidFill>
              <a:latin typeface="Market Deco" panose="02000000000000000000" pitchFamily="2" charset="0"/>
            </a:rPr>
            <a:t>MENU UTAMA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18512</xdr:colOff>
      <xdr:row>31</xdr:row>
      <xdr:rowOff>133349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162512" cy="51530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5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0" y="0"/>
          <a:ext cx="604345" cy="15049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id-ID" sz="1400">
              <a:solidFill>
                <a:sysClr val="windowText" lastClr="000000"/>
              </a:solidFill>
              <a:latin typeface="Market Deco" panose="02000000000000000000" pitchFamily="2" charset="0"/>
            </a:rPr>
            <a:t>MENU UTAMA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7924800" cy="5829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3</xdr:row>
      <xdr:rowOff>65617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0" y="0"/>
          <a:ext cx="604345" cy="1503892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id-ID" sz="1400">
              <a:solidFill>
                <a:sysClr val="windowText" lastClr="000000"/>
              </a:solidFill>
              <a:latin typeface="Market Deco" panose="02000000000000000000" pitchFamily="2" charset="0"/>
            </a:rPr>
            <a:t>MENU UTAMA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3</xdr:row>
      <xdr:rowOff>65617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609600" y="0"/>
          <a:ext cx="0" cy="694267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id-ID" sz="1400">
              <a:solidFill>
                <a:sysClr val="windowText" lastClr="000000"/>
              </a:solidFill>
              <a:latin typeface="Market Deco" panose="02000000000000000000" pitchFamily="2" charset="0"/>
            </a:rPr>
            <a:t>MENU UTAMA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3</xdr:row>
      <xdr:rowOff>65617</xdr:rowOff>
    </xdr:to>
    <xdr:sp macro="" textlink="">
      <xdr:nvSpPr>
        <xdr:cNvPr id="5" name="Rectangle 4">
          <a:hlinkClick xmlns:r="http://schemas.openxmlformats.org/officeDocument/2006/relationships" r:id="rId1"/>
        </xdr:cNvPr>
        <xdr:cNvSpPr/>
      </xdr:nvSpPr>
      <xdr:spPr>
        <a:xfrm>
          <a:off x="609600" y="0"/>
          <a:ext cx="0" cy="694267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id-ID" sz="1400">
              <a:solidFill>
                <a:sysClr val="windowText" lastClr="000000"/>
              </a:solidFill>
              <a:latin typeface="Market Deco" panose="02000000000000000000" pitchFamily="2" charset="0"/>
            </a:rPr>
            <a:t>MENU UTAMA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3</xdr:row>
      <xdr:rowOff>65617</xdr:rowOff>
    </xdr:to>
    <xdr:sp macro="" textlink="">
      <xdr:nvSpPr>
        <xdr:cNvPr id="6" name="Rectangle 5">
          <a:hlinkClick xmlns:r="http://schemas.openxmlformats.org/officeDocument/2006/relationships" r:id="rId1"/>
        </xdr:cNvPr>
        <xdr:cNvSpPr/>
      </xdr:nvSpPr>
      <xdr:spPr>
        <a:xfrm>
          <a:off x="609600" y="0"/>
          <a:ext cx="0" cy="694267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id-ID" sz="1400">
              <a:solidFill>
                <a:sysClr val="windowText" lastClr="000000"/>
              </a:solidFill>
              <a:latin typeface="Market Deco" panose="02000000000000000000" pitchFamily="2" charset="0"/>
            </a:rPr>
            <a:t>MENU UTAMA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3</xdr:row>
      <xdr:rowOff>65617</xdr:rowOff>
    </xdr:to>
    <xdr:sp macro="" textlink="">
      <xdr:nvSpPr>
        <xdr:cNvPr id="7" name="Rectangle 6">
          <a:hlinkClick xmlns:r="http://schemas.openxmlformats.org/officeDocument/2006/relationships" r:id="rId1"/>
        </xdr:cNvPr>
        <xdr:cNvSpPr/>
      </xdr:nvSpPr>
      <xdr:spPr>
        <a:xfrm>
          <a:off x="609600" y="0"/>
          <a:ext cx="0" cy="694267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id-ID" sz="1400">
              <a:solidFill>
                <a:sysClr val="windowText" lastClr="000000"/>
              </a:solidFill>
              <a:latin typeface="Market Deco" panose="02000000000000000000" pitchFamily="2" charset="0"/>
            </a:rPr>
            <a:t>MENU UTAMA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Bisnis%20-%20Mar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Bisnis%20-%20Nov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Neraca Awal"/>
      <sheetName val="Peralatan"/>
      <sheetName val="Dashboard"/>
      <sheetName val="Laporan Penjualan"/>
      <sheetName val="Neraca Lajur"/>
      <sheetName val="CashFlow"/>
      <sheetName val="Laporan Neraca"/>
      <sheetName val="Laporan Laba Rugi"/>
      <sheetName val="Gaji Karyawan"/>
      <sheetName val="Laporan Stok"/>
      <sheetName val="Rencana Pembelian"/>
      <sheetName val="POS"/>
      <sheetName val="Penjualan"/>
      <sheetName val="Penjualan CF"/>
      <sheetName val="Transaksi"/>
      <sheetName val="Jurnal Trans Klausa"/>
      <sheetName val="Laporan Mingguan"/>
      <sheetName val="Hitung"/>
      <sheetName val="Stok"/>
      <sheetName val="Stok Bahan Klausa"/>
      <sheetName val="Jurnal BB"/>
      <sheetName val="Stok Lajur"/>
      <sheetName val="Karyawan"/>
      <sheetName val="Gaji per Jabatan"/>
      <sheetName val="Biodata Karyawan"/>
      <sheetName val="Absen"/>
      <sheetName val="Forecasting"/>
      <sheetName val="Pembelian"/>
      <sheetName val="Rumus Bahan Baku"/>
      <sheetName val="Peramalan Permintaan"/>
      <sheetName val="Cabang"/>
    </sheetNames>
    <sheetDataSet>
      <sheetData sheetId="0" refreshError="1"/>
      <sheetData sheetId="1">
        <row r="6">
          <cell r="A6" t="str">
            <v>1-000</v>
          </cell>
          <cell r="B6" t="str">
            <v>ASET LANCAR</v>
          </cell>
        </row>
        <row r="7">
          <cell r="A7" t="str">
            <v>1-110</v>
          </cell>
          <cell r="B7" t="str">
            <v>Kas Kecil</v>
          </cell>
        </row>
        <row r="8">
          <cell r="A8" t="str">
            <v>1-120</v>
          </cell>
          <cell r="B8" t="str">
            <v>BSM 1</v>
          </cell>
        </row>
        <row r="9">
          <cell r="A9" t="str">
            <v>1-130</v>
          </cell>
          <cell r="B9" t="str">
            <v>BSM 2</v>
          </cell>
        </row>
        <row r="10">
          <cell r="A10" t="str">
            <v>1-200</v>
          </cell>
          <cell r="B10" t="str">
            <v>Piutang</v>
          </cell>
        </row>
        <row r="11">
          <cell r="A11" t="str">
            <v>1-300</v>
          </cell>
          <cell r="B11" t="str">
            <v>Persediaan</v>
          </cell>
        </row>
        <row r="12">
          <cell r="A12" t="str">
            <v>1-310</v>
          </cell>
          <cell r="B12" t="str">
            <v>Persediaan Barang Jadi</v>
          </cell>
        </row>
        <row r="13">
          <cell r="A13" t="str">
            <v>1-320</v>
          </cell>
          <cell r="B13" t="str">
            <v>Persediaan BBL</v>
          </cell>
        </row>
        <row r="14">
          <cell r="A14" t="str">
            <v>1-330</v>
          </cell>
          <cell r="B14" t="str">
            <v>Persediaan BBTL</v>
          </cell>
        </row>
        <row r="15">
          <cell r="A15" t="str">
            <v>1-400</v>
          </cell>
          <cell r="B15" t="str">
            <v>Kepemilikan Merek</v>
          </cell>
        </row>
        <row r="16">
          <cell r="A16" t="str">
            <v>1-500</v>
          </cell>
          <cell r="B16" t="str">
            <v>Sewa dibayar dimuka</v>
          </cell>
        </row>
        <row r="17">
          <cell r="A17" t="str">
            <v>1-600</v>
          </cell>
          <cell r="B17" t="str">
            <v>Akum. Penyusutan Sewa</v>
          </cell>
        </row>
        <row r="18">
          <cell r="A18" t="str">
            <v>2-000</v>
          </cell>
          <cell r="B18" t="str">
            <v>ASET TETAP</v>
          </cell>
        </row>
        <row r="19">
          <cell r="A19" t="str">
            <v>2-100</v>
          </cell>
          <cell r="B19" t="str">
            <v>Peralatan Usaha</v>
          </cell>
        </row>
        <row r="20">
          <cell r="A20" t="str">
            <v>2-200</v>
          </cell>
          <cell r="B20" t="str">
            <v>Perlengkapan</v>
          </cell>
        </row>
        <row r="21">
          <cell r="A21" t="str">
            <v>2-300</v>
          </cell>
          <cell r="B21" t="str">
            <v>Bangunan</v>
          </cell>
        </row>
        <row r="22">
          <cell r="A22" t="str">
            <v>2-400</v>
          </cell>
          <cell r="B22" t="str">
            <v>Kendaraan</v>
          </cell>
        </row>
        <row r="23">
          <cell r="A23" t="str">
            <v>2-500</v>
          </cell>
          <cell r="B23" t="str">
            <v>Tanah (investasi)</v>
          </cell>
        </row>
        <row r="24">
          <cell r="A24" t="str">
            <v>2-600</v>
          </cell>
          <cell r="B24" t="str">
            <v>Akum. Penyusutan Peralatan</v>
          </cell>
        </row>
        <row r="25">
          <cell r="A25" t="str">
            <v>2-700</v>
          </cell>
          <cell r="B25" t="str">
            <v>Akum. Penyusutan Perlengkapan</v>
          </cell>
        </row>
        <row r="26">
          <cell r="A26" t="str">
            <v>2-800</v>
          </cell>
          <cell r="B26" t="str">
            <v>Akum. Penyusutan Bangunan</v>
          </cell>
        </row>
        <row r="27">
          <cell r="A27" t="str">
            <v>2-900</v>
          </cell>
          <cell r="B27" t="str">
            <v>Akum. Penyusutan Kendaraan</v>
          </cell>
        </row>
        <row r="28">
          <cell r="A28" t="str">
            <v>3-000</v>
          </cell>
          <cell r="B28" t="str">
            <v>KEWAJIBAN</v>
          </cell>
        </row>
        <row r="29">
          <cell r="A29" t="str">
            <v>3-100</v>
          </cell>
          <cell r="B29" t="str">
            <v>KEWAJIBAN LANCAR</v>
          </cell>
        </row>
        <row r="30">
          <cell r="A30" t="str">
            <v>3-110</v>
          </cell>
          <cell r="B30" t="str">
            <v>Hutang Lancar</v>
          </cell>
        </row>
        <row r="31">
          <cell r="A31" t="str">
            <v>3-200</v>
          </cell>
          <cell r="B31" t="str">
            <v>INVESTASI OBLIGASI</v>
          </cell>
        </row>
        <row r="32">
          <cell r="A32" t="str">
            <v>3-210</v>
          </cell>
          <cell r="B32" t="str">
            <v>Investasi Pak Irfan</v>
          </cell>
        </row>
        <row r="33">
          <cell r="A33" t="str">
            <v>3-220</v>
          </cell>
          <cell r="B33" t="str">
            <v>Investasi Mas Bagas</v>
          </cell>
        </row>
        <row r="34">
          <cell r="A34" t="str">
            <v>3-230</v>
          </cell>
          <cell r="B34" t="str">
            <v>Investasi Mas ghofur</v>
          </cell>
        </row>
        <row r="35">
          <cell r="A35" t="str">
            <v>4-000</v>
          </cell>
          <cell r="B35" t="str">
            <v>EKUITAS</v>
          </cell>
        </row>
        <row r="36">
          <cell r="A36" t="str">
            <v>4-100</v>
          </cell>
          <cell r="B36" t="str">
            <v>Saham Aris</v>
          </cell>
        </row>
        <row r="37">
          <cell r="A37" t="str">
            <v>4-200</v>
          </cell>
          <cell r="B37" t="str">
            <v>Saham Indra</v>
          </cell>
        </row>
        <row r="38">
          <cell r="A38" t="str">
            <v>4-300</v>
          </cell>
          <cell r="B38" t="str">
            <v>Saham Wildan</v>
          </cell>
        </row>
        <row r="39">
          <cell r="A39" t="str">
            <v>4-400</v>
          </cell>
          <cell r="B39" t="str">
            <v>Kepemilikan Merek</v>
          </cell>
        </row>
        <row r="40">
          <cell r="A40" t="str">
            <v>4-500</v>
          </cell>
          <cell r="B40" t="str">
            <v>Dividen</v>
          </cell>
        </row>
        <row r="41">
          <cell r="A41" t="str">
            <v>4-600</v>
          </cell>
          <cell r="B41" t="str">
            <v>Laba ditahan</v>
          </cell>
        </row>
        <row r="42">
          <cell r="A42" t="str">
            <v>4-700</v>
          </cell>
          <cell r="B42" t="str">
            <v>Tabungan</v>
          </cell>
        </row>
        <row r="43">
          <cell r="A43" t="str">
            <v>5-000</v>
          </cell>
          <cell r="B43" t="str">
            <v>PENJUALAN</v>
          </cell>
        </row>
        <row r="44">
          <cell r="A44" t="str">
            <v>5-100</v>
          </cell>
          <cell r="B44" t="str">
            <v>Penjualan Klausa Cake</v>
          </cell>
        </row>
        <row r="45">
          <cell r="A45" t="str">
            <v>5-200</v>
          </cell>
          <cell r="B45" t="str">
            <v>Penjualan Titipan</v>
          </cell>
        </row>
        <row r="46">
          <cell r="A46" t="str">
            <v>5-300</v>
          </cell>
          <cell r="B46" t="str">
            <v>Penjualan Danusan Lainnya</v>
          </cell>
        </row>
        <row r="47">
          <cell r="A47" t="str">
            <v>5-400</v>
          </cell>
          <cell r="B47" t="str">
            <v>Penjualan Pesanan</v>
          </cell>
        </row>
        <row r="48">
          <cell r="A48" t="str">
            <v>5-500</v>
          </cell>
          <cell r="B48" t="str">
            <v>Penjualan Lain-lain</v>
          </cell>
        </row>
        <row r="49">
          <cell r="A49" t="str">
            <v>5-600</v>
          </cell>
          <cell r="B49" t="str">
            <v>Penjualan Chocofaza</v>
          </cell>
        </row>
        <row r="50">
          <cell r="A50" t="str">
            <v>6-000</v>
          </cell>
          <cell r="B50" t="str">
            <v>HARGA POKOK PRODUKSI</v>
          </cell>
        </row>
        <row r="51">
          <cell r="A51" t="str">
            <v>6-100</v>
          </cell>
          <cell r="B51" t="str">
            <v>Bahan Baku Langsung</v>
          </cell>
        </row>
        <row r="52">
          <cell r="A52" t="str">
            <v>6-110</v>
          </cell>
          <cell r="B52" t="str">
            <v>BBL Klausa</v>
          </cell>
        </row>
        <row r="53">
          <cell r="A53" t="str">
            <v>6-120</v>
          </cell>
          <cell r="B53" t="str">
            <v>BBL Chocofaza</v>
          </cell>
        </row>
        <row r="54">
          <cell r="A54" t="str">
            <v>6-200</v>
          </cell>
          <cell r="B54" t="str">
            <v>Tenaga Kerja Langsung</v>
          </cell>
        </row>
        <row r="55">
          <cell r="A55" t="str">
            <v>6-300</v>
          </cell>
          <cell r="B55" t="str">
            <v>Overhead Manufaktur</v>
          </cell>
        </row>
        <row r="56">
          <cell r="A56" t="str">
            <v>6-310</v>
          </cell>
          <cell r="B56" t="str">
            <v>Bahan Baku Tidak Langsung</v>
          </cell>
        </row>
        <row r="57">
          <cell r="A57" t="str">
            <v>6-320</v>
          </cell>
          <cell r="B57" t="str">
            <v>Tenaga Kerja Tidak Langsung</v>
          </cell>
        </row>
        <row r="58">
          <cell r="A58" t="str">
            <v>6-330</v>
          </cell>
          <cell r="B58" t="str">
            <v>Sewa Tempat</v>
          </cell>
        </row>
        <row r="59">
          <cell r="A59" t="str">
            <v>6-340</v>
          </cell>
          <cell r="B59" t="str">
            <v>Operasional Produksi</v>
          </cell>
        </row>
        <row r="60">
          <cell r="A60" t="str">
            <v>6-350</v>
          </cell>
          <cell r="B60" t="str">
            <v>Penyusutan Peralatan</v>
          </cell>
        </row>
        <row r="61">
          <cell r="A61" t="str">
            <v>6-360</v>
          </cell>
          <cell r="B61" t="str">
            <v>Penyusutan Perlengkapan</v>
          </cell>
        </row>
        <row r="62">
          <cell r="A62" t="str">
            <v>6-370</v>
          </cell>
          <cell r="B62" t="str">
            <v>Pemeliharaan</v>
          </cell>
        </row>
        <row r="63">
          <cell r="A63" t="str">
            <v>7-000</v>
          </cell>
          <cell r="B63" t="str">
            <v>HARGA POKOK PRODUK TITIPAN</v>
          </cell>
        </row>
        <row r="64">
          <cell r="A64" t="str">
            <v>7-100</v>
          </cell>
          <cell r="B64" t="str">
            <v>Harga Produk Titipan</v>
          </cell>
        </row>
        <row r="65">
          <cell r="A65" t="str">
            <v>7-200</v>
          </cell>
          <cell r="B65" t="str">
            <v>Biaya Distribusi</v>
          </cell>
        </row>
        <row r="66">
          <cell r="A66" t="str">
            <v>8-000</v>
          </cell>
          <cell r="B66" t="str">
            <v>BIAYA OPERASIONAL BISNIS</v>
          </cell>
        </row>
        <row r="67">
          <cell r="A67" t="str">
            <v>8-100</v>
          </cell>
          <cell r="B67" t="str">
            <v>Sewa Tempat Penjualan</v>
          </cell>
        </row>
        <row r="68">
          <cell r="A68" t="str">
            <v>8-200</v>
          </cell>
          <cell r="B68" t="str">
            <v>Administrasi</v>
          </cell>
        </row>
        <row r="69">
          <cell r="A69" t="str">
            <v>8-300</v>
          </cell>
          <cell r="B69" t="str">
            <v>HRD</v>
          </cell>
        </row>
        <row r="70">
          <cell r="A70" t="str">
            <v>8-400</v>
          </cell>
          <cell r="B70" t="str">
            <v>Pemasaran</v>
          </cell>
        </row>
        <row r="71">
          <cell r="A71" t="str">
            <v>8-500</v>
          </cell>
          <cell r="B71" t="str">
            <v>Operasional Penjualan</v>
          </cell>
        </row>
        <row r="72">
          <cell r="A72" t="str">
            <v>8-600</v>
          </cell>
          <cell r="B72" t="str">
            <v>Tenaga Kerja Penjual</v>
          </cell>
        </row>
        <row r="73">
          <cell r="A73" t="str">
            <v>8-700</v>
          </cell>
          <cell r="B73" t="str">
            <v>Riset Produk dan Riset Pasar</v>
          </cell>
        </row>
        <row r="74">
          <cell r="A74" t="str">
            <v>8-800</v>
          </cell>
          <cell r="B74" t="str">
            <v>Biaya Lain-lain</v>
          </cell>
        </row>
        <row r="75">
          <cell r="A75" t="str">
            <v>9-000</v>
          </cell>
          <cell r="B75" t="str">
            <v>MUTASI LABA</v>
          </cell>
        </row>
        <row r="76">
          <cell r="A76" t="str">
            <v>9-100</v>
          </cell>
          <cell r="B76" t="str">
            <v>Penambahan Saham</v>
          </cell>
        </row>
        <row r="77">
          <cell r="A77" t="str">
            <v>9-200</v>
          </cell>
          <cell r="B77" t="str">
            <v>Laba ditahan</v>
          </cell>
        </row>
        <row r="78">
          <cell r="A78" t="str">
            <v>9-300</v>
          </cell>
          <cell r="B78" t="str">
            <v>Dividen</v>
          </cell>
        </row>
        <row r="79">
          <cell r="A79" t="str">
            <v>9-400</v>
          </cell>
          <cell r="B79" t="str">
            <v>Infaq</v>
          </cell>
        </row>
        <row r="80">
          <cell r="A80" t="str">
            <v>9-500</v>
          </cell>
          <cell r="B80" t="str">
            <v>Saving</v>
          </cell>
        </row>
        <row r="81">
          <cell r="A81" t="str">
            <v>9-600</v>
          </cell>
          <cell r="B81" t="str">
            <v>Prive</v>
          </cell>
        </row>
        <row r="82">
          <cell r="A82" t="str">
            <v>9-700</v>
          </cell>
          <cell r="B82" t="str">
            <v>Empty Akun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Neraca Awal"/>
      <sheetName val="Peralatan"/>
      <sheetName val="Dashboard"/>
      <sheetName val="Laporan Penjualan"/>
      <sheetName val="Neraca Lajur"/>
      <sheetName val="CashFlow"/>
      <sheetName val="Laporan Neraca"/>
      <sheetName val="Laporan Laba Rugi"/>
      <sheetName val="Gaji Karyawan"/>
      <sheetName val="Laporan Stok"/>
      <sheetName val="Rencana Pembelian"/>
      <sheetName val="POS"/>
      <sheetName val="Penjualan"/>
      <sheetName val="Penjualan CF"/>
      <sheetName val="Transaksi"/>
      <sheetName val="Jurnal Trans Klausa"/>
      <sheetName val="Laporan Mingguan"/>
      <sheetName val="Hitung"/>
      <sheetName val="Stok"/>
      <sheetName val="Stok Bahan Klausa"/>
      <sheetName val="Jurnal BB"/>
      <sheetName val="Stok Lajur"/>
      <sheetName val="Karyawan"/>
      <sheetName val="Gaji per Jabatan"/>
      <sheetName val="Biodata Karyawan"/>
      <sheetName val="Absen"/>
      <sheetName val="Forecasting"/>
      <sheetName val="Insentif"/>
      <sheetName val="Pembelian"/>
      <sheetName val="Rumus Bahan Baku"/>
      <sheetName val="Peramalan Permintaan"/>
      <sheetName val="Cabang"/>
    </sheetNames>
    <sheetDataSet>
      <sheetData sheetId="0"/>
      <sheetData sheetId="1">
        <row r="6">
          <cell r="A6" t="str">
            <v>1-000</v>
          </cell>
        </row>
        <row r="7">
          <cell r="A7" t="str">
            <v>1-110</v>
          </cell>
        </row>
        <row r="8">
          <cell r="A8" t="str">
            <v>1-120</v>
          </cell>
        </row>
        <row r="9">
          <cell r="A9" t="str">
            <v>1-130</v>
          </cell>
        </row>
        <row r="10">
          <cell r="A10" t="str">
            <v>1-200</v>
          </cell>
        </row>
        <row r="11">
          <cell r="A11" t="str">
            <v>1-300</v>
          </cell>
        </row>
        <row r="12">
          <cell r="A12" t="str">
            <v>1-310</v>
          </cell>
        </row>
        <row r="13">
          <cell r="A13" t="str">
            <v>1-320</v>
          </cell>
        </row>
        <row r="14">
          <cell r="A14" t="str">
            <v>1-330</v>
          </cell>
        </row>
        <row r="15">
          <cell r="A15" t="str">
            <v>1-400</v>
          </cell>
        </row>
        <row r="16">
          <cell r="A16" t="str">
            <v>1-500</v>
          </cell>
        </row>
        <row r="17">
          <cell r="A17" t="str">
            <v>1-600</v>
          </cell>
        </row>
        <row r="18">
          <cell r="A18" t="str">
            <v>2-000</v>
          </cell>
        </row>
        <row r="19">
          <cell r="A19" t="str">
            <v>2-100</v>
          </cell>
        </row>
        <row r="20">
          <cell r="A20" t="str">
            <v>2-200</v>
          </cell>
        </row>
        <row r="21">
          <cell r="A21" t="str">
            <v>2-300</v>
          </cell>
        </row>
        <row r="22">
          <cell r="A22" t="str">
            <v>2-400</v>
          </cell>
        </row>
        <row r="23">
          <cell r="A23" t="str">
            <v>2-500</v>
          </cell>
        </row>
        <row r="24">
          <cell r="A24" t="str">
            <v>2-600</v>
          </cell>
        </row>
        <row r="25">
          <cell r="A25" t="str">
            <v>2-700</v>
          </cell>
        </row>
        <row r="26">
          <cell r="A26" t="str">
            <v>2-800</v>
          </cell>
        </row>
        <row r="27">
          <cell r="A27" t="str">
            <v>2-900</v>
          </cell>
        </row>
        <row r="28">
          <cell r="A28" t="str">
            <v>3-000</v>
          </cell>
        </row>
        <row r="29">
          <cell r="A29" t="str">
            <v>3-100</v>
          </cell>
        </row>
        <row r="30">
          <cell r="A30" t="str">
            <v>3-110</v>
          </cell>
        </row>
        <row r="31">
          <cell r="A31" t="str">
            <v>3-200</v>
          </cell>
        </row>
        <row r="32">
          <cell r="A32" t="str">
            <v>3-210</v>
          </cell>
        </row>
        <row r="33">
          <cell r="A33" t="str">
            <v>3-220</v>
          </cell>
        </row>
        <row r="34">
          <cell r="A34" t="str">
            <v>3-230</v>
          </cell>
        </row>
        <row r="35">
          <cell r="A35" t="str">
            <v>4-000</v>
          </cell>
        </row>
        <row r="36">
          <cell r="A36" t="str">
            <v>4-110</v>
          </cell>
        </row>
        <row r="37">
          <cell r="A37" t="str">
            <v>4-120</v>
          </cell>
        </row>
        <row r="38">
          <cell r="A38" t="str">
            <v>4-130</v>
          </cell>
        </row>
        <row r="39">
          <cell r="A39" t="str">
            <v>4-140</v>
          </cell>
        </row>
        <row r="40">
          <cell r="A40" t="str">
            <v>4-150</v>
          </cell>
        </row>
        <row r="41">
          <cell r="A41" t="str">
            <v>4-160</v>
          </cell>
        </row>
        <row r="42">
          <cell r="A42" t="str">
            <v>4-200</v>
          </cell>
        </row>
        <row r="43">
          <cell r="A43" t="str">
            <v>4-300</v>
          </cell>
        </row>
        <row r="44">
          <cell r="A44" t="str">
            <v>4-400</v>
          </cell>
        </row>
        <row r="45">
          <cell r="A45" t="str">
            <v>5-000</v>
          </cell>
        </row>
        <row r="46">
          <cell r="A46" t="str">
            <v>5-100</v>
          </cell>
        </row>
        <row r="47">
          <cell r="A47" t="str">
            <v>5-200</v>
          </cell>
        </row>
        <row r="48">
          <cell r="A48" t="str">
            <v>5-300</v>
          </cell>
        </row>
        <row r="49">
          <cell r="A49" t="str">
            <v>5-400</v>
          </cell>
        </row>
        <row r="50">
          <cell r="A50" t="str">
            <v>5-500</v>
          </cell>
        </row>
        <row r="51">
          <cell r="A51" t="str">
            <v>5-600</v>
          </cell>
        </row>
        <row r="52">
          <cell r="A52" t="str">
            <v>6-000</v>
          </cell>
        </row>
        <row r="53">
          <cell r="A53" t="str">
            <v>6-100</v>
          </cell>
        </row>
        <row r="54">
          <cell r="A54" t="str">
            <v>6-110</v>
          </cell>
        </row>
        <row r="55">
          <cell r="A55" t="str">
            <v>6-120</v>
          </cell>
        </row>
        <row r="56">
          <cell r="A56" t="str">
            <v>6-200</v>
          </cell>
        </row>
        <row r="57">
          <cell r="A57" t="str">
            <v>6-300</v>
          </cell>
        </row>
        <row r="58">
          <cell r="A58" t="str">
            <v>6-310</v>
          </cell>
        </row>
        <row r="59">
          <cell r="A59" t="str">
            <v>6-320</v>
          </cell>
        </row>
        <row r="60">
          <cell r="A60" t="str">
            <v>6-330</v>
          </cell>
        </row>
        <row r="61">
          <cell r="A61" t="str">
            <v>6-340</v>
          </cell>
        </row>
        <row r="62">
          <cell r="A62" t="str">
            <v>6-350</v>
          </cell>
        </row>
        <row r="63">
          <cell r="A63" t="str">
            <v>6-360</v>
          </cell>
        </row>
        <row r="64">
          <cell r="A64" t="str">
            <v>6-370</v>
          </cell>
        </row>
        <row r="65">
          <cell r="A65" t="str">
            <v>6-380</v>
          </cell>
        </row>
        <row r="66">
          <cell r="A66" t="str">
            <v>7-000</v>
          </cell>
        </row>
        <row r="67">
          <cell r="A67" t="str">
            <v>7-100</v>
          </cell>
        </row>
        <row r="68">
          <cell r="A68" t="str">
            <v>7-200</v>
          </cell>
        </row>
        <row r="69">
          <cell r="A69" t="str">
            <v>8-000</v>
          </cell>
        </row>
        <row r="70">
          <cell r="A70" t="str">
            <v>8-100</v>
          </cell>
        </row>
        <row r="71">
          <cell r="A71" t="str">
            <v>8-200</v>
          </cell>
        </row>
        <row r="72">
          <cell r="A72" t="str">
            <v>8-300</v>
          </cell>
        </row>
        <row r="73">
          <cell r="A73" t="str">
            <v>8-400</v>
          </cell>
        </row>
        <row r="74">
          <cell r="A74" t="str">
            <v>8-500</v>
          </cell>
        </row>
        <row r="75">
          <cell r="A75" t="str">
            <v>8-600</v>
          </cell>
        </row>
        <row r="76">
          <cell r="A76" t="str">
            <v>8-700</v>
          </cell>
        </row>
        <row r="77">
          <cell r="A77" t="str">
            <v>8-800</v>
          </cell>
        </row>
        <row r="78">
          <cell r="A78" t="str">
            <v>9-000</v>
          </cell>
        </row>
        <row r="79">
          <cell r="A79" t="str">
            <v>9-100</v>
          </cell>
        </row>
        <row r="80">
          <cell r="A80" t="str">
            <v>9-200</v>
          </cell>
        </row>
        <row r="81">
          <cell r="A81" t="str">
            <v>9-300</v>
          </cell>
        </row>
        <row r="82">
          <cell r="A82" t="str">
            <v>9-400</v>
          </cell>
        </row>
        <row r="83">
          <cell r="A83" t="str">
            <v>9-500</v>
          </cell>
        </row>
        <row r="84">
          <cell r="A84" t="str">
            <v>9-600</v>
          </cell>
        </row>
      </sheetData>
      <sheetData sheetId="2"/>
      <sheetData sheetId="3"/>
      <sheetData sheetId="4"/>
      <sheetData sheetId="5"/>
      <sheetData sheetId="6"/>
      <sheetData sheetId="7">
        <row r="25">
          <cell r="D25">
            <v>23024500</v>
          </cell>
        </row>
        <row r="26">
          <cell r="D26">
            <v>530000</v>
          </cell>
          <cell r="I26">
            <v>2380762.3839631658</v>
          </cell>
        </row>
        <row r="27">
          <cell r="I27">
            <v>11961306.852764826</v>
          </cell>
        </row>
        <row r="28">
          <cell r="D28">
            <v>10855000</v>
          </cell>
          <cell r="I28">
            <v>6625147.7091096267</v>
          </cell>
        </row>
        <row r="30">
          <cell r="D30">
            <v>-4100000</v>
          </cell>
        </row>
        <row r="31">
          <cell r="D31">
            <v>-240000</v>
          </cell>
        </row>
        <row r="32">
          <cell r="I32">
            <v>11326113.75</v>
          </cell>
        </row>
        <row r="33">
          <cell r="D33">
            <v>-1800000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3"/>
  <sheetViews>
    <sheetView showGridLines="0" zoomScale="90" zoomScaleNormal="90" workbookViewId="0">
      <selection activeCell="N43" sqref="N43"/>
    </sheetView>
  </sheetViews>
  <sheetFormatPr defaultRowHeight="12.75" x14ac:dyDescent="0.2"/>
  <cols>
    <col min="1" max="1" width="3" style="103" customWidth="1"/>
    <col min="2" max="2" width="21" style="103" customWidth="1"/>
    <col min="3" max="3" width="7.85546875" style="103" customWidth="1"/>
    <col min="4" max="4" width="10.5703125" style="103" customWidth="1"/>
    <col min="5" max="5" width="18.28515625" style="103" customWidth="1"/>
    <col min="6" max="6" width="6.42578125" style="103" customWidth="1"/>
    <col min="7" max="7" width="2.85546875" style="103" customWidth="1"/>
    <col min="8" max="8" width="3.85546875" style="103" customWidth="1"/>
    <col min="9" max="10" width="10.140625" style="103" customWidth="1"/>
    <col min="11" max="11" width="4.5703125" style="103" customWidth="1"/>
    <col min="12" max="13" width="10.140625" style="103" customWidth="1"/>
    <col min="14" max="14" width="8.7109375" style="370" customWidth="1"/>
    <col min="15" max="17" width="10.140625" style="103" customWidth="1"/>
    <col min="18" max="16384" width="9.140625" style="103"/>
  </cols>
  <sheetData>
    <row r="1" spans="1:16" s="117" customFormat="1" ht="25.5" customHeight="1" thickBot="1" x14ac:dyDescent="0.25">
      <c r="A1" s="578" t="s">
        <v>337</v>
      </c>
      <c r="B1" s="578"/>
      <c r="C1" s="578"/>
      <c r="D1" s="578"/>
      <c r="E1" s="578"/>
      <c r="F1" s="578"/>
      <c r="G1" s="122"/>
      <c r="H1" s="116"/>
      <c r="I1" s="123"/>
      <c r="J1" s="123"/>
      <c r="K1" s="123"/>
      <c r="L1" s="123"/>
      <c r="M1" s="123"/>
      <c r="N1" s="369"/>
      <c r="O1" s="123"/>
    </row>
    <row r="2" spans="1:16" s="117" customFormat="1" ht="15" customHeight="1" x14ac:dyDescent="0.2">
      <c r="A2" s="578"/>
      <c r="B2" s="578"/>
      <c r="C2" s="578"/>
      <c r="D2" s="578"/>
      <c r="E2" s="578"/>
      <c r="F2" s="578"/>
      <c r="G2" s="122"/>
      <c r="H2" s="116"/>
      <c r="I2" s="123"/>
      <c r="J2" s="123"/>
      <c r="K2" s="134">
        <v>1</v>
      </c>
      <c r="L2" s="130" t="s">
        <v>115</v>
      </c>
      <c r="M2" s="369" t="s">
        <v>58</v>
      </c>
      <c r="N2" s="369" t="s">
        <v>58</v>
      </c>
      <c r="O2" s="123"/>
      <c r="P2" s="433" t="s">
        <v>413</v>
      </c>
    </row>
    <row r="3" spans="1:16" s="119" customFormat="1" ht="15" customHeight="1" x14ac:dyDescent="0.2">
      <c r="A3" s="114"/>
      <c r="B3" s="114"/>
      <c r="C3" s="114"/>
      <c r="D3" s="114"/>
      <c r="E3" s="114"/>
      <c r="F3" s="114"/>
      <c r="G3" s="118"/>
      <c r="H3" s="118"/>
      <c r="I3" s="123"/>
      <c r="J3" s="123"/>
      <c r="K3" s="135"/>
      <c r="L3" s="131" t="s">
        <v>109</v>
      </c>
      <c r="M3" s="369" t="s">
        <v>58</v>
      </c>
      <c r="N3" s="369">
        <v>43101</v>
      </c>
      <c r="O3" s="123"/>
    </row>
    <row r="4" spans="1:16" s="119" customFormat="1" ht="15" customHeight="1" x14ac:dyDescent="0.2">
      <c r="A4" s="115"/>
      <c r="B4" s="115"/>
      <c r="C4" s="115"/>
      <c r="D4" s="115"/>
      <c r="E4" s="115"/>
      <c r="F4" s="115"/>
      <c r="G4" s="120"/>
      <c r="H4" s="118"/>
      <c r="I4" s="123"/>
      <c r="J4" s="123"/>
      <c r="K4" s="135"/>
      <c r="L4" s="131" t="s">
        <v>110</v>
      </c>
      <c r="M4" s="369" t="s">
        <v>58</v>
      </c>
      <c r="N4" s="369">
        <v>43102</v>
      </c>
      <c r="O4" s="123"/>
    </row>
    <row r="5" spans="1:16" s="119" customFormat="1" ht="15" customHeight="1" x14ac:dyDescent="0.2">
      <c r="A5" s="115"/>
      <c r="B5" s="579" t="s">
        <v>72</v>
      </c>
      <c r="C5" s="579" t="s">
        <v>73</v>
      </c>
      <c r="D5" s="580" t="s">
        <v>75</v>
      </c>
      <c r="E5" s="580"/>
      <c r="F5" s="371"/>
      <c r="G5" s="120"/>
      <c r="H5" s="118"/>
      <c r="I5" s="123"/>
      <c r="J5" s="123"/>
      <c r="K5" s="135"/>
      <c r="L5" s="131" t="s">
        <v>111</v>
      </c>
      <c r="M5" s="369" t="s">
        <v>58</v>
      </c>
      <c r="N5" s="369">
        <v>43103</v>
      </c>
      <c r="O5" s="123"/>
    </row>
    <row r="6" spans="1:16" s="119" customFormat="1" ht="15" customHeight="1" x14ac:dyDescent="0.2">
      <c r="A6" s="115"/>
      <c r="B6" s="579"/>
      <c r="C6" s="579"/>
      <c r="D6" s="580"/>
      <c r="E6" s="580"/>
      <c r="F6" s="372"/>
      <c r="G6" s="120"/>
      <c r="H6" s="118"/>
      <c r="I6" s="123"/>
      <c r="J6" s="123"/>
      <c r="K6" s="135"/>
      <c r="L6" s="131" t="s">
        <v>112</v>
      </c>
      <c r="M6" s="369" t="s">
        <v>58</v>
      </c>
      <c r="N6" s="369">
        <v>43104</v>
      </c>
      <c r="O6" s="123"/>
    </row>
    <row r="7" spans="1:16" s="119" customFormat="1" ht="15" customHeight="1" x14ac:dyDescent="0.2">
      <c r="A7" s="115"/>
      <c r="B7" s="579" t="s">
        <v>89</v>
      </c>
      <c r="C7" s="579" t="s">
        <v>73</v>
      </c>
      <c r="D7" s="580">
        <v>1</v>
      </c>
      <c r="E7" s="580" t="s">
        <v>559</v>
      </c>
      <c r="F7" s="580">
        <v>2017</v>
      </c>
      <c r="G7" s="120"/>
      <c r="H7" s="118"/>
      <c r="I7" s="123"/>
      <c r="J7" s="123"/>
      <c r="K7" s="135"/>
      <c r="L7" s="131" t="s">
        <v>113</v>
      </c>
      <c r="M7" s="369">
        <v>43070</v>
      </c>
      <c r="N7" s="369">
        <v>43105</v>
      </c>
      <c r="O7" s="123"/>
    </row>
    <row r="8" spans="1:16" s="119" customFormat="1" ht="15" customHeight="1" thickBot="1" x14ac:dyDescent="0.25">
      <c r="A8" s="115"/>
      <c r="B8" s="579"/>
      <c r="C8" s="579"/>
      <c r="D8" s="580"/>
      <c r="E8" s="580"/>
      <c r="F8" s="580"/>
      <c r="G8" s="120"/>
      <c r="H8" s="118"/>
      <c r="I8" s="123"/>
      <c r="J8" s="123"/>
      <c r="K8" s="136"/>
      <c r="L8" s="132" t="s">
        <v>114</v>
      </c>
      <c r="M8" s="369">
        <v>43071</v>
      </c>
      <c r="N8" s="369">
        <v>43106</v>
      </c>
      <c r="O8" s="123"/>
    </row>
    <row r="9" spans="1:16" s="119" customFormat="1" ht="15" customHeight="1" x14ac:dyDescent="0.2">
      <c r="A9" s="120"/>
      <c r="B9" s="579" t="s">
        <v>90</v>
      </c>
      <c r="C9" s="579" t="s">
        <v>73</v>
      </c>
      <c r="D9" s="580">
        <v>31</v>
      </c>
      <c r="E9" s="580" t="str">
        <f>E7</f>
        <v>Desember</v>
      </c>
      <c r="F9" s="580">
        <v>2017</v>
      </c>
      <c r="G9" s="120"/>
      <c r="H9" s="118"/>
      <c r="I9" s="123"/>
      <c r="J9" s="123"/>
      <c r="K9" s="134">
        <v>2</v>
      </c>
      <c r="L9" s="130" t="s">
        <v>115</v>
      </c>
      <c r="M9" s="369">
        <v>43072</v>
      </c>
      <c r="N9" s="369">
        <v>43107</v>
      </c>
      <c r="O9" s="123"/>
    </row>
    <row r="10" spans="1:16" s="119" customFormat="1" ht="15" customHeight="1" x14ac:dyDescent="0.2">
      <c r="A10" s="120"/>
      <c r="B10" s="579"/>
      <c r="C10" s="579"/>
      <c r="D10" s="580"/>
      <c r="E10" s="580"/>
      <c r="F10" s="580"/>
      <c r="G10" s="120"/>
      <c r="H10" s="118"/>
      <c r="I10" s="123"/>
      <c r="J10" s="123"/>
      <c r="K10" s="135"/>
      <c r="L10" s="131" t="s">
        <v>109</v>
      </c>
      <c r="M10" s="369">
        <v>43073</v>
      </c>
      <c r="N10" s="369">
        <v>43108</v>
      </c>
      <c r="O10" s="123"/>
    </row>
    <row r="11" spans="1:16" s="119" customFormat="1" ht="15" customHeight="1" x14ac:dyDescent="0.2">
      <c r="A11" s="118"/>
      <c r="B11" s="118"/>
      <c r="C11" s="121"/>
      <c r="D11" s="121"/>
      <c r="E11" s="121"/>
      <c r="F11" s="121"/>
      <c r="G11" s="118"/>
      <c r="H11" s="118"/>
      <c r="I11" s="123"/>
      <c r="J11" s="123"/>
      <c r="K11" s="135"/>
      <c r="L11" s="131" t="s">
        <v>110</v>
      </c>
      <c r="M11" s="369">
        <v>43074</v>
      </c>
      <c r="N11" s="369">
        <v>43109</v>
      </c>
      <c r="O11" s="123"/>
    </row>
    <row r="12" spans="1:16" s="119" customFormat="1" ht="15" customHeight="1" x14ac:dyDescent="0.2">
      <c r="A12" s="583"/>
      <c r="B12" s="583"/>
      <c r="C12" s="583"/>
      <c r="D12" s="583"/>
      <c r="E12" s="583"/>
      <c r="F12" s="583"/>
      <c r="G12" s="583"/>
      <c r="H12" s="118"/>
      <c r="I12" s="123"/>
      <c r="J12" s="123"/>
      <c r="K12" s="135"/>
      <c r="L12" s="131" t="s">
        <v>111</v>
      </c>
      <c r="M12" s="369">
        <v>43075</v>
      </c>
      <c r="N12" s="369">
        <v>43110</v>
      </c>
      <c r="O12" s="123"/>
    </row>
    <row r="13" spans="1:16" s="119" customFormat="1" ht="15" customHeight="1" x14ac:dyDescent="0.2">
      <c r="A13" s="120"/>
      <c r="B13" s="120"/>
      <c r="C13" s="120"/>
      <c r="D13" s="120"/>
      <c r="E13" s="120"/>
      <c r="F13" s="120"/>
      <c r="G13" s="120"/>
      <c r="H13" s="118"/>
      <c r="I13" s="123"/>
      <c r="J13" s="123"/>
      <c r="K13" s="135"/>
      <c r="L13" s="131" t="s">
        <v>112</v>
      </c>
      <c r="M13" s="369">
        <v>43076</v>
      </c>
      <c r="N13" s="369">
        <v>43111</v>
      </c>
      <c r="O13" s="123"/>
    </row>
    <row r="14" spans="1:16" s="119" customFormat="1" ht="15" customHeight="1" x14ac:dyDescent="0.2">
      <c r="A14" s="120"/>
      <c r="B14" s="120"/>
      <c r="C14" s="120"/>
      <c r="D14" s="120"/>
      <c r="E14" s="120"/>
      <c r="F14" s="120"/>
      <c r="G14" s="120"/>
      <c r="H14" s="118"/>
      <c r="I14" s="581" t="str">
        <f>D7&amp;" "&amp;E7&amp;" "&amp;F7</f>
        <v>1 Desember 2017</v>
      </c>
      <c r="J14" s="582"/>
      <c r="K14" s="135"/>
      <c r="L14" s="131" t="s">
        <v>113</v>
      </c>
      <c r="M14" s="369">
        <v>43077</v>
      </c>
      <c r="N14" s="369">
        <v>43112</v>
      </c>
      <c r="O14" s="123"/>
    </row>
    <row r="15" spans="1:16" s="119" customFormat="1" ht="15" customHeight="1" thickBot="1" x14ac:dyDescent="0.25">
      <c r="A15" s="120"/>
      <c r="B15" s="120"/>
      <c r="C15" s="120"/>
      <c r="D15" s="120"/>
      <c r="E15" s="120"/>
      <c r="F15" s="120"/>
      <c r="G15" s="120"/>
      <c r="H15" s="118"/>
      <c r="I15" s="581" t="str">
        <f>D9&amp;" "&amp;E9&amp;" "&amp;F9</f>
        <v>31 Desember 2017</v>
      </c>
      <c r="J15" s="582"/>
      <c r="K15" s="136"/>
      <c r="L15" s="132" t="s">
        <v>114</v>
      </c>
      <c r="M15" s="369">
        <v>43078</v>
      </c>
      <c r="N15" s="369">
        <v>43113</v>
      </c>
      <c r="O15" s="123"/>
    </row>
    <row r="16" spans="1:16" s="119" customFormat="1" ht="15" customHeight="1" x14ac:dyDescent="0.2">
      <c r="A16" s="120"/>
      <c r="B16" s="120"/>
      <c r="C16" s="120"/>
      <c r="D16" s="120"/>
      <c r="E16" s="120"/>
      <c r="F16" s="120"/>
      <c r="G16" s="120"/>
      <c r="H16" s="118"/>
      <c r="I16" s="123"/>
      <c r="J16" s="123"/>
      <c r="K16" s="134">
        <v>3</v>
      </c>
      <c r="L16" s="130" t="s">
        <v>115</v>
      </c>
      <c r="M16" s="369">
        <v>43079</v>
      </c>
      <c r="N16" s="369">
        <v>43114</v>
      </c>
      <c r="O16" s="123"/>
    </row>
    <row r="17" spans="1:15" s="119" customFormat="1" x14ac:dyDescent="0.2">
      <c r="A17" s="120"/>
      <c r="B17" s="120"/>
      <c r="C17" s="120"/>
      <c r="D17" s="120"/>
      <c r="E17" s="120"/>
      <c r="F17" s="120"/>
      <c r="G17" s="120"/>
      <c r="H17" s="118"/>
      <c r="I17" s="123"/>
      <c r="J17" s="123"/>
      <c r="K17" s="135"/>
      <c r="L17" s="131" t="s">
        <v>109</v>
      </c>
      <c r="M17" s="369">
        <v>43080</v>
      </c>
      <c r="N17" s="369">
        <v>43115</v>
      </c>
      <c r="O17" s="123"/>
    </row>
    <row r="18" spans="1:15" s="119" customFormat="1" x14ac:dyDescent="0.2">
      <c r="A18" s="120"/>
      <c r="B18" s="120"/>
      <c r="C18" s="120"/>
      <c r="D18" s="120"/>
      <c r="E18" s="120"/>
      <c r="F18" s="120"/>
      <c r="G18" s="120"/>
      <c r="H18" s="118"/>
      <c r="I18" s="123"/>
      <c r="J18" s="123"/>
      <c r="K18" s="135"/>
      <c r="L18" s="131" t="s">
        <v>110</v>
      </c>
      <c r="M18" s="369">
        <v>43081</v>
      </c>
      <c r="N18" s="369">
        <v>43116</v>
      </c>
      <c r="O18" s="123"/>
    </row>
    <row r="19" spans="1:15" s="119" customFormat="1" x14ac:dyDescent="0.2">
      <c r="A19" s="120"/>
      <c r="B19" s="120"/>
      <c r="C19" s="120"/>
      <c r="D19" s="120"/>
      <c r="E19" s="120"/>
      <c r="F19" s="120"/>
      <c r="G19" s="120"/>
      <c r="H19" s="118"/>
      <c r="I19" s="123"/>
      <c r="J19" s="123"/>
      <c r="K19" s="135"/>
      <c r="L19" s="131" t="s">
        <v>111</v>
      </c>
      <c r="M19" s="369">
        <v>43082</v>
      </c>
      <c r="N19" s="369">
        <v>43117</v>
      </c>
      <c r="O19" s="123"/>
    </row>
    <row r="20" spans="1:15" s="119" customFormat="1" x14ac:dyDescent="0.2">
      <c r="A20" s="120"/>
      <c r="B20" s="120"/>
      <c r="C20" s="120"/>
      <c r="D20" s="120"/>
      <c r="E20" s="120"/>
      <c r="F20" s="120"/>
      <c r="G20" s="120"/>
      <c r="H20" s="118"/>
      <c r="I20" s="123"/>
      <c r="J20" s="123"/>
      <c r="K20" s="135"/>
      <c r="L20" s="131" t="s">
        <v>112</v>
      </c>
      <c r="M20" s="369">
        <v>43083</v>
      </c>
      <c r="N20" s="369">
        <v>43118</v>
      </c>
      <c r="O20" s="123"/>
    </row>
    <row r="21" spans="1:15" s="119" customFormat="1" x14ac:dyDescent="0.2">
      <c r="A21" s="120"/>
      <c r="B21" s="120"/>
      <c r="C21" s="120"/>
      <c r="D21" s="120"/>
      <c r="E21" s="120"/>
      <c r="F21" s="120"/>
      <c r="G21" s="120"/>
      <c r="H21" s="118"/>
      <c r="I21" s="123"/>
      <c r="J21" s="123"/>
      <c r="K21" s="135"/>
      <c r="L21" s="131" t="s">
        <v>113</v>
      </c>
      <c r="M21" s="369">
        <v>43084</v>
      </c>
      <c r="N21" s="369">
        <v>43119</v>
      </c>
      <c r="O21" s="123"/>
    </row>
    <row r="22" spans="1:15" s="119" customFormat="1" ht="13.5" thickBot="1" x14ac:dyDescent="0.25">
      <c r="A22" s="120"/>
      <c r="B22" s="120"/>
      <c r="C22" s="120"/>
      <c r="D22" s="120"/>
      <c r="E22" s="120"/>
      <c r="F22" s="120"/>
      <c r="G22" s="120"/>
      <c r="H22" s="118"/>
      <c r="I22" s="123"/>
      <c r="J22" s="123"/>
      <c r="K22" s="136"/>
      <c r="L22" s="132" t="s">
        <v>114</v>
      </c>
      <c r="M22" s="369">
        <v>43085</v>
      </c>
      <c r="N22" s="369">
        <v>43120</v>
      </c>
      <c r="O22" s="123"/>
    </row>
    <row r="23" spans="1:15" s="119" customFormat="1" x14ac:dyDescent="0.2">
      <c r="A23" s="120"/>
      <c r="B23" s="120"/>
      <c r="C23" s="120"/>
      <c r="D23" s="120"/>
      <c r="E23" s="120"/>
      <c r="F23" s="120"/>
      <c r="G23" s="120"/>
      <c r="H23" s="118"/>
      <c r="I23" s="123"/>
      <c r="J23" s="123"/>
      <c r="K23" s="134">
        <v>4</v>
      </c>
      <c r="L23" s="130" t="s">
        <v>115</v>
      </c>
      <c r="M23" s="369">
        <v>43086</v>
      </c>
      <c r="N23" s="369">
        <v>43121</v>
      </c>
      <c r="O23" s="123"/>
    </row>
    <row r="24" spans="1:15" s="119" customFormat="1" x14ac:dyDescent="0.2">
      <c r="A24" s="120"/>
      <c r="B24" s="120"/>
      <c r="C24" s="120"/>
      <c r="D24" s="120"/>
      <c r="E24" s="120"/>
      <c r="F24" s="120"/>
      <c r="G24" s="120"/>
      <c r="H24" s="118"/>
      <c r="I24" s="123"/>
      <c r="J24" s="123"/>
      <c r="K24" s="135"/>
      <c r="L24" s="131" t="s">
        <v>109</v>
      </c>
      <c r="M24" s="369">
        <v>43087</v>
      </c>
      <c r="N24" s="369">
        <v>43122</v>
      </c>
      <c r="O24" s="123"/>
    </row>
    <row r="25" spans="1:15" s="119" customFormat="1" x14ac:dyDescent="0.2">
      <c r="A25" s="120"/>
      <c r="B25" s="120"/>
      <c r="C25" s="120"/>
      <c r="D25" s="120"/>
      <c r="E25" s="120"/>
      <c r="F25" s="120"/>
      <c r="G25" s="120"/>
      <c r="H25" s="118"/>
      <c r="I25" s="123"/>
      <c r="J25" s="123"/>
      <c r="K25" s="135"/>
      <c r="L25" s="131" t="s">
        <v>110</v>
      </c>
      <c r="M25" s="369">
        <v>43088</v>
      </c>
      <c r="N25" s="369">
        <v>43123</v>
      </c>
      <c r="O25" s="123"/>
    </row>
    <row r="26" spans="1:15" s="119" customFormat="1" x14ac:dyDescent="0.2">
      <c r="A26" s="120"/>
      <c r="B26" s="120"/>
      <c r="C26" s="120"/>
      <c r="D26" s="120"/>
      <c r="E26" s="120"/>
      <c r="F26" s="120"/>
      <c r="G26" s="120"/>
      <c r="H26" s="118"/>
      <c r="I26" s="123"/>
      <c r="J26" s="123"/>
      <c r="K26" s="135"/>
      <c r="L26" s="131" t="s">
        <v>111</v>
      </c>
      <c r="M26" s="369">
        <v>43089</v>
      </c>
      <c r="N26" s="369">
        <v>43124</v>
      </c>
      <c r="O26" s="123"/>
    </row>
    <row r="27" spans="1:15" s="119" customFormat="1" x14ac:dyDescent="0.2">
      <c r="A27" s="120"/>
      <c r="B27" s="120"/>
      <c r="C27" s="120"/>
      <c r="D27" s="120"/>
      <c r="E27" s="120"/>
      <c r="F27" s="120"/>
      <c r="G27" s="120"/>
      <c r="H27" s="118"/>
      <c r="I27" s="123"/>
      <c r="J27" s="123"/>
      <c r="K27" s="135"/>
      <c r="L27" s="131" t="s">
        <v>112</v>
      </c>
      <c r="M27" s="369">
        <v>43090</v>
      </c>
      <c r="N27" s="369">
        <v>43125</v>
      </c>
      <c r="O27" s="123"/>
    </row>
    <row r="28" spans="1:15" s="119" customFormat="1" ht="18" customHeight="1" x14ac:dyDescent="0.2">
      <c r="A28" s="120"/>
      <c r="B28" s="120"/>
      <c r="C28" s="120"/>
      <c r="D28" s="120"/>
      <c r="E28" s="120"/>
      <c r="F28" s="120"/>
      <c r="G28" s="120"/>
      <c r="H28" s="118"/>
      <c r="I28" s="123"/>
      <c r="J28" s="123"/>
      <c r="K28" s="135"/>
      <c r="L28" s="131" t="s">
        <v>113</v>
      </c>
      <c r="M28" s="369">
        <v>43091</v>
      </c>
      <c r="N28" s="369">
        <v>43126</v>
      </c>
      <c r="O28" s="123"/>
    </row>
    <row r="29" spans="1:15" ht="13.5" thickBot="1" x14ac:dyDescent="0.25">
      <c r="A29" s="120"/>
      <c r="B29" s="120"/>
      <c r="C29" s="120"/>
      <c r="D29" s="120"/>
      <c r="E29" s="120"/>
      <c r="F29" s="120"/>
      <c r="G29" s="120"/>
      <c r="H29" s="133"/>
      <c r="I29" s="123"/>
      <c r="J29" s="123"/>
      <c r="K29" s="136"/>
      <c r="L29" s="132" t="s">
        <v>114</v>
      </c>
      <c r="M29" s="369">
        <v>43092</v>
      </c>
      <c r="N29" s="369">
        <v>43127</v>
      </c>
      <c r="O29" s="123"/>
    </row>
    <row r="30" spans="1:15" x14ac:dyDescent="0.2">
      <c r="A30" s="120"/>
      <c r="B30" s="120"/>
      <c r="C30" s="120"/>
      <c r="D30" s="120"/>
      <c r="E30" s="120"/>
      <c r="F30" s="120"/>
      <c r="G30" s="120"/>
      <c r="H30" s="133"/>
      <c r="I30" s="123"/>
      <c r="J30" s="123"/>
      <c r="K30" s="134">
        <v>5</v>
      </c>
      <c r="L30" s="130" t="s">
        <v>115</v>
      </c>
      <c r="M30" s="369">
        <v>43093</v>
      </c>
      <c r="N30" s="369">
        <v>43128</v>
      </c>
      <c r="O30" s="123"/>
    </row>
    <row r="31" spans="1:15" x14ac:dyDescent="0.2">
      <c r="A31" s="133"/>
      <c r="B31" s="133"/>
      <c r="C31" s="133"/>
      <c r="D31" s="133"/>
      <c r="E31" s="133"/>
      <c r="F31" s="133"/>
      <c r="G31" s="133"/>
      <c r="H31" s="133"/>
      <c r="I31" s="123"/>
      <c r="J31" s="123"/>
      <c r="K31" s="135"/>
      <c r="L31" s="131" t="s">
        <v>109</v>
      </c>
      <c r="M31" s="369">
        <v>43094</v>
      </c>
      <c r="N31" s="369">
        <v>43129</v>
      </c>
      <c r="O31" s="123"/>
    </row>
    <row r="32" spans="1:15" x14ac:dyDescent="0.2">
      <c r="H32" s="133"/>
      <c r="I32" s="123"/>
      <c r="J32" s="123"/>
      <c r="K32" s="135"/>
      <c r="L32" s="131" t="s">
        <v>110</v>
      </c>
      <c r="M32" s="369">
        <v>43095</v>
      </c>
      <c r="N32" s="369">
        <v>43130</v>
      </c>
      <c r="O32" s="123"/>
    </row>
    <row r="33" spans="8:15" x14ac:dyDescent="0.2">
      <c r="H33" s="133"/>
      <c r="I33" s="123"/>
      <c r="J33" s="123"/>
      <c r="K33" s="135"/>
      <c r="L33" s="131" t="s">
        <v>111</v>
      </c>
      <c r="M33" s="369">
        <v>43096</v>
      </c>
      <c r="N33" s="369">
        <v>43131</v>
      </c>
      <c r="O33" s="123"/>
    </row>
    <row r="34" spans="8:15" x14ac:dyDescent="0.2">
      <c r="H34" s="133"/>
      <c r="I34" s="123"/>
      <c r="J34" s="123"/>
      <c r="K34" s="135"/>
      <c r="L34" s="131" t="s">
        <v>112</v>
      </c>
      <c r="M34" s="369">
        <v>43097</v>
      </c>
      <c r="N34" s="369" t="s">
        <v>58</v>
      </c>
      <c r="O34" s="123"/>
    </row>
    <row r="35" spans="8:15" x14ac:dyDescent="0.2">
      <c r="H35" s="133"/>
      <c r="I35" s="123"/>
      <c r="J35" s="123"/>
      <c r="K35" s="135"/>
      <c r="L35" s="131" t="s">
        <v>113</v>
      </c>
      <c r="M35" s="369">
        <v>43098</v>
      </c>
      <c r="N35" s="369" t="s">
        <v>58</v>
      </c>
      <c r="O35" s="123"/>
    </row>
    <row r="36" spans="8:15" ht="13.5" thickBot="1" x14ac:dyDescent="0.25">
      <c r="H36" s="133"/>
      <c r="I36" s="123"/>
      <c r="J36" s="123"/>
      <c r="K36" s="136"/>
      <c r="L36" s="132" t="s">
        <v>114</v>
      </c>
      <c r="M36" s="369">
        <v>43099</v>
      </c>
      <c r="N36" s="369" t="s">
        <v>58</v>
      </c>
      <c r="O36" s="123"/>
    </row>
    <row r="37" spans="8:15" x14ac:dyDescent="0.2">
      <c r="H37" s="133"/>
      <c r="I37" s="123"/>
      <c r="J37" s="123"/>
      <c r="K37" s="134">
        <v>6</v>
      </c>
      <c r="L37" s="130" t="s">
        <v>115</v>
      </c>
      <c r="M37" s="369">
        <v>43100</v>
      </c>
      <c r="N37" s="369" t="s">
        <v>58</v>
      </c>
      <c r="O37" s="123"/>
    </row>
    <row r="38" spans="8:15" x14ac:dyDescent="0.2">
      <c r="H38" s="133"/>
      <c r="I38" s="123"/>
      <c r="J38" s="123"/>
      <c r="K38" s="135"/>
      <c r="L38" s="131" t="s">
        <v>109</v>
      </c>
      <c r="M38" s="369" t="s">
        <v>58</v>
      </c>
      <c r="N38" s="369" t="s">
        <v>58</v>
      </c>
      <c r="O38" s="123"/>
    </row>
    <row r="39" spans="8:15" x14ac:dyDescent="0.2">
      <c r="H39" s="133"/>
      <c r="I39" s="123"/>
      <c r="J39" s="123"/>
      <c r="K39" s="135"/>
      <c r="L39" s="131" t="s">
        <v>110</v>
      </c>
      <c r="M39" s="369" t="s">
        <v>58</v>
      </c>
      <c r="N39" s="369" t="s">
        <v>58</v>
      </c>
      <c r="O39" s="123"/>
    </row>
    <row r="40" spans="8:15" x14ac:dyDescent="0.2">
      <c r="H40" s="133"/>
      <c r="I40" s="123"/>
      <c r="J40" s="123"/>
      <c r="K40" s="135"/>
      <c r="L40" s="131" t="s">
        <v>111</v>
      </c>
      <c r="M40" s="369" t="s">
        <v>58</v>
      </c>
      <c r="N40" s="369" t="s">
        <v>58</v>
      </c>
      <c r="O40" s="123"/>
    </row>
    <row r="41" spans="8:15" x14ac:dyDescent="0.2">
      <c r="H41" s="133"/>
      <c r="I41" s="123"/>
      <c r="J41" s="123"/>
      <c r="K41" s="135"/>
      <c r="L41" s="131" t="s">
        <v>112</v>
      </c>
      <c r="M41" s="369" t="s">
        <v>58</v>
      </c>
      <c r="N41" s="369" t="s">
        <v>58</v>
      </c>
      <c r="O41" s="123"/>
    </row>
    <row r="42" spans="8:15" x14ac:dyDescent="0.2">
      <c r="H42" s="133"/>
      <c r="I42" s="123"/>
      <c r="J42" s="123"/>
      <c r="K42" s="135"/>
      <c r="L42" s="131" t="s">
        <v>113</v>
      </c>
      <c r="M42" s="369" t="s">
        <v>58</v>
      </c>
      <c r="N42" s="369" t="s">
        <v>58</v>
      </c>
      <c r="O42" s="123"/>
    </row>
    <row r="43" spans="8:15" ht="13.5" thickBot="1" x14ac:dyDescent="0.25">
      <c r="H43" s="133"/>
      <c r="I43" s="123"/>
      <c r="J43" s="123"/>
      <c r="K43" s="136"/>
      <c r="L43" s="132" t="s">
        <v>114</v>
      </c>
      <c r="M43" s="369" t="s">
        <v>58</v>
      </c>
      <c r="N43" s="369"/>
      <c r="O43" s="123"/>
    </row>
    <row r="44" spans="8:15" x14ac:dyDescent="0.2">
      <c r="H44" s="133"/>
      <c r="I44" s="123"/>
      <c r="J44" s="123"/>
      <c r="K44" s="123"/>
      <c r="L44" s="123"/>
      <c r="M44" s="124"/>
      <c r="N44" s="369"/>
      <c r="O44" s="123"/>
    </row>
    <row r="45" spans="8:15" x14ac:dyDescent="0.2">
      <c r="H45" s="133"/>
    </row>
    <row r="46" spans="8:15" x14ac:dyDescent="0.2">
      <c r="H46" s="133"/>
    </row>
    <row r="47" spans="8:15" x14ac:dyDescent="0.2">
      <c r="H47" s="133"/>
    </row>
    <row r="48" spans="8:15" x14ac:dyDescent="0.2">
      <c r="H48" s="133"/>
    </row>
    <row r="49" spans="8:8" x14ac:dyDescent="0.2">
      <c r="H49" s="133"/>
    </row>
    <row r="50" spans="8:8" x14ac:dyDescent="0.2">
      <c r="H50" s="133"/>
    </row>
    <row r="51" spans="8:8" x14ac:dyDescent="0.2">
      <c r="H51" s="133"/>
    </row>
    <row r="52" spans="8:8" x14ac:dyDescent="0.2">
      <c r="H52" s="133"/>
    </row>
    <row r="53" spans="8:8" x14ac:dyDescent="0.2">
      <c r="H53" s="133"/>
    </row>
    <row r="54" spans="8:8" x14ac:dyDescent="0.2">
      <c r="H54" s="133"/>
    </row>
    <row r="55" spans="8:8" x14ac:dyDescent="0.2">
      <c r="H55" s="133"/>
    </row>
    <row r="56" spans="8:8" x14ac:dyDescent="0.2">
      <c r="H56" s="133"/>
    </row>
    <row r="57" spans="8:8" x14ac:dyDescent="0.2">
      <c r="H57" s="133"/>
    </row>
    <row r="58" spans="8:8" x14ac:dyDescent="0.2">
      <c r="H58" s="133"/>
    </row>
    <row r="59" spans="8:8" x14ac:dyDescent="0.2">
      <c r="H59" s="133"/>
    </row>
    <row r="60" spans="8:8" x14ac:dyDescent="0.2">
      <c r="H60" s="133"/>
    </row>
    <row r="61" spans="8:8" x14ac:dyDescent="0.2">
      <c r="H61" s="133"/>
    </row>
    <row r="62" spans="8:8" x14ac:dyDescent="0.2">
      <c r="H62" s="133"/>
    </row>
    <row r="63" spans="8:8" x14ac:dyDescent="0.2">
      <c r="H63" s="133"/>
    </row>
    <row r="64" spans="8:8" x14ac:dyDescent="0.2">
      <c r="H64" s="133"/>
    </row>
    <row r="65" spans="8:8" x14ac:dyDescent="0.2">
      <c r="H65" s="133"/>
    </row>
    <row r="66" spans="8:8" x14ac:dyDescent="0.2">
      <c r="H66" s="133"/>
    </row>
    <row r="67" spans="8:8" x14ac:dyDescent="0.2">
      <c r="H67" s="133"/>
    </row>
    <row r="68" spans="8:8" x14ac:dyDescent="0.2">
      <c r="H68" s="133"/>
    </row>
    <row r="69" spans="8:8" x14ac:dyDescent="0.2">
      <c r="H69" s="133"/>
    </row>
    <row r="70" spans="8:8" x14ac:dyDescent="0.2">
      <c r="H70" s="133"/>
    </row>
    <row r="71" spans="8:8" x14ac:dyDescent="0.2">
      <c r="H71" s="133"/>
    </row>
    <row r="72" spans="8:8" x14ac:dyDescent="0.2">
      <c r="H72" s="133"/>
    </row>
    <row r="73" spans="8:8" x14ac:dyDescent="0.2">
      <c r="H73" s="133"/>
    </row>
  </sheetData>
  <mergeCells count="17">
    <mergeCell ref="C9:C10"/>
    <mergeCell ref="B9:B10"/>
    <mergeCell ref="I14:J14"/>
    <mergeCell ref="I15:J15"/>
    <mergeCell ref="A12:G12"/>
    <mergeCell ref="F9:F10"/>
    <mergeCell ref="E9:E10"/>
    <mergeCell ref="D9:D10"/>
    <mergeCell ref="A1:F2"/>
    <mergeCell ref="B5:B6"/>
    <mergeCell ref="C5:C6"/>
    <mergeCell ref="D5:E6"/>
    <mergeCell ref="B7:B8"/>
    <mergeCell ref="C7:C8"/>
    <mergeCell ref="D7:D8"/>
    <mergeCell ref="E7:E8"/>
    <mergeCell ref="F7:F8"/>
  </mergeCells>
  <dataValidations count="3">
    <dataValidation type="list" allowBlank="1" showInputMessage="1" showErrorMessage="1" sqref="E7 E9">
      <formula1>Bln</formula1>
    </dataValidation>
    <dataValidation type="list" allowBlank="1" showInputMessage="1" showErrorMessage="1" sqref="F7 F9">
      <formula1>Thn</formula1>
    </dataValidation>
    <dataValidation type="list" allowBlank="1" showInputMessage="1" showErrorMessage="1" sqref="D7 D9">
      <formula1>Tgl</formula1>
    </dataValidation>
  </dataValidations>
  <pageMargins left="0.7" right="0.7" top="0.75" bottom="0.75" header="0.3" footer="0.3"/>
  <pageSetup paperSize="9" orientation="portrait" r:id="rId1"/>
  <ignoredErrors>
    <ignoredError sqref="E9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133"/>
  <sheetViews>
    <sheetView showGridLines="0" topLeftCell="A109" zoomScaleNormal="100" workbookViewId="0">
      <selection activeCell="L125" sqref="L125"/>
    </sheetView>
  </sheetViews>
  <sheetFormatPr defaultColWidth="0" defaultRowHeight="12.75" x14ac:dyDescent="0.2"/>
  <cols>
    <col min="1" max="1" width="14.85546875" customWidth="1"/>
    <col min="2" max="2" width="7.7109375" bestFit="1" customWidth="1"/>
    <col min="3" max="3" width="18.7109375" customWidth="1"/>
    <col min="4" max="4" width="3.85546875" bestFit="1" customWidth="1"/>
    <col min="5" max="5" width="8" customWidth="1"/>
    <col min="6" max="6" width="3.5703125" style="68" customWidth="1"/>
    <col min="7" max="7" width="11.85546875" customWidth="1"/>
    <col min="8" max="8" width="4.7109375" customWidth="1"/>
    <col min="9" max="9" width="9.28515625" customWidth="1"/>
    <col min="10" max="10" width="13.42578125" customWidth="1"/>
    <col min="11" max="11" width="4.7109375" customWidth="1"/>
    <col min="12" max="12" width="15.140625" customWidth="1"/>
    <col min="13" max="13" width="9.140625" customWidth="1"/>
    <col min="14" max="16384" width="9.140625" hidden="1"/>
  </cols>
  <sheetData>
    <row r="1" spans="1:13" ht="21" x14ac:dyDescent="0.35">
      <c r="A1" s="634" t="s">
        <v>232</v>
      </c>
      <c r="B1" s="634"/>
      <c r="C1" s="634"/>
      <c r="D1" s="634"/>
      <c r="E1" s="634"/>
      <c r="F1" s="634"/>
      <c r="G1" s="635" t="str">
        <f>'Main Menu'!E7</f>
        <v>Desember</v>
      </c>
      <c r="H1" s="635"/>
      <c r="I1" s="635"/>
      <c r="J1" s="635"/>
      <c r="K1" s="635"/>
      <c r="L1" s="635"/>
      <c r="M1" s="635"/>
    </row>
    <row r="2" spans="1:13" x14ac:dyDescent="0.2">
      <c r="A2" s="198"/>
      <c r="B2" s="198"/>
      <c r="C2" s="198"/>
      <c r="D2" s="198"/>
      <c r="E2" s="198"/>
      <c r="F2" s="278"/>
      <c r="G2" s="198"/>
      <c r="H2" s="198"/>
      <c r="I2" s="198"/>
      <c r="J2" s="198"/>
      <c r="K2" s="198"/>
      <c r="L2" s="198"/>
      <c r="M2" s="198"/>
    </row>
    <row r="3" spans="1:13" x14ac:dyDescent="0.2">
      <c r="A3" s="198" t="s">
        <v>157</v>
      </c>
      <c r="B3" s="278" t="s">
        <v>73</v>
      </c>
      <c r="C3" s="567" t="s">
        <v>159</v>
      </c>
      <c r="D3" s="198"/>
      <c r="E3" s="198"/>
      <c r="F3" s="278"/>
      <c r="G3" s="198"/>
      <c r="H3" s="198"/>
      <c r="I3" s="198"/>
      <c r="J3" s="198"/>
      <c r="K3" s="198"/>
      <c r="L3" s="198"/>
      <c r="M3" s="198"/>
    </row>
    <row r="4" spans="1:13" x14ac:dyDescent="0.2">
      <c r="A4" s="198" t="s">
        <v>163</v>
      </c>
      <c r="B4" s="278" t="s">
        <v>73</v>
      </c>
      <c r="C4" s="289" t="str">
        <f>'Main Menu'!I14</f>
        <v>1 Desember 2017</v>
      </c>
      <c r="D4" s="278" t="s">
        <v>164</v>
      </c>
      <c r="E4" s="292" t="str">
        <f>'Main Menu'!I15</f>
        <v>31 Desember 2017</v>
      </c>
      <c r="F4" s="291"/>
      <c r="G4" s="198"/>
      <c r="H4" s="198"/>
      <c r="I4" s="198"/>
      <c r="J4" s="198"/>
      <c r="K4" s="198"/>
      <c r="L4" s="198"/>
      <c r="M4" s="198"/>
    </row>
    <row r="5" spans="1:13" x14ac:dyDescent="0.2">
      <c r="A5" s="630" t="s">
        <v>165</v>
      </c>
      <c r="B5" s="631"/>
      <c r="C5" s="631"/>
      <c r="D5" s="631"/>
      <c r="E5" s="631"/>
      <c r="F5" s="631"/>
      <c r="G5" s="632"/>
      <c r="H5" s="198"/>
      <c r="I5" s="630" t="s">
        <v>166</v>
      </c>
      <c r="J5" s="632"/>
      <c r="K5" s="198"/>
      <c r="L5" s="630" t="s">
        <v>237</v>
      </c>
      <c r="M5" s="632"/>
    </row>
    <row r="6" spans="1:13" x14ac:dyDescent="0.2">
      <c r="A6" s="279" t="s">
        <v>167</v>
      </c>
      <c r="B6" s="504">
        <f>Absen!D48</f>
        <v>21</v>
      </c>
      <c r="C6" s="280" t="s">
        <v>168</v>
      </c>
      <c r="D6" s="280" t="s">
        <v>169</v>
      </c>
      <c r="E6" s="281">
        <v>42000</v>
      </c>
      <c r="F6" s="199" t="s">
        <v>170</v>
      </c>
      <c r="G6" s="282">
        <f>B6*E6</f>
        <v>882000</v>
      </c>
      <c r="H6" s="198"/>
      <c r="I6" s="638" t="s">
        <v>546</v>
      </c>
      <c r="J6" s="622">
        <v>200000</v>
      </c>
      <c r="K6" s="198"/>
      <c r="L6" s="624"/>
      <c r="M6" s="625"/>
    </row>
    <row r="7" spans="1:13" x14ac:dyDescent="0.2">
      <c r="A7" s="279" t="s">
        <v>171</v>
      </c>
      <c r="B7" s="197">
        <f>Absen!K48</f>
        <v>8</v>
      </c>
      <c r="C7" s="280" t="s">
        <v>172</v>
      </c>
      <c r="D7" s="280"/>
      <c r="E7" s="281">
        <v>6000</v>
      </c>
      <c r="F7" s="199" t="s">
        <v>170</v>
      </c>
      <c r="G7" s="282">
        <f>B7*E7</f>
        <v>48000</v>
      </c>
      <c r="H7" s="198"/>
      <c r="I7" s="626"/>
      <c r="J7" s="623"/>
      <c r="K7" s="198"/>
      <c r="L7" s="626"/>
      <c r="M7" s="627"/>
    </row>
    <row r="8" spans="1:13" x14ac:dyDescent="0.2">
      <c r="A8" s="279" t="s">
        <v>173</v>
      </c>
      <c r="B8" s="199"/>
      <c r="C8" s="280" t="s">
        <v>168</v>
      </c>
      <c r="D8" s="280"/>
      <c r="E8" s="281"/>
      <c r="F8" s="199"/>
      <c r="G8" s="282"/>
      <c r="H8" s="198"/>
      <c r="I8" s="279"/>
      <c r="J8" s="282"/>
      <c r="K8" s="198"/>
      <c r="L8" s="626"/>
      <c r="M8" s="627"/>
    </row>
    <row r="9" spans="1:13" x14ac:dyDescent="0.2">
      <c r="A9" s="279" t="s">
        <v>174</v>
      </c>
      <c r="B9" s="199"/>
      <c r="C9" s="280" t="s">
        <v>168</v>
      </c>
      <c r="D9" s="280"/>
      <c r="E9" s="281"/>
      <c r="F9" s="199"/>
      <c r="G9" s="282"/>
      <c r="H9" s="198"/>
      <c r="I9" s="279"/>
      <c r="J9" s="282"/>
      <c r="K9" s="198"/>
      <c r="L9" s="626"/>
      <c r="M9" s="627"/>
    </row>
    <row r="10" spans="1:13" x14ac:dyDescent="0.2">
      <c r="A10" s="434" t="s">
        <v>416</v>
      </c>
      <c r="B10" s="504">
        <f>B6</f>
        <v>21</v>
      </c>
      <c r="C10" s="280" t="s">
        <v>168</v>
      </c>
      <c r="D10" s="280" t="s">
        <v>169</v>
      </c>
      <c r="E10" s="281">
        <v>6000</v>
      </c>
      <c r="F10" s="196" t="s">
        <v>170</v>
      </c>
      <c r="G10" s="282">
        <f>B10*E10</f>
        <v>126000</v>
      </c>
      <c r="H10" s="198"/>
      <c r="I10" s="279"/>
      <c r="J10" s="282"/>
      <c r="K10" s="198"/>
      <c r="L10" s="626"/>
      <c r="M10" s="627"/>
    </row>
    <row r="11" spans="1:13" x14ac:dyDescent="0.2">
      <c r="A11" s="280" t="s">
        <v>611</v>
      </c>
      <c r="B11" s="484"/>
      <c r="C11" s="485"/>
      <c r="D11" s="280"/>
      <c r="E11" s="281"/>
      <c r="F11" s="196"/>
      <c r="G11" s="285">
        <f>12*E6</f>
        <v>504000</v>
      </c>
      <c r="H11" s="198"/>
      <c r="I11" s="279"/>
      <c r="J11" s="282"/>
      <c r="K11" s="198"/>
      <c r="L11" s="626"/>
      <c r="M11" s="627"/>
    </row>
    <row r="12" spans="1:13" x14ac:dyDescent="0.2">
      <c r="A12" s="434" t="s">
        <v>231</v>
      </c>
      <c r="B12" s="484"/>
      <c r="C12" s="485"/>
      <c r="D12" s="280"/>
      <c r="E12" s="281"/>
      <c r="F12" s="196"/>
      <c r="G12" s="285">
        <v>50000</v>
      </c>
      <c r="H12" s="198"/>
      <c r="I12" s="279"/>
      <c r="J12" s="282"/>
      <c r="K12" s="198"/>
      <c r="L12" s="626"/>
      <c r="M12" s="627"/>
    </row>
    <row r="13" spans="1:13" x14ac:dyDescent="0.2">
      <c r="A13" s="434" t="s">
        <v>545</v>
      </c>
      <c r="B13" s="283"/>
      <c r="C13" s="284"/>
      <c r="D13" s="280"/>
      <c r="E13" s="281"/>
      <c r="F13" s="196"/>
      <c r="G13" s="285">
        <v>600000</v>
      </c>
      <c r="H13" s="198"/>
      <c r="I13" s="279"/>
      <c r="J13" s="282"/>
      <c r="K13" s="198"/>
      <c r="L13" s="626"/>
      <c r="M13" s="627"/>
    </row>
    <row r="14" spans="1:13" ht="13.5" thickBot="1" x14ac:dyDescent="0.25">
      <c r="A14" s="630" t="s">
        <v>11</v>
      </c>
      <c r="B14" s="631"/>
      <c r="C14" s="631"/>
      <c r="D14" s="631"/>
      <c r="E14" s="631"/>
      <c r="F14" s="632"/>
      <c r="G14" s="286">
        <f>SUM(G6:G13)</f>
        <v>2210000</v>
      </c>
      <c r="H14" s="198"/>
      <c r="I14" s="293" t="s">
        <v>11</v>
      </c>
      <c r="J14" s="288">
        <f>SUM(J6:J11)</f>
        <v>200000</v>
      </c>
      <c r="K14" s="198"/>
      <c r="L14" s="628"/>
      <c r="M14" s="629"/>
    </row>
    <row r="15" spans="1:13" ht="13.5" thickTop="1" x14ac:dyDescent="0.2">
      <c r="A15" s="198"/>
      <c r="B15" s="198"/>
      <c r="C15" s="198"/>
      <c r="D15" s="198"/>
      <c r="E15" s="198"/>
      <c r="F15" s="278"/>
      <c r="G15" s="198"/>
      <c r="H15" s="198"/>
      <c r="I15" s="198"/>
      <c r="J15" s="200"/>
      <c r="K15" s="198"/>
      <c r="L15" s="198"/>
      <c r="M15" s="198"/>
    </row>
    <row r="16" spans="1:13" x14ac:dyDescent="0.2">
      <c r="A16" s="633" t="s">
        <v>175</v>
      </c>
      <c r="B16" s="633"/>
      <c r="C16" s="633"/>
      <c r="D16" s="633"/>
      <c r="E16" s="633"/>
      <c r="F16" s="633"/>
      <c r="G16" s="633"/>
      <c r="H16" s="274" t="s">
        <v>170</v>
      </c>
      <c r="I16" s="275"/>
      <c r="J16" s="276">
        <f>G14-J14</f>
        <v>2010000</v>
      </c>
      <c r="K16" s="295"/>
      <c r="L16" s="296"/>
      <c r="M16" s="295"/>
    </row>
    <row r="18" spans="1:13" x14ac:dyDescent="0.2">
      <c r="A18" s="619" t="s">
        <v>238</v>
      </c>
      <c r="B18" s="619"/>
      <c r="C18" s="619"/>
      <c r="D18" s="619"/>
      <c r="E18" s="619"/>
      <c r="F18" s="619"/>
      <c r="G18" s="619"/>
      <c r="H18" s="619"/>
      <c r="I18" s="619"/>
      <c r="J18" s="619"/>
      <c r="K18" s="619"/>
      <c r="L18" s="619"/>
      <c r="M18" s="619"/>
    </row>
    <row r="19" spans="1:13" x14ac:dyDescent="0.2">
      <c r="A19" s="68"/>
      <c r="B19" s="68"/>
      <c r="C19" s="68"/>
      <c r="D19" s="68"/>
      <c r="E19" s="68"/>
      <c r="G19" s="68"/>
      <c r="H19" s="68"/>
      <c r="I19" s="68"/>
      <c r="J19" s="68"/>
      <c r="K19" s="68"/>
      <c r="L19" s="68"/>
      <c r="M19" s="68"/>
    </row>
    <row r="20" spans="1:13" x14ac:dyDescent="0.2">
      <c r="A20" s="68"/>
      <c r="B20" s="68"/>
      <c r="C20" s="68"/>
      <c r="D20" s="68"/>
      <c r="E20" s="68"/>
      <c r="G20" s="68"/>
      <c r="H20" s="68"/>
      <c r="I20" s="68"/>
      <c r="J20" s="68"/>
      <c r="K20" s="68"/>
      <c r="L20" s="68"/>
      <c r="M20" s="68"/>
    </row>
    <row r="21" spans="1:13" x14ac:dyDescent="0.2">
      <c r="A21" s="294"/>
      <c r="B21" s="294"/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</row>
    <row r="22" spans="1:13" ht="18.75" customHeight="1" x14ac:dyDescent="0.2"/>
    <row r="23" spans="1:13" ht="21" x14ac:dyDescent="0.35">
      <c r="A23" s="634" t="s">
        <v>232</v>
      </c>
      <c r="B23" s="634"/>
      <c r="C23" s="634"/>
      <c r="D23" s="634"/>
      <c r="E23" s="634"/>
      <c r="F23" s="634"/>
      <c r="G23" s="635" t="str">
        <f>G1</f>
        <v>Desember</v>
      </c>
      <c r="H23" s="635"/>
      <c r="I23" s="635"/>
      <c r="J23" s="635"/>
      <c r="K23" s="635"/>
      <c r="L23" s="635"/>
      <c r="M23" s="635"/>
    </row>
    <row r="24" spans="1:13" x14ac:dyDescent="0.2">
      <c r="A24" s="198"/>
      <c r="B24" s="198"/>
      <c r="C24" s="198"/>
      <c r="D24" s="198"/>
      <c r="E24" s="198"/>
      <c r="F24" s="278"/>
      <c r="G24" s="198"/>
      <c r="H24" s="198"/>
      <c r="I24" s="198"/>
      <c r="J24" s="198"/>
      <c r="K24" s="198"/>
      <c r="L24" s="198"/>
      <c r="M24" s="198"/>
    </row>
    <row r="25" spans="1:13" x14ac:dyDescent="0.2">
      <c r="A25" s="198" t="s">
        <v>157</v>
      </c>
      <c r="B25" s="278" t="s">
        <v>73</v>
      </c>
      <c r="C25" s="567" t="s">
        <v>440</v>
      </c>
      <c r="D25" s="198"/>
      <c r="E25" s="198"/>
      <c r="F25" s="278"/>
      <c r="G25" s="198"/>
      <c r="H25" s="198"/>
      <c r="I25" s="198"/>
      <c r="J25" s="198"/>
      <c r="K25" s="198"/>
      <c r="L25" s="198"/>
      <c r="M25" s="198"/>
    </row>
    <row r="26" spans="1:13" x14ac:dyDescent="0.2">
      <c r="A26" s="198" t="s">
        <v>163</v>
      </c>
      <c r="B26" s="278" t="s">
        <v>73</v>
      </c>
      <c r="C26" s="289" t="str">
        <f>C4</f>
        <v>1 Desember 2017</v>
      </c>
      <c r="D26" s="290" t="str">
        <f>D4</f>
        <v>s/d</v>
      </c>
      <c r="E26" s="290" t="str">
        <f>E4</f>
        <v>31 Desember 2017</v>
      </c>
      <c r="F26" s="291"/>
      <c r="G26" s="198"/>
      <c r="H26" s="198"/>
      <c r="I26" s="198"/>
      <c r="J26" s="198"/>
      <c r="K26" s="198"/>
      <c r="L26" s="198"/>
      <c r="M26" s="198"/>
    </row>
    <row r="27" spans="1:13" x14ac:dyDescent="0.2">
      <c r="A27" s="630" t="s">
        <v>165</v>
      </c>
      <c r="B27" s="631"/>
      <c r="C27" s="631"/>
      <c r="D27" s="631"/>
      <c r="E27" s="631"/>
      <c r="F27" s="631"/>
      <c r="G27" s="632"/>
      <c r="H27" s="198"/>
      <c r="I27" s="630" t="s">
        <v>166</v>
      </c>
      <c r="J27" s="632"/>
      <c r="K27" s="198"/>
      <c r="L27" s="630" t="s">
        <v>237</v>
      </c>
      <c r="M27" s="632"/>
    </row>
    <row r="28" spans="1:13" x14ac:dyDescent="0.2">
      <c r="A28" s="279" t="str">
        <f t="shared" ref="A28:A33" si="0">A6</f>
        <v>Masuk</v>
      </c>
      <c r="B28" s="199">
        <f>Absen!E48</f>
        <v>23</v>
      </c>
      <c r="C28" s="280" t="s">
        <v>168</v>
      </c>
      <c r="D28" s="280" t="s">
        <v>169</v>
      </c>
      <c r="E28" s="281">
        <v>40000</v>
      </c>
      <c r="F28" s="199" t="s">
        <v>170</v>
      </c>
      <c r="G28" s="282">
        <f>B28*E28</f>
        <v>920000</v>
      </c>
      <c r="H28" s="198"/>
      <c r="I28" s="636"/>
      <c r="J28" s="622"/>
      <c r="K28" s="198"/>
      <c r="L28" s="624"/>
      <c r="M28" s="625"/>
    </row>
    <row r="29" spans="1:13" x14ac:dyDescent="0.2">
      <c r="A29" s="279" t="str">
        <f t="shared" si="0"/>
        <v>Lembur</v>
      </c>
      <c r="B29" s="197">
        <f>Absen!L48</f>
        <v>2</v>
      </c>
      <c r="C29" s="280" t="s">
        <v>172</v>
      </c>
      <c r="D29" s="280"/>
      <c r="E29" s="281">
        <v>6000</v>
      </c>
      <c r="F29" s="199" t="s">
        <v>170</v>
      </c>
      <c r="G29" s="282">
        <f>B29*E29</f>
        <v>12000</v>
      </c>
      <c r="H29" s="198"/>
      <c r="I29" s="637"/>
      <c r="J29" s="623"/>
      <c r="K29" s="198"/>
      <c r="L29" s="626"/>
      <c r="M29" s="627"/>
    </row>
    <row r="30" spans="1:13" x14ac:dyDescent="0.2">
      <c r="A30" s="279" t="str">
        <f t="shared" si="0"/>
        <v>Izin</v>
      </c>
      <c r="B30" s="199"/>
      <c r="C30" s="280" t="s">
        <v>168</v>
      </c>
      <c r="D30" s="280"/>
      <c r="E30" s="281"/>
      <c r="F30" s="199"/>
      <c r="G30" s="282"/>
      <c r="H30" s="198"/>
      <c r="I30" s="279"/>
      <c r="J30" s="282"/>
      <c r="K30" s="198"/>
      <c r="L30" s="626"/>
      <c r="M30" s="627"/>
    </row>
    <row r="31" spans="1:13" x14ac:dyDescent="0.2">
      <c r="A31" s="279" t="str">
        <f t="shared" si="0"/>
        <v>Sakit</v>
      </c>
      <c r="B31" s="197"/>
      <c r="C31" s="280" t="s">
        <v>168</v>
      </c>
      <c r="D31" s="280"/>
      <c r="E31" s="281"/>
      <c r="F31" s="199"/>
      <c r="G31" s="282"/>
      <c r="H31" s="198"/>
      <c r="I31" s="279"/>
      <c r="J31" s="282"/>
      <c r="K31" s="198"/>
      <c r="L31" s="626"/>
      <c r="M31" s="627"/>
    </row>
    <row r="32" spans="1:13" x14ac:dyDescent="0.2">
      <c r="A32" s="279" t="str">
        <f t="shared" si="0"/>
        <v>Makan</v>
      </c>
      <c r="B32" s="199">
        <f>B28</f>
        <v>23</v>
      </c>
      <c r="C32" s="280" t="s">
        <v>168</v>
      </c>
      <c r="D32" s="280" t="s">
        <v>169</v>
      </c>
      <c r="E32" s="281">
        <v>6000</v>
      </c>
      <c r="F32" s="196" t="s">
        <v>170</v>
      </c>
      <c r="G32" s="282">
        <f>B32*E32</f>
        <v>138000</v>
      </c>
      <c r="H32" s="198"/>
      <c r="I32" s="279"/>
      <c r="J32" s="282"/>
      <c r="K32" s="198"/>
      <c r="L32" s="626"/>
      <c r="M32" s="627"/>
    </row>
    <row r="33" spans="1:13" x14ac:dyDescent="0.2">
      <c r="A33" s="279" t="str">
        <f t="shared" si="0"/>
        <v>Bonus Akhir Tahun</v>
      </c>
      <c r="B33" s="484"/>
      <c r="C33" s="485"/>
      <c r="D33" s="280"/>
      <c r="E33" s="281"/>
      <c r="F33" s="196"/>
      <c r="G33" s="285">
        <f>E28*7</f>
        <v>280000</v>
      </c>
      <c r="H33" s="198"/>
      <c r="I33" s="279"/>
      <c r="J33" s="282"/>
      <c r="K33" s="198"/>
      <c r="L33" s="626"/>
      <c r="M33" s="627"/>
    </row>
    <row r="34" spans="1:13" ht="13.5" thickBot="1" x14ac:dyDescent="0.25">
      <c r="A34" s="630" t="s">
        <v>11</v>
      </c>
      <c r="B34" s="631"/>
      <c r="C34" s="631"/>
      <c r="D34" s="631"/>
      <c r="E34" s="631"/>
      <c r="F34" s="632"/>
      <c r="G34" s="286">
        <f>SUM(G28:G33)</f>
        <v>1350000</v>
      </c>
      <c r="H34" s="198"/>
      <c r="I34" s="287" t="s">
        <v>11</v>
      </c>
      <c r="J34" s="288">
        <f>SUM(J28:J33)</f>
        <v>0</v>
      </c>
      <c r="K34" s="198"/>
      <c r="L34" s="628"/>
      <c r="M34" s="629"/>
    </row>
    <row r="35" spans="1:13" ht="13.5" thickTop="1" x14ac:dyDescent="0.2">
      <c r="A35" s="198"/>
      <c r="B35" s="198"/>
      <c r="C35" s="198"/>
      <c r="D35" s="198"/>
      <c r="E35" s="198"/>
      <c r="F35" s="278"/>
      <c r="G35" s="198"/>
      <c r="H35" s="198"/>
      <c r="I35" s="198"/>
      <c r="J35" s="198"/>
      <c r="K35" s="198"/>
      <c r="L35" s="198"/>
      <c r="M35" s="198"/>
    </row>
    <row r="36" spans="1:13" x14ac:dyDescent="0.2">
      <c r="A36" s="633" t="s">
        <v>175</v>
      </c>
      <c r="B36" s="633"/>
      <c r="C36" s="633"/>
      <c r="D36" s="633"/>
      <c r="E36" s="633"/>
      <c r="F36" s="633"/>
      <c r="G36" s="633"/>
      <c r="H36" s="274" t="s">
        <v>170</v>
      </c>
      <c r="I36" s="275"/>
      <c r="J36" s="277">
        <f>G34-J34</f>
        <v>1350000</v>
      </c>
      <c r="K36" s="295"/>
      <c r="L36" s="295"/>
      <c r="M36" s="295"/>
    </row>
    <row r="38" spans="1:13" x14ac:dyDescent="0.2">
      <c r="A38" s="619" t="str">
        <f>A18</f>
        <v>Terimakasih atas kerja kerasnya bulan ini. Semoga Allah senantiasa melapangkan rizki yang banyak yang barokah kepada kita, Amii...n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</row>
    <row r="42" spans="1:13" ht="21" x14ac:dyDescent="0.35">
      <c r="A42" s="634" t="s">
        <v>232</v>
      </c>
      <c r="B42" s="634"/>
      <c r="C42" s="634"/>
      <c r="D42" s="634"/>
      <c r="E42" s="634"/>
      <c r="F42" s="634"/>
      <c r="G42" s="635" t="str">
        <f>G23</f>
        <v>Desember</v>
      </c>
      <c r="H42" s="635"/>
      <c r="I42" s="635"/>
      <c r="J42" s="635"/>
      <c r="K42" s="635"/>
      <c r="L42" s="635"/>
      <c r="M42" s="635"/>
    </row>
    <row r="43" spans="1:13" x14ac:dyDescent="0.2">
      <c r="A43" s="198"/>
      <c r="B43" s="198"/>
      <c r="C43" s="198"/>
      <c r="D43" s="198"/>
      <c r="E43" s="198"/>
      <c r="F43" s="278"/>
      <c r="G43" s="198"/>
      <c r="H43" s="198"/>
      <c r="I43" s="198"/>
      <c r="J43" s="198"/>
      <c r="K43" s="198"/>
      <c r="L43" s="198"/>
      <c r="M43" s="198"/>
    </row>
    <row r="44" spans="1:13" x14ac:dyDescent="0.2">
      <c r="A44" s="198" t="s">
        <v>157</v>
      </c>
      <c r="B44" s="278" t="s">
        <v>73</v>
      </c>
      <c r="C44" s="567" t="s">
        <v>511</v>
      </c>
      <c r="D44" s="198"/>
      <c r="E44" s="198"/>
      <c r="F44" s="278"/>
      <c r="G44" s="198"/>
      <c r="H44" s="198"/>
      <c r="I44" s="198"/>
      <c r="J44" s="198"/>
      <c r="K44" s="198"/>
      <c r="L44" s="198"/>
      <c r="M44" s="198"/>
    </row>
    <row r="45" spans="1:13" x14ac:dyDescent="0.2">
      <c r="A45" s="198" t="s">
        <v>163</v>
      </c>
      <c r="B45" s="278" t="s">
        <v>73</v>
      </c>
      <c r="C45" s="289" t="str">
        <f>C26</f>
        <v>1 Desember 2017</v>
      </c>
      <c r="D45" s="289" t="str">
        <f>D26</f>
        <v>s/d</v>
      </c>
      <c r="E45" s="289" t="str">
        <f>E26</f>
        <v>31 Desember 2017</v>
      </c>
      <c r="F45" s="291"/>
      <c r="G45" s="198"/>
      <c r="H45" s="198"/>
      <c r="I45" s="198"/>
      <c r="J45" s="198"/>
      <c r="K45" s="198"/>
      <c r="L45" s="198"/>
      <c r="M45" s="198"/>
    </row>
    <row r="46" spans="1:13" x14ac:dyDescent="0.2">
      <c r="A46" s="630" t="s">
        <v>165</v>
      </c>
      <c r="B46" s="631"/>
      <c r="C46" s="631"/>
      <c r="D46" s="631"/>
      <c r="E46" s="631"/>
      <c r="F46" s="631"/>
      <c r="G46" s="632"/>
      <c r="H46" s="198"/>
      <c r="I46" s="630" t="s">
        <v>166</v>
      </c>
      <c r="J46" s="632"/>
      <c r="K46" s="198"/>
      <c r="L46" s="630" t="s">
        <v>237</v>
      </c>
      <c r="M46" s="632"/>
    </row>
    <row r="47" spans="1:13" x14ac:dyDescent="0.2">
      <c r="A47" s="279" t="str">
        <f t="shared" ref="A47:A52" si="1">A28</f>
        <v>Masuk</v>
      </c>
      <c r="B47" s="197">
        <f>Absen!F48</f>
        <v>21.5</v>
      </c>
      <c r="C47" s="280" t="s">
        <v>168</v>
      </c>
      <c r="D47" s="280" t="s">
        <v>169</v>
      </c>
      <c r="E47" s="281">
        <v>38000</v>
      </c>
      <c r="F47" s="199" t="s">
        <v>170</v>
      </c>
      <c r="G47" s="282">
        <f>B47*E47</f>
        <v>817000</v>
      </c>
      <c r="H47" s="198"/>
      <c r="I47" s="548"/>
      <c r="J47" s="549"/>
      <c r="K47" s="198"/>
      <c r="L47" s="624"/>
      <c r="M47" s="625"/>
    </row>
    <row r="48" spans="1:13" x14ac:dyDescent="0.2">
      <c r="A48" s="279" t="str">
        <f t="shared" si="1"/>
        <v>Lembur</v>
      </c>
      <c r="B48" s="197">
        <f>Absen!M48</f>
        <v>0</v>
      </c>
      <c r="C48" s="280" t="s">
        <v>172</v>
      </c>
      <c r="D48" s="280"/>
      <c r="E48" s="281">
        <v>6000</v>
      </c>
      <c r="F48" s="199" t="s">
        <v>170</v>
      </c>
      <c r="G48" s="282">
        <f>B48*E48</f>
        <v>0</v>
      </c>
      <c r="H48" s="198"/>
      <c r="I48" s="550"/>
      <c r="J48" s="551"/>
      <c r="K48" s="198"/>
      <c r="L48" s="626"/>
      <c r="M48" s="627"/>
    </row>
    <row r="49" spans="1:13" x14ac:dyDescent="0.2">
      <c r="A49" s="279" t="str">
        <f t="shared" si="1"/>
        <v>Izin</v>
      </c>
      <c r="B49" s="199">
        <v>1</v>
      </c>
      <c r="C49" s="280" t="s">
        <v>168</v>
      </c>
      <c r="D49" s="280"/>
      <c r="E49" s="281"/>
      <c r="F49" s="199"/>
      <c r="G49" s="282"/>
      <c r="H49" s="198"/>
      <c r="I49" s="550"/>
      <c r="J49" s="551"/>
      <c r="K49" s="198"/>
      <c r="L49" s="626"/>
      <c r="M49" s="627"/>
    </row>
    <row r="50" spans="1:13" x14ac:dyDescent="0.2">
      <c r="A50" s="279" t="str">
        <f t="shared" si="1"/>
        <v>Sakit</v>
      </c>
      <c r="B50" s="504"/>
      <c r="C50" s="280" t="s">
        <v>168</v>
      </c>
      <c r="D50" s="505"/>
      <c r="E50" s="281"/>
      <c r="F50" s="491"/>
      <c r="G50" s="282"/>
      <c r="H50" s="198"/>
      <c r="I50" s="279"/>
      <c r="J50" s="282"/>
      <c r="K50" s="198"/>
      <c r="L50" s="626"/>
      <c r="M50" s="627"/>
    </row>
    <row r="51" spans="1:13" x14ac:dyDescent="0.2">
      <c r="A51" s="279" t="str">
        <f t="shared" si="1"/>
        <v>Makan</v>
      </c>
      <c r="B51" s="197">
        <f>B47</f>
        <v>21.5</v>
      </c>
      <c r="C51" s="280" t="s">
        <v>168</v>
      </c>
      <c r="D51" s="505" t="s">
        <v>169</v>
      </c>
      <c r="E51" s="281">
        <v>6000</v>
      </c>
      <c r="F51" s="491" t="s">
        <v>170</v>
      </c>
      <c r="G51" s="282">
        <f>B51*E51</f>
        <v>129000</v>
      </c>
      <c r="H51" s="198"/>
      <c r="I51" s="279"/>
      <c r="J51" s="282"/>
      <c r="K51" s="198"/>
      <c r="L51" s="626"/>
      <c r="M51" s="627"/>
    </row>
    <row r="52" spans="1:13" x14ac:dyDescent="0.2">
      <c r="A52" s="279" t="str">
        <f t="shared" si="1"/>
        <v>Bonus Akhir Tahun</v>
      </c>
      <c r="B52" s="283"/>
      <c r="C52" s="284"/>
      <c r="D52" s="280"/>
      <c r="E52" s="281"/>
      <c r="F52" s="196"/>
      <c r="G52" s="285">
        <f>E47*3</f>
        <v>114000</v>
      </c>
      <c r="H52" s="198"/>
      <c r="I52" s="279"/>
      <c r="J52" s="282"/>
      <c r="K52" s="198"/>
      <c r="L52" s="626"/>
      <c r="M52" s="627"/>
    </row>
    <row r="53" spans="1:13" ht="13.5" thickBot="1" x14ac:dyDescent="0.25">
      <c r="A53" s="630" t="s">
        <v>11</v>
      </c>
      <c r="B53" s="631"/>
      <c r="C53" s="631"/>
      <c r="D53" s="631"/>
      <c r="E53" s="631"/>
      <c r="F53" s="632"/>
      <c r="G53" s="286">
        <f>SUM(G47:G52)</f>
        <v>1060000</v>
      </c>
      <c r="H53" s="198"/>
      <c r="I53" s="476" t="s">
        <v>11</v>
      </c>
      <c r="J53" s="288">
        <f>SUM(J47:J51)</f>
        <v>0</v>
      </c>
      <c r="K53" s="198"/>
      <c r="L53" s="628"/>
      <c r="M53" s="629"/>
    </row>
    <row r="54" spans="1:13" ht="13.5" thickTop="1" x14ac:dyDescent="0.2">
      <c r="A54" s="198"/>
      <c r="B54" s="198"/>
      <c r="C54" s="198"/>
      <c r="D54" s="198"/>
      <c r="E54" s="198"/>
      <c r="F54" s="278"/>
      <c r="G54" s="198"/>
      <c r="H54" s="198"/>
      <c r="I54" s="198"/>
      <c r="J54" s="198"/>
      <c r="K54" s="198"/>
      <c r="L54" s="198"/>
      <c r="M54" s="198"/>
    </row>
    <row r="55" spans="1:13" x14ac:dyDescent="0.2">
      <c r="A55" s="633" t="s">
        <v>175</v>
      </c>
      <c r="B55" s="633"/>
      <c r="C55" s="633"/>
      <c r="D55" s="633"/>
      <c r="E55" s="633"/>
      <c r="F55" s="633"/>
      <c r="G55" s="633"/>
      <c r="H55" s="478" t="s">
        <v>170</v>
      </c>
      <c r="I55" s="275"/>
      <c r="J55" s="277">
        <f>G53-J53</f>
        <v>1060000</v>
      </c>
      <c r="K55" s="295"/>
      <c r="L55" s="295"/>
      <c r="M55" s="295"/>
    </row>
    <row r="56" spans="1:13" x14ac:dyDescent="0.2">
      <c r="F56" s="477"/>
    </row>
    <row r="57" spans="1:13" x14ac:dyDescent="0.2">
      <c r="A57" s="619" t="str">
        <f>A38</f>
        <v>Terimakasih atas kerja kerasnya bulan ini. Semoga Allah senantiasa melapangkan rizki yang banyak yang barokah kepada kita, Amii...n</v>
      </c>
      <c r="B57" s="619"/>
      <c r="C57" s="619"/>
      <c r="D57" s="619"/>
      <c r="E57" s="619"/>
      <c r="F57" s="619"/>
      <c r="G57" s="619"/>
      <c r="H57" s="619"/>
      <c r="I57" s="619"/>
      <c r="J57" s="619"/>
      <c r="K57" s="619"/>
      <c r="L57" s="619"/>
      <c r="M57" s="619"/>
    </row>
    <row r="61" spans="1:13" ht="21" x14ac:dyDescent="0.35">
      <c r="A61" s="634" t="s">
        <v>232</v>
      </c>
      <c r="B61" s="634"/>
      <c r="C61" s="634"/>
      <c r="D61" s="634"/>
      <c r="E61" s="634"/>
      <c r="F61" s="634"/>
      <c r="G61" s="635" t="str">
        <f>G42</f>
        <v>Desember</v>
      </c>
      <c r="H61" s="635"/>
      <c r="I61" s="635"/>
      <c r="J61" s="635"/>
      <c r="K61" s="635"/>
      <c r="L61" s="635"/>
      <c r="M61" s="635"/>
    </row>
    <row r="62" spans="1:13" x14ac:dyDescent="0.2">
      <c r="A62" s="198"/>
      <c r="B62" s="198"/>
      <c r="C62" s="198"/>
      <c r="D62" s="198"/>
      <c r="E62" s="198"/>
      <c r="F62" s="278"/>
      <c r="G62" s="198"/>
      <c r="H62" s="198"/>
      <c r="I62" s="198"/>
      <c r="J62" s="198"/>
      <c r="K62" s="198"/>
      <c r="L62" s="198"/>
      <c r="M62" s="198"/>
    </row>
    <row r="63" spans="1:13" x14ac:dyDescent="0.2">
      <c r="A63" s="198" t="s">
        <v>157</v>
      </c>
      <c r="B63" s="278" t="s">
        <v>73</v>
      </c>
      <c r="C63" s="567" t="s">
        <v>522</v>
      </c>
      <c r="D63" s="198"/>
      <c r="E63" s="198"/>
      <c r="F63" s="278"/>
      <c r="G63" s="198"/>
      <c r="H63" s="198"/>
      <c r="I63" s="198"/>
      <c r="J63" s="198"/>
      <c r="K63" s="198"/>
      <c r="L63" s="198"/>
      <c r="M63" s="198"/>
    </row>
    <row r="64" spans="1:13" x14ac:dyDescent="0.2">
      <c r="A64" s="198" t="s">
        <v>163</v>
      </c>
      <c r="B64" s="278" t="s">
        <v>73</v>
      </c>
      <c r="C64" s="289" t="str">
        <f>C45</f>
        <v>1 Desember 2017</v>
      </c>
      <c r="D64" s="289" t="str">
        <f>D45</f>
        <v>s/d</v>
      </c>
      <c r="E64" s="289" t="str">
        <f>E45</f>
        <v>31 Desember 2017</v>
      </c>
      <c r="F64" s="291"/>
      <c r="G64" s="198"/>
      <c r="H64" s="198"/>
      <c r="I64" s="198"/>
      <c r="J64" s="198"/>
      <c r="K64" s="198"/>
      <c r="L64" s="198"/>
      <c r="M64" s="198"/>
    </row>
    <row r="65" spans="1:13" x14ac:dyDescent="0.2">
      <c r="A65" s="630" t="s">
        <v>165</v>
      </c>
      <c r="B65" s="631"/>
      <c r="C65" s="631"/>
      <c r="D65" s="631"/>
      <c r="E65" s="631"/>
      <c r="F65" s="631"/>
      <c r="G65" s="632"/>
      <c r="H65" s="198"/>
      <c r="I65" s="630" t="s">
        <v>166</v>
      </c>
      <c r="J65" s="632"/>
      <c r="K65" s="198"/>
      <c r="L65" s="630" t="s">
        <v>237</v>
      </c>
      <c r="M65" s="632"/>
    </row>
    <row r="66" spans="1:13" ht="12.75" customHeight="1" x14ac:dyDescent="0.2">
      <c r="A66" s="279" t="str">
        <f>A47</f>
        <v>Masuk</v>
      </c>
      <c r="B66" s="199">
        <f>Absen!G48</f>
        <v>23</v>
      </c>
      <c r="C66" s="280" t="s">
        <v>168</v>
      </c>
      <c r="D66" s="280" t="s">
        <v>169</v>
      </c>
      <c r="E66" s="281">
        <v>38000</v>
      </c>
      <c r="F66" s="199" t="s">
        <v>170</v>
      </c>
      <c r="G66" s="282">
        <f>B66*E66</f>
        <v>874000</v>
      </c>
      <c r="H66" s="198"/>
      <c r="I66" s="620"/>
      <c r="J66" s="622"/>
      <c r="K66" s="198"/>
      <c r="L66" s="624"/>
      <c r="M66" s="625"/>
    </row>
    <row r="67" spans="1:13" x14ac:dyDescent="0.2">
      <c r="A67" s="279" t="str">
        <f t="shared" ref="A67:A71" si="2">A48</f>
        <v>Lembur</v>
      </c>
      <c r="B67" s="197">
        <v>0</v>
      </c>
      <c r="C67" s="280" t="s">
        <v>172</v>
      </c>
      <c r="D67" s="280"/>
      <c r="E67" s="281">
        <v>6000</v>
      </c>
      <c r="F67" s="199" t="s">
        <v>170</v>
      </c>
      <c r="G67" s="282">
        <f>B67*E67</f>
        <v>0</v>
      </c>
      <c r="H67" s="198"/>
      <c r="I67" s="621"/>
      <c r="J67" s="623"/>
      <c r="K67" s="198"/>
      <c r="L67" s="626"/>
      <c r="M67" s="627"/>
    </row>
    <row r="68" spans="1:13" x14ac:dyDescent="0.2">
      <c r="A68" s="279" t="str">
        <f t="shared" si="2"/>
        <v>Izin</v>
      </c>
      <c r="B68" s="199"/>
      <c r="C68" s="280" t="s">
        <v>168</v>
      </c>
      <c r="D68" s="280"/>
      <c r="E68" s="281"/>
      <c r="F68" s="199"/>
      <c r="G68" s="282"/>
      <c r="H68" s="198"/>
      <c r="I68" s="621"/>
      <c r="J68" s="623"/>
      <c r="K68" s="198"/>
      <c r="L68" s="626"/>
      <c r="M68" s="627"/>
    </row>
    <row r="69" spans="1:13" x14ac:dyDescent="0.2">
      <c r="A69" s="279" t="str">
        <f t="shared" si="2"/>
        <v>Sakit</v>
      </c>
      <c r="B69" s="504"/>
      <c r="C69" s="280" t="s">
        <v>168</v>
      </c>
      <c r="D69" s="505"/>
      <c r="E69" s="281"/>
      <c r="F69" s="491"/>
      <c r="G69" s="282"/>
      <c r="H69" s="198"/>
      <c r="I69" s="621"/>
      <c r="J69" s="623"/>
      <c r="K69" s="198"/>
      <c r="L69" s="626"/>
      <c r="M69" s="627"/>
    </row>
    <row r="70" spans="1:13" x14ac:dyDescent="0.2">
      <c r="A70" s="279" t="str">
        <f t="shared" si="2"/>
        <v>Makan</v>
      </c>
      <c r="B70" s="504">
        <f>B66</f>
        <v>23</v>
      </c>
      <c r="C70" s="280" t="s">
        <v>168</v>
      </c>
      <c r="D70" s="505" t="s">
        <v>169</v>
      </c>
      <c r="E70" s="281">
        <v>6000</v>
      </c>
      <c r="F70" s="491" t="s">
        <v>170</v>
      </c>
      <c r="G70" s="282">
        <f>B70*E70</f>
        <v>138000</v>
      </c>
      <c r="H70" s="198"/>
      <c r="I70" s="279"/>
      <c r="J70" s="282"/>
      <c r="K70" s="198"/>
      <c r="L70" s="626"/>
      <c r="M70" s="627"/>
    </row>
    <row r="71" spans="1:13" x14ac:dyDescent="0.2">
      <c r="A71" s="279" t="str">
        <f t="shared" si="2"/>
        <v>Bonus Akhir Tahun</v>
      </c>
      <c r="B71" s="484"/>
      <c r="C71" s="485"/>
      <c r="D71" s="280"/>
      <c r="E71" s="281"/>
      <c r="F71" s="196"/>
      <c r="G71" s="285">
        <f>E66*2.5</f>
        <v>95000</v>
      </c>
      <c r="H71" s="198"/>
      <c r="I71" s="279"/>
      <c r="J71" s="282"/>
      <c r="K71" s="198"/>
      <c r="L71" s="626"/>
      <c r="M71" s="627"/>
    </row>
    <row r="72" spans="1:13" ht="13.5" thickBot="1" x14ac:dyDescent="0.25">
      <c r="A72" s="630" t="s">
        <v>11</v>
      </c>
      <c r="B72" s="631"/>
      <c r="C72" s="631"/>
      <c r="D72" s="631"/>
      <c r="E72" s="631"/>
      <c r="F72" s="632"/>
      <c r="G72" s="286">
        <f>SUM(G66:G71)</f>
        <v>1107000</v>
      </c>
      <c r="H72" s="198"/>
      <c r="I72" s="531" t="s">
        <v>11</v>
      </c>
      <c r="J72" s="288">
        <f>SUM(J66:J70)</f>
        <v>0</v>
      </c>
      <c r="K72" s="198"/>
      <c r="L72" s="628"/>
      <c r="M72" s="629"/>
    </row>
    <row r="73" spans="1:13" ht="13.5" thickTop="1" x14ac:dyDescent="0.2">
      <c r="A73" s="198"/>
      <c r="B73" s="198"/>
      <c r="C73" s="198"/>
      <c r="D73" s="198"/>
      <c r="E73" s="198"/>
      <c r="F73" s="278"/>
      <c r="G73" s="198"/>
      <c r="H73" s="198"/>
      <c r="I73" s="198"/>
      <c r="J73" s="198"/>
      <c r="K73" s="198"/>
      <c r="L73" s="198"/>
      <c r="M73" s="198"/>
    </row>
    <row r="74" spans="1:13" x14ac:dyDescent="0.2">
      <c r="A74" s="633" t="s">
        <v>175</v>
      </c>
      <c r="B74" s="633"/>
      <c r="C74" s="633"/>
      <c r="D74" s="633"/>
      <c r="E74" s="633"/>
      <c r="F74" s="633"/>
      <c r="G74" s="633"/>
      <c r="H74" s="532" t="s">
        <v>170</v>
      </c>
      <c r="I74" s="275"/>
      <c r="J74" s="277">
        <f>G72-J72</f>
        <v>1107000</v>
      </c>
      <c r="K74" s="295"/>
      <c r="L74" s="295"/>
      <c r="M74" s="295"/>
    </row>
    <row r="75" spans="1:13" x14ac:dyDescent="0.2">
      <c r="F75" s="530"/>
    </row>
    <row r="76" spans="1:13" x14ac:dyDescent="0.2">
      <c r="A76" s="619" t="str">
        <f>A57</f>
        <v>Terimakasih atas kerja kerasnya bulan ini. Semoga Allah senantiasa melapangkan rizki yang banyak yang barokah kepada kita, Amii...n</v>
      </c>
      <c r="B76" s="619"/>
      <c r="C76" s="619"/>
      <c r="D76" s="619"/>
      <c r="E76" s="619"/>
      <c r="F76" s="619"/>
      <c r="G76" s="619"/>
      <c r="H76" s="619"/>
      <c r="I76" s="619"/>
      <c r="J76" s="619"/>
      <c r="K76" s="619"/>
      <c r="L76" s="619"/>
      <c r="M76" s="619"/>
    </row>
    <row r="80" spans="1:13" ht="21" x14ac:dyDescent="0.35">
      <c r="A80" s="634" t="s">
        <v>232</v>
      </c>
      <c r="B80" s="634"/>
      <c r="C80" s="634"/>
      <c r="D80" s="634"/>
      <c r="E80" s="634"/>
      <c r="F80" s="634"/>
      <c r="G80" s="635" t="str">
        <f>G61</f>
        <v>Desember</v>
      </c>
      <c r="H80" s="635"/>
      <c r="I80" s="635"/>
      <c r="J80" s="635"/>
      <c r="K80" s="635"/>
      <c r="L80" s="635"/>
      <c r="M80" s="635"/>
    </row>
    <row r="81" spans="1:13" x14ac:dyDescent="0.2">
      <c r="A81" s="198"/>
      <c r="B81" s="198"/>
      <c r="C81" s="198"/>
      <c r="D81" s="198"/>
      <c r="E81" s="198"/>
      <c r="F81" s="278"/>
      <c r="G81" s="198"/>
      <c r="H81" s="198"/>
      <c r="I81" s="198"/>
      <c r="J81" s="198"/>
      <c r="K81" s="198"/>
      <c r="L81" s="198"/>
      <c r="M81" s="198"/>
    </row>
    <row r="82" spans="1:13" x14ac:dyDescent="0.2">
      <c r="A82" s="198" t="s">
        <v>157</v>
      </c>
      <c r="B82" s="278" t="s">
        <v>73</v>
      </c>
      <c r="C82" s="567" t="s">
        <v>544</v>
      </c>
      <c r="D82" s="198"/>
      <c r="E82" s="198"/>
      <c r="F82" s="278"/>
      <c r="G82" s="198"/>
      <c r="H82" s="198"/>
      <c r="I82" s="198"/>
      <c r="J82" s="198"/>
      <c r="K82" s="198"/>
      <c r="L82" s="198"/>
      <c r="M82" s="198"/>
    </row>
    <row r="83" spans="1:13" x14ac:dyDescent="0.2">
      <c r="A83" s="198" t="s">
        <v>163</v>
      </c>
      <c r="B83" s="278" t="s">
        <v>73</v>
      </c>
      <c r="C83" s="289" t="str">
        <f>C64</f>
        <v>1 Desember 2017</v>
      </c>
      <c r="D83" s="289" t="str">
        <f>D64</f>
        <v>s/d</v>
      </c>
      <c r="E83" s="289" t="str">
        <f>E64</f>
        <v>31 Desember 2017</v>
      </c>
      <c r="F83" s="289"/>
      <c r="G83" s="198"/>
      <c r="H83" s="198"/>
      <c r="I83" s="198"/>
      <c r="J83" s="198"/>
      <c r="K83" s="198"/>
      <c r="L83" s="198"/>
      <c r="M83" s="198"/>
    </row>
    <row r="84" spans="1:13" x14ac:dyDescent="0.2">
      <c r="A84" s="630" t="s">
        <v>165</v>
      </c>
      <c r="B84" s="631"/>
      <c r="C84" s="631"/>
      <c r="D84" s="631"/>
      <c r="E84" s="631"/>
      <c r="F84" s="631"/>
      <c r="G84" s="632"/>
      <c r="H84" s="198"/>
      <c r="I84" s="630" t="s">
        <v>166</v>
      </c>
      <c r="J84" s="632"/>
      <c r="K84" s="198"/>
      <c r="L84" s="630" t="s">
        <v>237</v>
      </c>
      <c r="M84" s="632"/>
    </row>
    <row r="85" spans="1:13" x14ac:dyDescent="0.2">
      <c r="A85" s="279" t="str">
        <f>A66</f>
        <v>Masuk</v>
      </c>
      <c r="B85" s="197">
        <f>Absen!H48</f>
        <v>23</v>
      </c>
      <c r="C85" s="280" t="s">
        <v>168</v>
      </c>
      <c r="D85" s="280" t="s">
        <v>169</v>
      </c>
      <c r="E85" s="281">
        <v>38000</v>
      </c>
      <c r="F85" s="199" t="s">
        <v>170</v>
      </c>
      <c r="G85" s="282">
        <f>B85*E85</f>
        <v>874000</v>
      </c>
      <c r="H85" s="198"/>
      <c r="I85" s="620"/>
      <c r="J85" s="622"/>
      <c r="K85" s="198"/>
      <c r="L85" s="624"/>
      <c r="M85" s="625"/>
    </row>
    <row r="86" spans="1:13" x14ac:dyDescent="0.2">
      <c r="A86" s="279" t="str">
        <f t="shared" ref="A86:A90" si="3">A67</f>
        <v>Lembur</v>
      </c>
      <c r="B86" s="197">
        <f>Absen!O48</f>
        <v>0</v>
      </c>
      <c r="C86" s="280" t="s">
        <v>172</v>
      </c>
      <c r="D86" s="280"/>
      <c r="E86" s="281">
        <v>6000</v>
      </c>
      <c r="F86" s="199" t="s">
        <v>170</v>
      </c>
      <c r="G86" s="282">
        <f>B86*E86</f>
        <v>0</v>
      </c>
      <c r="H86" s="198"/>
      <c r="I86" s="621"/>
      <c r="J86" s="623"/>
      <c r="K86" s="198"/>
      <c r="L86" s="626"/>
      <c r="M86" s="627"/>
    </row>
    <row r="87" spans="1:13" x14ac:dyDescent="0.2">
      <c r="A87" s="279" t="str">
        <f t="shared" si="3"/>
        <v>Izin</v>
      </c>
      <c r="B87" s="199"/>
      <c r="C87" s="280" t="s">
        <v>168</v>
      </c>
      <c r="D87" s="280"/>
      <c r="E87" s="281"/>
      <c r="F87" s="199"/>
      <c r="G87" s="282"/>
      <c r="H87" s="198"/>
      <c r="I87" s="621"/>
      <c r="J87" s="623"/>
      <c r="K87" s="198"/>
      <c r="L87" s="626"/>
      <c r="M87" s="627"/>
    </row>
    <row r="88" spans="1:13" x14ac:dyDescent="0.2">
      <c r="A88" s="279" t="str">
        <f t="shared" si="3"/>
        <v>Sakit</v>
      </c>
      <c r="B88" s="504"/>
      <c r="C88" s="280" t="s">
        <v>168</v>
      </c>
      <c r="D88" s="505"/>
      <c r="E88" s="281"/>
      <c r="F88" s="491"/>
      <c r="G88" s="282"/>
      <c r="H88" s="198"/>
      <c r="I88" s="279"/>
      <c r="J88" s="282"/>
      <c r="K88" s="198"/>
      <c r="L88" s="626"/>
      <c r="M88" s="627"/>
    </row>
    <row r="89" spans="1:13" x14ac:dyDescent="0.2">
      <c r="A89" s="279" t="str">
        <f t="shared" si="3"/>
        <v>Makan</v>
      </c>
      <c r="B89" s="504">
        <f>B85</f>
        <v>23</v>
      </c>
      <c r="C89" s="280" t="s">
        <v>168</v>
      </c>
      <c r="D89" s="505" t="s">
        <v>169</v>
      </c>
      <c r="E89" s="281">
        <v>6000</v>
      </c>
      <c r="F89" s="491" t="s">
        <v>170</v>
      </c>
      <c r="G89" s="282">
        <f>B89*E89</f>
        <v>138000</v>
      </c>
      <c r="H89" s="198"/>
      <c r="I89" s="279"/>
      <c r="J89" s="282"/>
      <c r="K89" s="198"/>
      <c r="L89" s="626"/>
      <c r="M89" s="627"/>
    </row>
    <row r="90" spans="1:13" x14ac:dyDescent="0.2">
      <c r="A90" s="279" t="str">
        <f t="shared" si="3"/>
        <v>Bonus Akhir Tahun</v>
      </c>
      <c r="B90" s="283"/>
      <c r="C90" s="284"/>
      <c r="D90" s="280"/>
      <c r="E90" s="281"/>
      <c r="F90" s="196"/>
      <c r="G90" s="285">
        <f>E85*2</f>
        <v>76000</v>
      </c>
      <c r="H90" s="198"/>
      <c r="I90" s="279"/>
      <c r="J90" s="282"/>
      <c r="K90" s="198"/>
      <c r="L90" s="626"/>
      <c r="M90" s="627"/>
    </row>
    <row r="91" spans="1:13" ht="13.5" thickBot="1" x14ac:dyDescent="0.25">
      <c r="A91" s="630" t="s">
        <v>11</v>
      </c>
      <c r="B91" s="631"/>
      <c r="C91" s="631"/>
      <c r="D91" s="631"/>
      <c r="E91" s="631"/>
      <c r="F91" s="632"/>
      <c r="G91" s="286">
        <f>SUM(G85:G90)</f>
        <v>1088000</v>
      </c>
      <c r="H91" s="198"/>
      <c r="I91" s="531" t="s">
        <v>11</v>
      </c>
      <c r="J91" s="288">
        <f>SUM(J85:J89)</f>
        <v>0</v>
      </c>
      <c r="K91" s="198"/>
      <c r="L91" s="628"/>
      <c r="M91" s="629"/>
    </row>
    <row r="92" spans="1:13" ht="13.5" thickTop="1" x14ac:dyDescent="0.2">
      <c r="A92" s="198"/>
      <c r="B92" s="198"/>
      <c r="C92" s="198"/>
      <c r="D92" s="198"/>
      <c r="E92" s="198"/>
      <c r="F92" s="278"/>
      <c r="G92" s="198"/>
      <c r="H92" s="198"/>
      <c r="I92" s="198"/>
      <c r="J92" s="198"/>
      <c r="K92" s="198"/>
      <c r="L92" s="198"/>
      <c r="M92" s="198"/>
    </row>
    <row r="93" spans="1:13" x14ac:dyDescent="0.2">
      <c r="A93" s="633" t="s">
        <v>175</v>
      </c>
      <c r="B93" s="633"/>
      <c r="C93" s="633"/>
      <c r="D93" s="633"/>
      <c r="E93" s="633"/>
      <c r="F93" s="633"/>
      <c r="G93" s="633"/>
      <c r="H93" s="532" t="s">
        <v>170</v>
      </c>
      <c r="I93" s="275"/>
      <c r="J93" s="277">
        <f>G91-J91</f>
        <v>1088000</v>
      </c>
      <c r="K93" s="295"/>
      <c r="L93" s="295"/>
      <c r="M93" s="295"/>
    </row>
    <row r="94" spans="1:13" x14ac:dyDescent="0.2">
      <c r="F94" s="530"/>
    </row>
    <row r="95" spans="1:13" x14ac:dyDescent="0.2">
      <c r="A95" s="619" t="str">
        <f>A76</f>
        <v>Terimakasih atas kerja kerasnya bulan ini. Semoga Allah senantiasa melapangkan rizki yang banyak yang barokah kepada kita, Amii...n</v>
      </c>
      <c r="B95" s="619"/>
      <c r="C95" s="619"/>
      <c r="D95" s="619"/>
      <c r="E95" s="619"/>
      <c r="F95" s="619"/>
      <c r="G95" s="619"/>
      <c r="H95" s="619"/>
      <c r="I95" s="619"/>
      <c r="J95" s="619"/>
      <c r="K95" s="619"/>
      <c r="L95" s="619"/>
      <c r="M95" s="619"/>
    </row>
    <row r="99" spans="1:13" ht="21" x14ac:dyDescent="0.35">
      <c r="A99" s="634" t="s">
        <v>232</v>
      </c>
      <c r="B99" s="634"/>
      <c r="C99" s="634"/>
      <c r="D99" s="634"/>
      <c r="E99" s="634"/>
      <c r="F99" s="634"/>
      <c r="G99" s="635" t="str">
        <f>G80</f>
        <v>Desember</v>
      </c>
      <c r="H99" s="635"/>
      <c r="I99" s="635"/>
      <c r="J99" s="635"/>
      <c r="K99" s="635"/>
      <c r="L99" s="635"/>
      <c r="M99" s="635"/>
    </row>
    <row r="100" spans="1:13" x14ac:dyDescent="0.2">
      <c r="A100" s="198"/>
      <c r="B100" s="198"/>
      <c r="C100" s="198"/>
      <c r="D100" s="198"/>
      <c r="E100" s="198"/>
      <c r="F100" s="278"/>
      <c r="G100" s="198"/>
      <c r="H100" s="198"/>
      <c r="I100" s="198"/>
      <c r="J100" s="198"/>
      <c r="K100" s="198"/>
      <c r="L100" s="198"/>
      <c r="M100" s="198"/>
    </row>
    <row r="101" spans="1:13" x14ac:dyDescent="0.2">
      <c r="A101" s="198" t="s">
        <v>157</v>
      </c>
      <c r="B101" s="278" t="s">
        <v>73</v>
      </c>
      <c r="C101" s="567" t="s">
        <v>543</v>
      </c>
      <c r="D101" s="198"/>
      <c r="E101" s="198"/>
      <c r="F101" s="278"/>
      <c r="G101" s="198"/>
      <c r="H101" s="198"/>
      <c r="I101" s="198"/>
      <c r="J101" s="198"/>
      <c r="K101" s="198"/>
      <c r="L101" s="198"/>
      <c r="M101" s="198"/>
    </row>
    <row r="102" spans="1:13" x14ac:dyDescent="0.2">
      <c r="A102" s="198" t="s">
        <v>163</v>
      </c>
      <c r="B102" s="278" t="s">
        <v>73</v>
      </c>
      <c r="C102" s="289" t="str">
        <f>C83</f>
        <v>1 Desember 2017</v>
      </c>
      <c r="D102" s="289" t="str">
        <f>D83</f>
        <v>s/d</v>
      </c>
      <c r="E102" s="289" t="str">
        <f>E83</f>
        <v>31 Desember 2017</v>
      </c>
      <c r="F102" s="291"/>
      <c r="G102" s="198"/>
      <c r="H102" s="198"/>
      <c r="I102" s="198"/>
      <c r="J102" s="198"/>
      <c r="K102" s="198"/>
      <c r="L102" s="198"/>
      <c r="M102" s="198"/>
    </row>
    <row r="103" spans="1:13" x14ac:dyDescent="0.2">
      <c r="A103" s="630" t="s">
        <v>165</v>
      </c>
      <c r="B103" s="631"/>
      <c r="C103" s="631"/>
      <c r="D103" s="631"/>
      <c r="E103" s="631"/>
      <c r="F103" s="631"/>
      <c r="G103" s="632"/>
      <c r="H103" s="198"/>
      <c r="I103" s="630" t="s">
        <v>166</v>
      </c>
      <c r="J103" s="632"/>
      <c r="K103" s="198"/>
      <c r="L103" s="630" t="s">
        <v>237</v>
      </c>
      <c r="M103" s="632"/>
    </row>
    <row r="104" spans="1:13" x14ac:dyDescent="0.2">
      <c r="A104" s="279" t="str">
        <f>A85</f>
        <v>Masuk</v>
      </c>
      <c r="B104" s="199">
        <f>Absen!I48</f>
        <v>22</v>
      </c>
      <c r="C104" s="280" t="s">
        <v>168</v>
      </c>
      <c r="D104" s="280" t="s">
        <v>169</v>
      </c>
      <c r="E104" s="281">
        <v>38000</v>
      </c>
      <c r="F104" s="199" t="s">
        <v>170</v>
      </c>
      <c r="G104" s="282">
        <f>B104*E104</f>
        <v>836000</v>
      </c>
      <c r="H104" s="198"/>
      <c r="I104" s="620"/>
      <c r="J104" s="622"/>
      <c r="K104" s="198"/>
      <c r="L104" s="624"/>
      <c r="M104" s="625"/>
    </row>
    <row r="105" spans="1:13" x14ac:dyDescent="0.2">
      <c r="A105" s="279" t="str">
        <f t="shared" ref="A105:A109" si="4">A86</f>
        <v>Lembur</v>
      </c>
      <c r="B105" s="197">
        <v>8.5</v>
      </c>
      <c r="C105" s="280" t="s">
        <v>172</v>
      </c>
      <c r="D105" s="280"/>
      <c r="E105" s="281">
        <v>6000</v>
      </c>
      <c r="F105" s="199" t="s">
        <v>170</v>
      </c>
      <c r="G105" s="282">
        <f>B105*E105</f>
        <v>51000</v>
      </c>
      <c r="H105" s="198"/>
      <c r="I105" s="621"/>
      <c r="J105" s="623"/>
      <c r="K105" s="198"/>
      <c r="L105" s="626"/>
      <c r="M105" s="627"/>
    </row>
    <row r="106" spans="1:13" x14ac:dyDescent="0.2">
      <c r="A106" s="279" t="str">
        <f t="shared" si="4"/>
        <v>Izin</v>
      </c>
      <c r="B106" s="199">
        <v>1</v>
      </c>
      <c r="C106" s="280" t="s">
        <v>168</v>
      </c>
      <c r="D106" s="280"/>
      <c r="E106" s="281"/>
      <c r="F106" s="199"/>
      <c r="G106" s="282"/>
      <c r="H106" s="198"/>
      <c r="I106" s="621"/>
      <c r="J106" s="623"/>
      <c r="K106" s="198"/>
      <c r="L106" s="626"/>
      <c r="M106" s="627"/>
    </row>
    <row r="107" spans="1:13" x14ac:dyDescent="0.2">
      <c r="A107" s="279" t="str">
        <f t="shared" si="4"/>
        <v>Sakit</v>
      </c>
      <c r="B107" s="504"/>
      <c r="C107" s="280" t="s">
        <v>168</v>
      </c>
      <c r="D107" s="505"/>
      <c r="E107" s="281"/>
      <c r="F107" s="491"/>
      <c r="G107" s="282"/>
      <c r="H107" s="198"/>
      <c r="I107" s="279"/>
      <c r="J107" s="282"/>
      <c r="K107" s="198"/>
      <c r="L107" s="626"/>
      <c r="M107" s="627"/>
    </row>
    <row r="108" spans="1:13" x14ac:dyDescent="0.2">
      <c r="A108" s="279" t="str">
        <f t="shared" si="4"/>
        <v>Makan</v>
      </c>
      <c r="B108" s="504">
        <f>B104</f>
        <v>22</v>
      </c>
      <c r="C108" s="280" t="s">
        <v>168</v>
      </c>
      <c r="D108" s="505" t="s">
        <v>169</v>
      </c>
      <c r="E108" s="281">
        <v>6000</v>
      </c>
      <c r="F108" s="491" t="s">
        <v>170</v>
      </c>
      <c r="G108" s="282">
        <f>B108*E108</f>
        <v>132000</v>
      </c>
      <c r="H108" s="198"/>
      <c r="I108" s="279"/>
      <c r="J108" s="282"/>
      <c r="K108" s="198"/>
      <c r="L108" s="626"/>
      <c r="M108" s="627"/>
    </row>
    <row r="109" spans="1:13" x14ac:dyDescent="0.2">
      <c r="A109" s="279" t="str">
        <f t="shared" si="4"/>
        <v>Bonus Akhir Tahun</v>
      </c>
      <c r="B109" s="484"/>
      <c r="C109" s="485"/>
      <c r="D109" s="280"/>
      <c r="E109" s="281"/>
      <c r="F109" s="196"/>
      <c r="G109" s="285">
        <f>E104*2</f>
        <v>76000</v>
      </c>
      <c r="H109" s="198"/>
      <c r="I109" s="279"/>
      <c r="J109" s="282"/>
      <c r="K109" s="198"/>
      <c r="L109" s="626"/>
      <c r="M109" s="627"/>
    </row>
    <row r="110" spans="1:13" ht="13.5" thickBot="1" x14ac:dyDescent="0.25">
      <c r="A110" s="630" t="s">
        <v>11</v>
      </c>
      <c r="B110" s="631"/>
      <c r="C110" s="631"/>
      <c r="D110" s="631"/>
      <c r="E110" s="631"/>
      <c r="F110" s="632"/>
      <c r="G110" s="286">
        <f>SUM(G104:G109)</f>
        <v>1095000</v>
      </c>
      <c r="H110" s="198"/>
      <c r="I110" s="563" t="s">
        <v>11</v>
      </c>
      <c r="J110" s="288">
        <f>SUM(J104:J108)</f>
        <v>0</v>
      </c>
      <c r="K110" s="198"/>
      <c r="L110" s="628"/>
      <c r="M110" s="629"/>
    </row>
    <row r="111" spans="1:13" ht="13.5" thickTop="1" x14ac:dyDescent="0.2">
      <c r="A111" s="198"/>
      <c r="B111" s="198"/>
      <c r="C111" s="198"/>
      <c r="D111" s="198"/>
      <c r="E111" s="198"/>
      <c r="F111" s="278"/>
      <c r="G111" s="198"/>
      <c r="H111" s="198"/>
      <c r="I111" s="198"/>
      <c r="J111" s="198"/>
      <c r="K111" s="198"/>
      <c r="L111" s="198"/>
      <c r="M111" s="198"/>
    </row>
    <row r="112" spans="1:13" x14ac:dyDescent="0.2">
      <c r="A112" s="633" t="s">
        <v>175</v>
      </c>
      <c r="B112" s="633"/>
      <c r="C112" s="633"/>
      <c r="D112" s="633"/>
      <c r="E112" s="633"/>
      <c r="F112" s="633"/>
      <c r="G112" s="633"/>
      <c r="H112" s="564" t="s">
        <v>170</v>
      </c>
      <c r="I112" s="275"/>
      <c r="J112" s="277">
        <f>G110-J110</f>
        <v>1095000</v>
      </c>
      <c r="K112" s="295"/>
      <c r="L112" s="295"/>
      <c r="M112" s="295"/>
    </row>
    <row r="113" spans="1:13" x14ac:dyDescent="0.2">
      <c r="F113" s="565"/>
    </row>
    <row r="114" spans="1:13" x14ac:dyDescent="0.2">
      <c r="A114" s="619" t="str">
        <f>A95</f>
        <v>Terimakasih atas kerja kerasnya bulan ini. Semoga Allah senantiasa melapangkan rizki yang banyak yang barokah kepada kita, Amii...n</v>
      </c>
      <c r="B114" s="619"/>
      <c r="C114" s="619"/>
      <c r="D114" s="619"/>
      <c r="E114" s="619"/>
      <c r="F114" s="619"/>
      <c r="G114" s="619"/>
      <c r="H114" s="619"/>
      <c r="I114" s="619"/>
      <c r="J114" s="619"/>
      <c r="K114" s="619"/>
      <c r="L114" s="619"/>
      <c r="M114" s="619"/>
    </row>
    <row r="126" spans="1:13" x14ac:dyDescent="0.2">
      <c r="I126" t="s">
        <v>484</v>
      </c>
      <c r="J126" s="515">
        <f>G14+G34+G53+G72+G91+G110</f>
        <v>7910000</v>
      </c>
      <c r="L126" s="506"/>
    </row>
    <row r="127" spans="1:13" x14ac:dyDescent="0.2">
      <c r="I127" t="s">
        <v>525</v>
      </c>
      <c r="J127" s="515">
        <v>200000</v>
      </c>
      <c r="L127" s="506"/>
    </row>
    <row r="128" spans="1:13" x14ac:dyDescent="0.2">
      <c r="I128" t="s">
        <v>526</v>
      </c>
      <c r="J128" s="515"/>
    </row>
    <row r="129" spans="7:12" x14ac:dyDescent="0.2">
      <c r="I129" t="s">
        <v>485</v>
      </c>
      <c r="J129" s="506">
        <f>J126-J127-J128</f>
        <v>7710000</v>
      </c>
      <c r="L129" s="576">
        <f>J129/'Laporan Laba Rugi'!E14</f>
        <v>0.15212501479815319</v>
      </c>
    </row>
    <row r="131" spans="7:12" x14ac:dyDescent="0.2">
      <c r="G131" t="s">
        <v>523</v>
      </c>
      <c r="I131" s="547">
        <v>0.09</v>
      </c>
      <c r="J131" s="506">
        <f>I131*'Laporan Laba Rugi'!E14</f>
        <v>4561380</v>
      </c>
    </row>
    <row r="132" spans="7:12" x14ac:dyDescent="0.2">
      <c r="G132" t="s">
        <v>524</v>
      </c>
      <c r="I132" s="547">
        <v>0.14000000000000001</v>
      </c>
      <c r="J132" s="506">
        <f>I132*'Laporan Laba Rugi'!E14</f>
        <v>7095480.0000000009</v>
      </c>
    </row>
    <row r="133" spans="7:12" x14ac:dyDescent="0.2">
      <c r="J133" s="506">
        <f>J132-J126</f>
        <v>-814519.99999999907</v>
      </c>
    </row>
  </sheetData>
  <mergeCells count="66">
    <mergeCell ref="A114:M114"/>
    <mergeCell ref="I6:I7"/>
    <mergeCell ref="J6:J7"/>
    <mergeCell ref="A99:F99"/>
    <mergeCell ref="G99:M99"/>
    <mergeCell ref="A103:G103"/>
    <mergeCell ref="I103:J103"/>
    <mergeCell ref="L103:M103"/>
    <mergeCell ref="I104:I106"/>
    <mergeCell ref="J104:J106"/>
    <mergeCell ref="L104:M110"/>
    <mergeCell ref="A110:F110"/>
    <mergeCell ref="A112:G112"/>
    <mergeCell ref="L47:M53"/>
    <mergeCell ref="A53:F53"/>
    <mergeCell ref="A55:G55"/>
    <mergeCell ref="A57:M57"/>
    <mergeCell ref="A42:F42"/>
    <mergeCell ref="G42:M42"/>
    <mergeCell ref="A46:G46"/>
    <mergeCell ref="I46:J46"/>
    <mergeCell ref="L46:M46"/>
    <mergeCell ref="A27:G27"/>
    <mergeCell ref="I27:J27"/>
    <mergeCell ref="A34:F34"/>
    <mergeCell ref="A38:M38"/>
    <mergeCell ref="L27:M27"/>
    <mergeCell ref="L28:M34"/>
    <mergeCell ref="A36:G36"/>
    <mergeCell ref="I28:I29"/>
    <mergeCell ref="J28:J29"/>
    <mergeCell ref="A1:F1"/>
    <mergeCell ref="G1:M1"/>
    <mergeCell ref="A23:F23"/>
    <mergeCell ref="G23:M23"/>
    <mergeCell ref="A18:M18"/>
    <mergeCell ref="L5:M5"/>
    <mergeCell ref="L6:M14"/>
    <mergeCell ref="A5:G5"/>
    <mergeCell ref="I5:J5"/>
    <mergeCell ref="A14:F14"/>
    <mergeCell ref="A16:G16"/>
    <mergeCell ref="A61:F61"/>
    <mergeCell ref="G61:M61"/>
    <mergeCell ref="A65:G65"/>
    <mergeCell ref="I65:J65"/>
    <mergeCell ref="L65:M65"/>
    <mergeCell ref="L66:M72"/>
    <mergeCell ref="A72:F72"/>
    <mergeCell ref="A74:G74"/>
    <mergeCell ref="I66:I67"/>
    <mergeCell ref="J66:J67"/>
    <mergeCell ref="I68:I69"/>
    <mergeCell ref="J68:J69"/>
    <mergeCell ref="A76:M76"/>
    <mergeCell ref="A80:F80"/>
    <mergeCell ref="G80:M80"/>
    <mergeCell ref="A84:G84"/>
    <mergeCell ref="I84:J84"/>
    <mergeCell ref="L84:M84"/>
    <mergeCell ref="A95:M95"/>
    <mergeCell ref="I85:I87"/>
    <mergeCell ref="J85:J87"/>
    <mergeCell ref="L85:M91"/>
    <mergeCell ref="A91:F91"/>
    <mergeCell ref="A93:G93"/>
  </mergeCells>
  <pageMargins left="0.78740157480314965" right="1.1811023622047245" top="0.59055118110236227" bottom="0.59055118110236227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H42"/>
  <sheetViews>
    <sheetView workbookViewId="0">
      <selection activeCell="J16" sqref="J16"/>
    </sheetView>
  </sheetViews>
  <sheetFormatPr defaultRowHeight="12.75" x14ac:dyDescent="0.2"/>
  <cols>
    <col min="1" max="1" width="7" style="470" customWidth="1"/>
    <col min="2" max="2" width="20" style="470" customWidth="1"/>
    <col min="3" max="3" width="9.140625" style="470" customWidth="1"/>
    <col min="4" max="4" width="9.7109375" style="470" customWidth="1"/>
    <col min="5" max="6" width="9.140625" style="470"/>
    <col min="7" max="7" width="9.140625" style="470" customWidth="1"/>
    <col min="8" max="8" width="12.7109375" style="67" customWidth="1"/>
    <col min="9" max="9" width="12" style="470" customWidth="1"/>
    <col min="10" max="16384" width="9.140625" style="470"/>
  </cols>
  <sheetData>
    <row r="3" spans="1:8" x14ac:dyDescent="0.2">
      <c r="A3" s="640" t="s">
        <v>0</v>
      </c>
      <c r="B3" s="641" t="s">
        <v>1</v>
      </c>
      <c r="C3" s="642" t="s">
        <v>332</v>
      </c>
      <c r="D3" s="642"/>
      <c r="E3" s="643" t="s">
        <v>330</v>
      </c>
      <c r="F3" s="643" t="s">
        <v>335</v>
      </c>
      <c r="G3" s="644" t="s">
        <v>428</v>
      </c>
      <c r="H3" s="639" t="s">
        <v>429</v>
      </c>
    </row>
    <row r="4" spans="1:8" x14ac:dyDescent="0.2">
      <c r="A4" s="640"/>
      <c r="B4" s="641"/>
      <c r="C4" s="642"/>
      <c r="D4" s="642"/>
      <c r="E4" s="643"/>
      <c r="F4" s="643"/>
      <c r="G4" s="644"/>
      <c r="H4" s="639"/>
    </row>
    <row r="5" spans="1:8" x14ac:dyDescent="0.2">
      <c r="A5" s="447" t="s">
        <v>372</v>
      </c>
      <c r="B5" s="454" t="s">
        <v>240</v>
      </c>
      <c r="C5" s="455"/>
      <c r="D5" s="456"/>
      <c r="E5" s="445"/>
      <c r="F5" s="446"/>
      <c r="G5" s="446"/>
      <c r="H5" s="445"/>
    </row>
    <row r="6" spans="1:8" x14ac:dyDescent="0.2">
      <c r="A6" s="417" t="s">
        <v>371</v>
      </c>
      <c r="B6" s="418" t="s">
        <v>241</v>
      </c>
      <c r="C6" s="419">
        <v>6400</v>
      </c>
      <c r="D6" s="420" t="s">
        <v>281</v>
      </c>
      <c r="E6" s="429">
        <f>'Stok Bahan Klausa'!G7</f>
        <v>62</v>
      </c>
      <c r="F6" s="471">
        <f>'Stok Bahan Klausa'!J7</f>
        <v>140</v>
      </c>
      <c r="G6" s="422">
        <f>E6-F6</f>
        <v>-78</v>
      </c>
      <c r="H6" s="429">
        <f>C6*G6</f>
        <v>-499200</v>
      </c>
    </row>
    <row r="7" spans="1:8" x14ac:dyDescent="0.2">
      <c r="A7" s="307" t="s">
        <v>373</v>
      </c>
      <c r="B7" s="309" t="s">
        <v>242</v>
      </c>
      <c r="C7" s="311">
        <v>150000</v>
      </c>
      <c r="D7" s="312" t="s">
        <v>281</v>
      </c>
      <c r="E7" s="429">
        <f>'Stok Bahan Klausa'!G8</f>
        <v>5.0999999999999996</v>
      </c>
      <c r="F7" s="471">
        <f>'Stok Bahan Klausa'!J8</f>
        <v>0.56000000000000005</v>
      </c>
      <c r="G7" s="422">
        <f t="shared" ref="G7:G39" si="0">E7-F7</f>
        <v>4.5399999999999991</v>
      </c>
      <c r="H7" s="429">
        <f t="shared" ref="H7:H39" si="1">C7*G7</f>
        <v>680999.99999999988</v>
      </c>
    </row>
    <row r="8" spans="1:8" x14ac:dyDescent="0.2">
      <c r="A8" s="423" t="s">
        <v>374</v>
      </c>
      <c r="B8" s="418" t="s">
        <v>243</v>
      </c>
      <c r="C8" s="419">
        <v>12000</v>
      </c>
      <c r="D8" s="420" t="s">
        <v>281</v>
      </c>
      <c r="E8" s="429">
        <f>'Stok Bahan Klausa'!G9</f>
        <v>5</v>
      </c>
      <c r="F8" s="471">
        <f>'Stok Bahan Klausa'!J9</f>
        <v>2.5</v>
      </c>
      <c r="G8" s="422">
        <f t="shared" si="0"/>
        <v>2.5</v>
      </c>
      <c r="H8" s="429">
        <f t="shared" si="1"/>
        <v>30000</v>
      </c>
    </row>
    <row r="9" spans="1:8" x14ac:dyDescent="0.2">
      <c r="A9" s="423" t="s">
        <v>375</v>
      </c>
      <c r="B9" s="418" t="s">
        <v>244</v>
      </c>
      <c r="C9" s="419">
        <v>4000</v>
      </c>
      <c r="D9" s="420" t="s">
        <v>323</v>
      </c>
      <c r="E9" s="429">
        <f>'Stok Bahan Klausa'!G10</f>
        <v>22</v>
      </c>
      <c r="F9" s="471">
        <f>'Stok Bahan Klausa'!J10</f>
        <v>0</v>
      </c>
      <c r="G9" s="422">
        <f t="shared" si="0"/>
        <v>22</v>
      </c>
      <c r="H9" s="429">
        <f t="shared" si="1"/>
        <v>88000</v>
      </c>
    </row>
    <row r="10" spans="1:8" x14ac:dyDescent="0.2">
      <c r="A10" s="307" t="s">
        <v>376</v>
      </c>
      <c r="B10" s="309" t="s">
        <v>245</v>
      </c>
      <c r="C10" s="311">
        <v>8800</v>
      </c>
      <c r="D10" s="312" t="s">
        <v>324</v>
      </c>
      <c r="E10" s="429">
        <f>'Stok Bahan Klausa'!G11</f>
        <v>88</v>
      </c>
      <c r="F10" s="471">
        <f>'Stok Bahan Klausa'!J11</f>
        <v>14</v>
      </c>
      <c r="G10" s="422">
        <f t="shared" si="0"/>
        <v>74</v>
      </c>
      <c r="H10" s="429">
        <f t="shared" si="1"/>
        <v>651200</v>
      </c>
    </row>
    <row r="11" spans="1:8" x14ac:dyDescent="0.2">
      <c r="A11" s="423" t="s">
        <v>377</v>
      </c>
      <c r="B11" s="418" t="s">
        <v>246</v>
      </c>
      <c r="C11" s="419">
        <v>1312.5</v>
      </c>
      <c r="D11" s="420" t="s">
        <v>325</v>
      </c>
      <c r="E11" s="429">
        <f>'Stok Bahan Klausa'!G12</f>
        <v>0</v>
      </c>
      <c r="F11" s="471">
        <f>'Stok Bahan Klausa'!J12</f>
        <v>27</v>
      </c>
      <c r="G11" s="422">
        <f t="shared" si="0"/>
        <v>-27</v>
      </c>
      <c r="H11" s="429">
        <f t="shared" si="1"/>
        <v>-35437.5</v>
      </c>
    </row>
    <row r="12" spans="1:8" x14ac:dyDescent="0.2">
      <c r="A12" s="307" t="s">
        <v>378</v>
      </c>
      <c r="B12" s="309" t="s">
        <v>247</v>
      </c>
      <c r="C12" s="311">
        <v>5000</v>
      </c>
      <c r="D12" s="312" t="s">
        <v>281</v>
      </c>
      <c r="E12" s="429">
        <f>'Stok Bahan Klausa'!G13</f>
        <v>0</v>
      </c>
      <c r="F12" s="471">
        <f>'Stok Bahan Klausa'!J13</f>
        <v>0</v>
      </c>
      <c r="G12" s="422">
        <f t="shared" si="0"/>
        <v>0</v>
      </c>
      <c r="H12" s="429">
        <f>C12*G12</f>
        <v>0</v>
      </c>
    </row>
    <row r="13" spans="1:8" x14ac:dyDescent="0.2">
      <c r="A13" s="423" t="s">
        <v>379</v>
      </c>
      <c r="B13" s="418" t="s">
        <v>248</v>
      </c>
      <c r="C13" s="419">
        <v>11000</v>
      </c>
      <c r="D13" s="420" t="s">
        <v>323</v>
      </c>
      <c r="E13" s="429">
        <f>'Stok Bahan Klausa'!G14</f>
        <v>5</v>
      </c>
      <c r="F13" s="471">
        <f>'Stok Bahan Klausa'!J14</f>
        <v>9</v>
      </c>
      <c r="G13" s="422">
        <f t="shared" si="0"/>
        <v>-4</v>
      </c>
      <c r="H13" s="429">
        <f t="shared" si="1"/>
        <v>-44000</v>
      </c>
    </row>
    <row r="14" spans="1:8" x14ac:dyDescent="0.2">
      <c r="A14" s="307" t="s">
        <v>380</v>
      </c>
      <c r="B14" s="309" t="s">
        <v>200</v>
      </c>
      <c r="C14" s="311">
        <v>5000</v>
      </c>
      <c r="D14" s="312" t="s">
        <v>326</v>
      </c>
      <c r="E14" s="429">
        <f>'Stok Bahan Klausa'!G15</f>
        <v>0</v>
      </c>
      <c r="F14" s="471">
        <f>'Stok Bahan Klausa'!J15</f>
        <v>0</v>
      </c>
      <c r="G14" s="422">
        <f t="shared" si="0"/>
        <v>0</v>
      </c>
      <c r="H14" s="429">
        <f t="shared" si="1"/>
        <v>0</v>
      </c>
    </row>
    <row r="15" spans="1:8" x14ac:dyDescent="0.2">
      <c r="A15" s="423" t="s">
        <v>381</v>
      </c>
      <c r="B15" s="418" t="s">
        <v>249</v>
      </c>
      <c r="C15" s="419">
        <v>20000</v>
      </c>
      <c r="D15" s="420" t="s">
        <v>327</v>
      </c>
      <c r="E15" s="429">
        <f>'Stok Bahan Klausa'!G16</f>
        <v>0</v>
      </c>
      <c r="F15" s="471">
        <f>'Stok Bahan Klausa'!J16</f>
        <v>0</v>
      </c>
      <c r="G15" s="422">
        <f t="shared" si="0"/>
        <v>0</v>
      </c>
      <c r="H15" s="429">
        <f t="shared" si="1"/>
        <v>0</v>
      </c>
    </row>
    <row r="16" spans="1:8" x14ac:dyDescent="0.2">
      <c r="A16" s="353" t="s">
        <v>382</v>
      </c>
      <c r="B16" s="309" t="s">
        <v>250</v>
      </c>
      <c r="C16" s="311">
        <v>20000</v>
      </c>
      <c r="D16" s="312" t="s">
        <v>281</v>
      </c>
      <c r="E16" s="429">
        <f>'Stok Bahan Klausa'!G17</f>
        <v>0</v>
      </c>
      <c r="F16" s="471">
        <f>'Stok Bahan Klausa'!J17</f>
        <v>0</v>
      </c>
      <c r="G16" s="422">
        <f t="shared" si="0"/>
        <v>0</v>
      </c>
      <c r="H16" s="429">
        <f t="shared" si="1"/>
        <v>0</v>
      </c>
    </row>
    <row r="17" spans="1:8" x14ac:dyDescent="0.2">
      <c r="A17" s="423" t="s">
        <v>383</v>
      </c>
      <c r="B17" s="418" t="s">
        <v>251</v>
      </c>
      <c r="C17" s="419">
        <v>17500</v>
      </c>
      <c r="D17" s="420" t="s">
        <v>281</v>
      </c>
      <c r="E17" s="429">
        <f>'Stok Bahan Klausa'!G18</f>
        <v>233</v>
      </c>
      <c r="F17" s="471">
        <f>'Stok Bahan Klausa'!J18</f>
        <v>212.5</v>
      </c>
      <c r="G17" s="422">
        <f t="shared" si="0"/>
        <v>20.5</v>
      </c>
      <c r="H17" s="429">
        <f t="shared" si="1"/>
        <v>358750</v>
      </c>
    </row>
    <row r="18" spans="1:8" x14ac:dyDescent="0.2">
      <c r="A18" s="307" t="s">
        <v>384</v>
      </c>
      <c r="B18" s="309" t="s">
        <v>252</v>
      </c>
      <c r="C18" s="311">
        <v>15000</v>
      </c>
      <c r="D18" s="312" t="s">
        <v>281</v>
      </c>
      <c r="E18" s="429">
        <f>'Stok Bahan Klausa'!G19</f>
        <v>40</v>
      </c>
      <c r="F18" s="471">
        <f>'Stok Bahan Klausa'!J19</f>
        <v>11.5</v>
      </c>
      <c r="G18" s="422">
        <f t="shared" si="0"/>
        <v>28.5</v>
      </c>
      <c r="H18" s="429">
        <f t="shared" si="1"/>
        <v>427500</v>
      </c>
    </row>
    <row r="19" spans="1:8" x14ac:dyDescent="0.2">
      <c r="A19" s="423" t="s">
        <v>385</v>
      </c>
      <c r="B19" s="418" t="s">
        <v>253</v>
      </c>
      <c r="C19" s="419">
        <v>12000</v>
      </c>
      <c r="D19" s="420" t="s">
        <v>281</v>
      </c>
      <c r="E19" s="429">
        <f>'Stok Bahan Klausa'!G20</f>
        <v>1</v>
      </c>
      <c r="F19" s="471">
        <f>'Stok Bahan Klausa'!J20</f>
        <v>22.2</v>
      </c>
      <c r="G19" s="422">
        <f t="shared" si="0"/>
        <v>-21.2</v>
      </c>
      <c r="H19" s="429">
        <f t="shared" si="1"/>
        <v>-254400</v>
      </c>
    </row>
    <row r="20" spans="1:8" x14ac:dyDescent="0.2">
      <c r="A20" s="307" t="s">
        <v>386</v>
      </c>
      <c r="B20" s="309" t="s">
        <v>254</v>
      </c>
      <c r="C20" s="311">
        <v>14000</v>
      </c>
      <c r="D20" s="312" t="s">
        <v>281</v>
      </c>
      <c r="E20" s="429">
        <f>'Stok Bahan Klausa'!G21</f>
        <v>11</v>
      </c>
      <c r="F20" s="471">
        <f>'Stok Bahan Klausa'!J21</f>
        <v>24.5</v>
      </c>
      <c r="G20" s="422">
        <f t="shared" si="0"/>
        <v>-13.5</v>
      </c>
      <c r="H20" s="429">
        <f t="shared" si="1"/>
        <v>-189000</v>
      </c>
    </row>
    <row r="21" spans="1:8" x14ac:dyDescent="0.2">
      <c r="A21" s="423" t="s">
        <v>387</v>
      </c>
      <c r="B21" s="418" t="s">
        <v>255</v>
      </c>
      <c r="C21" s="419">
        <v>6250</v>
      </c>
      <c r="D21" s="420" t="s">
        <v>328</v>
      </c>
      <c r="E21" s="429">
        <f>'Stok Bahan Klausa'!G22</f>
        <v>150</v>
      </c>
      <c r="F21" s="471">
        <f>'Stok Bahan Klausa'!J22</f>
        <v>23</v>
      </c>
      <c r="G21" s="422">
        <f t="shared" si="0"/>
        <v>127</v>
      </c>
      <c r="H21" s="429">
        <f t="shared" si="1"/>
        <v>793750</v>
      </c>
    </row>
    <row r="22" spans="1:8" x14ac:dyDescent="0.2">
      <c r="A22" s="307" t="s">
        <v>388</v>
      </c>
      <c r="B22" s="309" t="s">
        <v>256</v>
      </c>
      <c r="C22" s="311">
        <v>6250</v>
      </c>
      <c r="D22" s="312" t="s">
        <v>328</v>
      </c>
      <c r="E22" s="429">
        <f>'Stok Bahan Klausa'!G23</f>
        <v>36</v>
      </c>
      <c r="F22" s="471">
        <f>'Stok Bahan Klausa'!J23</f>
        <v>0</v>
      </c>
      <c r="G22" s="422">
        <f t="shared" si="0"/>
        <v>36</v>
      </c>
      <c r="H22" s="429">
        <f t="shared" si="1"/>
        <v>225000</v>
      </c>
    </row>
    <row r="23" spans="1:8" x14ac:dyDescent="0.2">
      <c r="A23" s="423" t="s">
        <v>389</v>
      </c>
      <c r="B23" s="418" t="s">
        <v>257</v>
      </c>
      <c r="C23" s="419">
        <v>6250</v>
      </c>
      <c r="D23" s="420" t="s">
        <v>328</v>
      </c>
      <c r="E23" s="429">
        <f>'Stok Bahan Klausa'!G24</f>
        <v>12</v>
      </c>
      <c r="F23" s="471">
        <f>'Stok Bahan Klausa'!J24</f>
        <v>0</v>
      </c>
      <c r="G23" s="422">
        <f t="shared" si="0"/>
        <v>12</v>
      </c>
      <c r="H23" s="429">
        <f t="shared" si="1"/>
        <v>75000</v>
      </c>
    </row>
    <row r="24" spans="1:8" x14ac:dyDescent="0.2">
      <c r="A24" s="447" t="s">
        <v>390</v>
      </c>
      <c r="B24" s="448" t="s">
        <v>258</v>
      </c>
      <c r="C24" s="449"/>
      <c r="D24" s="450"/>
      <c r="E24" s="445"/>
      <c r="F24" s="446"/>
      <c r="G24" s="444"/>
      <c r="H24" s="445"/>
    </row>
    <row r="25" spans="1:8" x14ac:dyDescent="0.2">
      <c r="A25" s="424" t="s">
        <v>391</v>
      </c>
      <c r="B25" s="39" t="s">
        <v>275</v>
      </c>
      <c r="C25" s="425">
        <v>9000</v>
      </c>
      <c r="D25" s="426" t="s">
        <v>329</v>
      </c>
      <c r="E25" s="431">
        <f>'Stok Bahan Klausa'!G38</f>
        <v>6.5</v>
      </c>
      <c r="F25" s="472">
        <f>'Stok Bahan Klausa'!J38</f>
        <v>5.5</v>
      </c>
      <c r="G25" s="428">
        <f t="shared" si="0"/>
        <v>1</v>
      </c>
      <c r="H25" s="431">
        <f t="shared" si="1"/>
        <v>9000</v>
      </c>
    </row>
    <row r="26" spans="1:8" x14ac:dyDescent="0.2">
      <c r="A26" s="308" t="s">
        <v>392</v>
      </c>
      <c r="B26" s="310" t="s">
        <v>259</v>
      </c>
      <c r="C26" s="313">
        <v>14000</v>
      </c>
      <c r="D26" s="314" t="s">
        <v>329</v>
      </c>
      <c r="E26" s="431">
        <f>'Stok Bahan Klausa'!G39</f>
        <v>11</v>
      </c>
      <c r="F26" s="472">
        <f>'Stok Bahan Klausa'!J39</f>
        <v>3.5</v>
      </c>
      <c r="G26" s="428">
        <f t="shared" si="0"/>
        <v>7.5</v>
      </c>
      <c r="H26" s="431">
        <f t="shared" si="1"/>
        <v>105000</v>
      </c>
    </row>
    <row r="27" spans="1:8" x14ac:dyDescent="0.2">
      <c r="A27" s="424" t="s">
        <v>393</v>
      </c>
      <c r="B27" s="39" t="s">
        <v>260</v>
      </c>
      <c r="C27" s="425">
        <v>20000</v>
      </c>
      <c r="D27" s="426" t="s">
        <v>329</v>
      </c>
      <c r="E27" s="431">
        <f>'Stok Bahan Klausa'!G40</f>
        <v>0.5</v>
      </c>
      <c r="F27" s="472">
        <f>'Stok Bahan Klausa'!J40</f>
        <v>0</v>
      </c>
      <c r="G27" s="428">
        <f t="shared" si="0"/>
        <v>0.5</v>
      </c>
      <c r="H27" s="431">
        <f t="shared" si="1"/>
        <v>10000</v>
      </c>
    </row>
    <row r="28" spans="1:8" x14ac:dyDescent="0.2">
      <c r="A28" s="308" t="s">
        <v>394</v>
      </c>
      <c r="B28" s="310" t="s">
        <v>261</v>
      </c>
      <c r="C28" s="313">
        <v>22500</v>
      </c>
      <c r="D28" s="314" t="s">
        <v>280</v>
      </c>
      <c r="E28" s="431">
        <f>'Stok Bahan Klausa'!G41</f>
        <v>0.5</v>
      </c>
      <c r="F28" s="472">
        <f>'Stok Bahan Klausa'!J41</f>
        <v>21</v>
      </c>
      <c r="G28" s="428">
        <f t="shared" si="0"/>
        <v>-20.5</v>
      </c>
      <c r="H28" s="431">
        <f t="shared" si="1"/>
        <v>-461250</v>
      </c>
    </row>
    <row r="29" spans="1:8" x14ac:dyDescent="0.2">
      <c r="A29" s="424" t="s">
        <v>395</v>
      </c>
      <c r="B29" s="39" t="s">
        <v>262</v>
      </c>
      <c r="C29" s="425">
        <v>22500</v>
      </c>
      <c r="D29" s="426" t="s">
        <v>280</v>
      </c>
      <c r="E29" s="431">
        <f>'Stok Bahan Klausa'!G42</f>
        <v>1.5</v>
      </c>
      <c r="F29" s="472">
        <f>'Stok Bahan Klausa'!J42</f>
        <v>3</v>
      </c>
      <c r="G29" s="428">
        <f t="shared" si="0"/>
        <v>-1.5</v>
      </c>
      <c r="H29" s="431">
        <f t="shared" si="1"/>
        <v>-33750</v>
      </c>
    </row>
    <row r="30" spans="1:8" x14ac:dyDescent="0.2">
      <c r="A30" s="308" t="s">
        <v>396</v>
      </c>
      <c r="B30" s="310" t="s">
        <v>263</v>
      </c>
      <c r="C30" s="313">
        <v>21000</v>
      </c>
      <c r="D30" s="314" t="s">
        <v>280</v>
      </c>
      <c r="E30" s="431">
        <f>'Stok Bahan Klausa'!G43</f>
        <v>3</v>
      </c>
      <c r="F30" s="472">
        <f>'Stok Bahan Klausa'!J43</f>
        <v>5</v>
      </c>
      <c r="G30" s="428">
        <f t="shared" si="0"/>
        <v>-2</v>
      </c>
      <c r="H30" s="431">
        <f t="shared" si="1"/>
        <v>-42000</v>
      </c>
    </row>
    <row r="31" spans="1:8" x14ac:dyDescent="0.2">
      <c r="A31" s="424" t="s">
        <v>397</v>
      </c>
      <c r="B31" s="39" t="s">
        <v>264</v>
      </c>
      <c r="C31" s="425">
        <v>21000</v>
      </c>
      <c r="D31" s="426" t="s">
        <v>280</v>
      </c>
      <c r="E31" s="431">
        <f>'Stok Bahan Klausa'!G44</f>
        <v>2.5</v>
      </c>
      <c r="F31" s="472">
        <f>'Stok Bahan Klausa'!J44</f>
        <v>5.5</v>
      </c>
      <c r="G31" s="428">
        <f t="shared" si="0"/>
        <v>-3</v>
      </c>
      <c r="H31" s="431">
        <f t="shared" si="1"/>
        <v>-63000</v>
      </c>
    </row>
    <row r="32" spans="1:8" x14ac:dyDescent="0.2">
      <c r="A32" s="308" t="s">
        <v>398</v>
      </c>
      <c r="B32" s="310" t="s">
        <v>265</v>
      </c>
      <c r="C32" s="313">
        <v>15000</v>
      </c>
      <c r="D32" s="314" t="s">
        <v>280</v>
      </c>
      <c r="E32" s="431">
        <f>'Stok Bahan Klausa'!G45</f>
        <v>0</v>
      </c>
      <c r="F32" s="472">
        <f>'Stok Bahan Klausa'!J45</f>
        <v>2.5</v>
      </c>
      <c r="G32" s="428">
        <f t="shared" si="0"/>
        <v>-2.5</v>
      </c>
      <c r="H32" s="431">
        <f t="shared" si="1"/>
        <v>-37500</v>
      </c>
    </row>
    <row r="33" spans="1:8" x14ac:dyDescent="0.2">
      <c r="A33" s="424" t="s">
        <v>399</v>
      </c>
      <c r="B33" s="39" t="s">
        <v>266</v>
      </c>
      <c r="C33" s="425">
        <v>15000</v>
      </c>
      <c r="D33" s="426" t="s">
        <v>280</v>
      </c>
      <c r="E33" s="431">
        <f>'Stok Bahan Klausa'!G46</f>
        <v>1.5</v>
      </c>
      <c r="F33" s="472">
        <f>'Stok Bahan Klausa'!J46</f>
        <v>0</v>
      </c>
      <c r="G33" s="428">
        <f t="shared" si="0"/>
        <v>1.5</v>
      </c>
      <c r="H33" s="431">
        <f t="shared" si="1"/>
        <v>22500</v>
      </c>
    </row>
    <row r="34" spans="1:8" x14ac:dyDescent="0.2">
      <c r="A34" s="308" t="s">
        <v>400</v>
      </c>
      <c r="B34" s="310" t="s">
        <v>267</v>
      </c>
      <c r="C34" s="313">
        <v>24000</v>
      </c>
      <c r="D34" s="314" t="s">
        <v>282</v>
      </c>
      <c r="E34" s="431">
        <f>'Stok Bahan Klausa'!G47</f>
        <v>0</v>
      </c>
      <c r="F34" s="472">
        <f>'Stok Bahan Klausa'!J47</f>
        <v>0</v>
      </c>
      <c r="G34" s="428">
        <f t="shared" si="0"/>
        <v>0</v>
      </c>
      <c r="H34" s="431">
        <f t="shared" si="1"/>
        <v>0</v>
      </c>
    </row>
    <row r="35" spans="1:8" x14ac:dyDescent="0.2">
      <c r="A35" s="438" t="s">
        <v>401</v>
      </c>
      <c r="B35" s="440" t="s">
        <v>268</v>
      </c>
      <c r="C35" s="441"/>
      <c r="D35" s="442"/>
      <c r="E35" s="445"/>
      <c r="F35" s="446"/>
      <c r="G35" s="444"/>
      <c r="H35" s="445"/>
    </row>
    <row r="36" spans="1:8" x14ac:dyDescent="0.2">
      <c r="A36" s="307" t="s">
        <v>402</v>
      </c>
      <c r="B36" s="309" t="s">
        <v>269</v>
      </c>
      <c r="C36" s="311">
        <v>45000</v>
      </c>
      <c r="D36" s="312" t="s">
        <v>329</v>
      </c>
      <c r="E36" s="429">
        <f>'Stok Bahan Klausa'!G49</f>
        <v>9</v>
      </c>
      <c r="F36" s="471">
        <f>'Stok Bahan Klausa'!J49</f>
        <v>2</v>
      </c>
      <c r="G36" s="422">
        <f t="shared" si="0"/>
        <v>7</v>
      </c>
      <c r="H36" s="429">
        <f t="shared" si="1"/>
        <v>315000</v>
      </c>
    </row>
    <row r="37" spans="1:8" x14ac:dyDescent="0.2">
      <c r="A37" s="423" t="s">
        <v>403</v>
      </c>
      <c r="B37" s="418" t="s">
        <v>270</v>
      </c>
      <c r="C37" s="419">
        <v>60000</v>
      </c>
      <c r="D37" s="420" t="s">
        <v>329</v>
      </c>
      <c r="E37" s="429">
        <f>'Stok Bahan Klausa'!G51</f>
        <v>0</v>
      </c>
      <c r="F37" s="471">
        <f>'Stok Bahan Klausa'!J51</f>
        <v>0</v>
      </c>
      <c r="G37" s="422">
        <f t="shared" si="0"/>
        <v>0</v>
      </c>
      <c r="H37" s="429">
        <f t="shared" si="1"/>
        <v>0</v>
      </c>
    </row>
    <row r="38" spans="1:8" x14ac:dyDescent="0.2">
      <c r="A38" s="307" t="s">
        <v>404</v>
      </c>
      <c r="B38" s="309" t="s">
        <v>271</v>
      </c>
      <c r="C38" s="311">
        <v>21000</v>
      </c>
      <c r="D38" s="312" t="s">
        <v>283</v>
      </c>
      <c r="E38" s="429">
        <f>'Stok Bahan Klausa'!G52</f>
        <v>0</v>
      </c>
      <c r="F38" s="471">
        <f>'Stok Bahan Klausa'!J52</f>
        <v>0</v>
      </c>
      <c r="G38" s="422">
        <f t="shared" si="0"/>
        <v>0</v>
      </c>
      <c r="H38" s="429">
        <f t="shared" si="1"/>
        <v>0</v>
      </c>
    </row>
    <row r="39" spans="1:8" x14ac:dyDescent="0.2">
      <c r="A39" s="423" t="s">
        <v>405</v>
      </c>
      <c r="B39" s="418" t="s">
        <v>272</v>
      </c>
      <c r="C39" s="419">
        <v>14000</v>
      </c>
      <c r="D39" s="420" t="s">
        <v>283</v>
      </c>
      <c r="E39" s="429">
        <f>'Stok Bahan Klausa'!G53</f>
        <v>0</v>
      </c>
      <c r="F39" s="471">
        <f>'Stok Bahan Klausa'!J53</f>
        <v>0</v>
      </c>
      <c r="G39" s="422">
        <f t="shared" si="0"/>
        <v>0</v>
      </c>
      <c r="H39" s="429">
        <f t="shared" si="1"/>
        <v>0</v>
      </c>
    </row>
    <row r="40" spans="1:8" x14ac:dyDescent="0.2">
      <c r="A40" s="307"/>
      <c r="B40" s="309"/>
      <c r="C40" s="311"/>
      <c r="D40" s="312"/>
      <c r="E40" s="429"/>
      <c r="F40" s="471"/>
      <c r="G40" s="422"/>
      <c r="H40" s="429"/>
    </row>
    <row r="41" spans="1:8" x14ac:dyDescent="0.2">
      <c r="A41" s="438" t="s">
        <v>169</v>
      </c>
      <c r="B41" s="440" t="s">
        <v>430</v>
      </c>
      <c r="C41" s="441"/>
      <c r="D41" s="442"/>
      <c r="E41" s="445"/>
      <c r="F41" s="446"/>
      <c r="G41" s="444"/>
      <c r="H41" s="445">
        <f>SUM(H6:H23)</f>
        <v>2308162.5</v>
      </c>
    </row>
    <row r="42" spans="1:8" x14ac:dyDescent="0.2">
      <c r="A42" s="438" t="s">
        <v>406</v>
      </c>
      <c r="B42" s="440" t="s">
        <v>431</v>
      </c>
      <c r="C42" s="441"/>
      <c r="D42" s="442"/>
      <c r="E42" s="445"/>
      <c r="F42" s="446"/>
      <c r="G42" s="444"/>
      <c r="H42" s="445">
        <f>SUM(H25:H39)</f>
        <v>-176000</v>
      </c>
    </row>
  </sheetData>
  <mergeCells count="7">
    <mergeCell ref="H3:H4"/>
    <mergeCell ref="A3:A4"/>
    <mergeCell ref="B3:B4"/>
    <mergeCell ref="C3:D4"/>
    <mergeCell ref="E3:E4"/>
    <mergeCell ref="F3:F4"/>
    <mergeCell ref="G3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>
      <selection activeCell="O33" sqref="O33"/>
    </sheetView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O32"/>
  <sheetViews>
    <sheetView showGridLines="0" workbookViewId="0">
      <selection activeCell="A33" sqref="A33:XFD1048576"/>
    </sheetView>
  </sheetViews>
  <sheetFormatPr defaultColWidth="0" defaultRowHeight="12.75" zeroHeight="1" x14ac:dyDescent="0.2"/>
  <cols>
    <col min="1" max="15" width="9.140625" customWidth="1"/>
    <col min="16" max="16384" width="9.140625" hidden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8"/>
  <sheetViews>
    <sheetView showGridLines="0" zoomScaleNormal="100" workbookViewId="0">
      <pane xSplit="2" ySplit="5" topLeftCell="C6" activePane="bottomRight" state="frozen"/>
      <selection activeCell="A9" sqref="A9:XFD9"/>
      <selection pane="topRight" activeCell="A9" sqref="A9:XFD9"/>
      <selection pane="bottomLeft" activeCell="A9" sqref="A9:XFD9"/>
      <selection pane="bottomRight" activeCell="N62" sqref="N62"/>
    </sheetView>
  </sheetViews>
  <sheetFormatPr defaultRowHeight="12.75" x14ac:dyDescent="0.2"/>
  <cols>
    <col min="1" max="1" width="9.28515625" style="103" customWidth="1"/>
    <col min="2" max="2" width="10.42578125" style="103" customWidth="1"/>
    <col min="3" max="7" width="8.28515625" style="103" customWidth="1"/>
    <col min="8" max="8" width="12.7109375" style="103" customWidth="1"/>
    <col min="9" max="10" width="11.140625" style="103" customWidth="1"/>
    <col min="11" max="11" width="12.7109375" style="103" customWidth="1"/>
    <col min="12" max="12" width="10.5703125" style="103" customWidth="1"/>
    <col min="13" max="13" width="11.85546875" style="103" customWidth="1"/>
    <col min="14" max="14" width="10.5703125" style="103" customWidth="1"/>
    <col min="15" max="15" width="11.140625" style="103" bestFit="1" customWidth="1"/>
    <col min="16" max="16" width="10.5703125" style="103" customWidth="1"/>
    <col min="17" max="18" width="12.42578125" style="103" customWidth="1"/>
    <col min="19" max="19" width="11.7109375" style="103" customWidth="1"/>
    <col min="20" max="20" width="10.28515625" style="103" customWidth="1"/>
    <col min="21" max="21" width="12" style="103" customWidth="1"/>
    <col min="22" max="22" width="14.28515625" style="103" customWidth="1"/>
    <col min="23" max="25" width="13.28515625" style="103" customWidth="1"/>
    <col min="26" max="26" width="10" style="103" bestFit="1" customWidth="1"/>
    <col min="27" max="27" width="9.140625" style="103"/>
    <col min="28" max="28" width="10" style="103" bestFit="1" customWidth="1"/>
    <col min="29" max="31" width="9.140625" style="103"/>
    <col min="32" max="32" width="12.5703125" style="103" customWidth="1"/>
    <col min="33" max="16384" width="9.140625" style="103"/>
  </cols>
  <sheetData>
    <row r="1" spans="1:33" ht="21" x14ac:dyDescent="0.2">
      <c r="A1" s="663" t="s">
        <v>228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558"/>
    </row>
    <row r="2" spans="1:33" ht="21.75" customHeight="1" thickBot="1" x14ac:dyDescent="0.25">
      <c r="A2" s="663"/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558"/>
    </row>
    <row r="3" spans="1:33" ht="16.5" thickBot="1" x14ac:dyDescent="0.25">
      <c r="A3" s="107"/>
      <c r="B3" s="106"/>
      <c r="C3" s="670" t="s">
        <v>97</v>
      </c>
      <c r="D3" s="671"/>
      <c r="E3" s="671"/>
      <c r="F3" s="671"/>
      <c r="G3" s="671"/>
      <c r="H3" s="672"/>
      <c r="I3" s="108"/>
      <c r="J3" s="108"/>
      <c r="K3" s="108"/>
      <c r="L3" s="679" t="s">
        <v>99</v>
      </c>
      <c r="M3" s="680"/>
      <c r="N3" s="109"/>
      <c r="O3" s="109"/>
      <c r="P3" s="109"/>
      <c r="Q3" s="109"/>
      <c r="R3" s="109"/>
      <c r="S3" s="109"/>
      <c r="T3" s="109"/>
      <c r="U3" s="357"/>
      <c r="V3" s="358"/>
      <c r="W3" s="359"/>
    </row>
    <row r="4" spans="1:33" s="110" customFormat="1" ht="15.75" customHeight="1" x14ac:dyDescent="0.2">
      <c r="A4" s="664" t="s">
        <v>98</v>
      </c>
      <c r="B4" s="665"/>
      <c r="C4" s="649" t="s">
        <v>99</v>
      </c>
      <c r="D4" s="651" t="s">
        <v>100</v>
      </c>
      <c r="E4" s="651" t="s">
        <v>101</v>
      </c>
      <c r="F4" s="651" t="s">
        <v>102</v>
      </c>
      <c r="G4" s="651" t="s">
        <v>104</v>
      </c>
      <c r="H4" s="659" t="s">
        <v>202</v>
      </c>
      <c r="I4" s="677" t="s">
        <v>206</v>
      </c>
      <c r="J4" s="678"/>
      <c r="K4" s="668" t="s">
        <v>205</v>
      </c>
      <c r="L4" s="649" t="s">
        <v>208</v>
      </c>
      <c r="M4" s="657" t="s">
        <v>106</v>
      </c>
      <c r="N4" s="673" t="s">
        <v>103</v>
      </c>
      <c r="O4" s="673"/>
      <c r="P4" s="673"/>
      <c r="Q4" s="673"/>
      <c r="R4" s="674"/>
      <c r="S4" s="675" t="s">
        <v>204</v>
      </c>
      <c r="T4" s="668" t="s">
        <v>207</v>
      </c>
      <c r="U4" s="649" t="s">
        <v>54</v>
      </c>
      <c r="V4" s="651" t="s">
        <v>107</v>
      </c>
      <c r="W4" s="657" t="s">
        <v>108</v>
      </c>
      <c r="X4" s="647" t="s">
        <v>219</v>
      </c>
      <c r="Y4" s="559" t="s">
        <v>540</v>
      </c>
      <c r="AA4" s="645" t="s">
        <v>434</v>
      </c>
      <c r="AB4" s="645" t="s">
        <v>435</v>
      </c>
      <c r="AC4" s="645" t="s">
        <v>449</v>
      </c>
    </row>
    <row r="5" spans="1:33" s="110" customFormat="1" ht="16.5" thickBot="1" x14ac:dyDescent="0.25">
      <c r="A5" s="666"/>
      <c r="B5" s="667"/>
      <c r="C5" s="650"/>
      <c r="D5" s="652"/>
      <c r="E5" s="652"/>
      <c r="F5" s="652"/>
      <c r="G5" s="652"/>
      <c r="H5" s="660"/>
      <c r="I5" s="322" t="s">
        <v>541</v>
      </c>
      <c r="J5" s="167" t="s">
        <v>521</v>
      </c>
      <c r="K5" s="669"/>
      <c r="L5" s="650"/>
      <c r="M5" s="658"/>
      <c r="N5" s="331" t="s">
        <v>97</v>
      </c>
      <c r="O5" s="168" t="s">
        <v>106</v>
      </c>
      <c r="P5" s="168" t="s">
        <v>200</v>
      </c>
      <c r="Q5" s="168" t="s">
        <v>201</v>
      </c>
      <c r="R5" s="168" t="s">
        <v>203</v>
      </c>
      <c r="S5" s="676"/>
      <c r="T5" s="669"/>
      <c r="U5" s="650"/>
      <c r="V5" s="652"/>
      <c r="W5" s="658"/>
      <c r="X5" s="648"/>
      <c r="Y5" s="559"/>
      <c r="AA5" s="645"/>
      <c r="AB5" s="645"/>
      <c r="AC5" s="645"/>
    </row>
    <row r="6" spans="1:33" ht="15" x14ac:dyDescent="0.25">
      <c r="A6" s="98" t="s">
        <v>115</v>
      </c>
      <c r="B6" s="321" t="str">
        <f>'Main Menu'!M2</f>
        <v>-</v>
      </c>
      <c r="C6" s="326"/>
      <c r="D6" s="97"/>
      <c r="E6" s="97"/>
      <c r="F6" s="97"/>
      <c r="G6" s="97">
        <f>C6+D6+E6+F6</f>
        <v>0</v>
      </c>
      <c r="H6" s="327">
        <f>(C6*2500)+(D6*2000)+(E6*2000)+(F6*2000)</f>
        <v>0</v>
      </c>
      <c r="I6" s="323"/>
      <c r="J6" s="97"/>
      <c r="K6" s="105">
        <f>(I6*1500)+(J6*2000)</f>
        <v>0</v>
      </c>
      <c r="L6" s="326"/>
      <c r="M6" s="332"/>
      <c r="N6" s="323"/>
      <c r="O6" s="97"/>
      <c r="P6" s="97"/>
      <c r="Q6" s="97"/>
      <c r="R6" s="97"/>
      <c r="S6" s="99">
        <f t="shared" ref="S6:S10" si="0">(N6*2000)+O6+(P6*500)+(Q6*500)+R6</f>
        <v>0</v>
      </c>
      <c r="T6" s="354"/>
      <c r="U6" s="326">
        <f t="shared" ref="U6:U12" si="1">H6+K6+S6-T6+L6+M6</f>
        <v>0</v>
      </c>
      <c r="V6" s="97"/>
      <c r="W6" s="327">
        <f>U6-V6</f>
        <v>0</v>
      </c>
      <c r="X6" s="355"/>
      <c r="Y6" s="89"/>
      <c r="AA6" s="111">
        <f t="shared" ref="AA6:AA12" si="2">G6+N6</f>
        <v>0</v>
      </c>
    </row>
    <row r="7" spans="1:33" ht="15" x14ac:dyDescent="0.25">
      <c r="A7" s="98" t="s">
        <v>109</v>
      </c>
      <c r="B7" s="321" t="str">
        <f>'Main Menu'!M3</f>
        <v>-</v>
      </c>
      <c r="C7" s="326"/>
      <c r="D7" s="97"/>
      <c r="E7" s="97"/>
      <c r="F7" s="97"/>
      <c r="G7" s="97">
        <f t="shared" ref="G7:G12" si="3">C7+D7+E7+F7</f>
        <v>0</v>
      </c>
      <c r="H7" s="327">
        <f>(C7*2500)+(D7*2000)+(E7*2000)+(F7*2000)</f>
        <v>0</v>
      </c>
      <c r="I7" s="323"/>
      <c r="J7" s="97"/>
      <c r="K7" s="105">
        <f t="shared" ref="K7:K12" si="4">(I7*1500)+(J7*2000)</f>
        <v>0</v>
      </c>
      <c r="L7" s="326"/>
      <c r="M7" s="332"/>
      <c r="N7" s="323"/>
      <c r="O7" s="97"/>
      <c r="P7" s="97"/>
      <c r="Q7" s="97"/>
      <c r="R7" s="97"/>
      <c r="S7" s="99">
        <f t="shared" si="0"/>
        <v>0</v>
      </c>
      <c r="T7" s="354"/>
      <c r="U7" s="326">
        <f t="shared" si="1"/>
        <v>0</v>
      </c>
      <c r="V7" s="97"/>
      <c r="W7" s="327">
        <f t="shared" ref="W7:W9" si="5">U7-V7</f>
        <v>0</v>
      </c>
      <c r="X7" s="355"/>
      <c r="Y7" s="89"/>
      <c r="AA7" s="111">
        <f t="shared" si="2"/>
        <v>0</v>
      </c>
    </row>
    <row r="8" spans="1:33" ht="15" x14ac:dyDescent="0.25">
      <c r="A8" s="98" t="s">
        <v>110</v>
      </c>
      <c r="B8" s="321" t="str">
        <f>'Main Menu'!M4</f>
        <v>-</v>
      </c>
      <c r="C8" s="326"/>
      <c r="D8" s="97"/>
      <c r="E8" s="97"/>
      <c r="F8" s="97"/>
      <c r="G8" s="97">
        <f t="shared" si="3"/>
        <v>0</v>
      </c>
      <c r="H8" s="327">
        <f t="shared" ref="H8:H12" si="6">(C8*2500)+(D8*2000)+(E8*2000)+(F8*2000)</f>
        <v>0</v>
      </c>
      <c r="I8" s="323"/>
      <c r="J8" s="97"/>
      <c r="K8" s="105">
        <f t="shared" si="4"/>
        <v>0</v>
      </c>
      <c r="L8" s="326"/>
      <c r="M8" s="332"/>
      <c r="N8" s="323"/>
      <c r="O8" s="97"/>
      <c r="P8" s="97"/>
      <c r="Q8" s="97"/>
      <c r="R8" s="97"/>
      <c r="S8" s="99">
        <f t="shared" si="0"/>
        <v>0</v>
      </c>
      <c r="T8" s="354"/>
      <c r="U8" s="326">
        <f t="shared" si="1"/>
        <v>0</v>
      </c>
      <c r="V8" s="97"/>
      <c r="W8" s="327">
        <f t="shared" si="5"/>
        <v>0</v>
      </c>
      <c r="X8" s="355"/>
      <c r="Y8" s="89"/>
      <c r="AA8" s="111">
        <f t="shared" si="2"/>
        <v>0</v>
      </c>
    </row>
    <row r="9" spans="1:33" ht="15" x14ac:dyDescent="0.25">
      <c r="A9" s="98" t="s">
        <v>111</v>
      </c>
      <c r="B9" s="321" t="str">
        <f>'Main Menu'!M5</f>
        <v>-</v>
      </c>
      <c r="C9" s="326"/>
      <c r="D9" s="97"/>
      <c r="E9" s="112"/>
      <c r="F9" s="97"/>
      <c r="G9" s="97">
        <f t="shared" si="3"/>
        <v>0</v>
      </c>
      <c r="H9" s="327">
        <f t="shared" si="6"/>
        <v>0</v>
      </c>
      <c r="I9" s="323"/>
      <c r="J9" s="97"/>
      <c r="K9" s="105">
        <f t="shared" si="4"/>
        <v>0</v>
      </c>
      <c r="L9" s="326"/>
      <c r="M9" s="332"/>
      <c r="N9" s="323"/>
      <c r="O9" s="97"/>
      <c r="P9" s="97"/>
      <c r="Q9" s="97"/>
      <c r="R9" s="97"/>
      <c r="S9" s="99">
        <f t="shared" si="0"/>
        <v>0</v>
      </c>
      <c r="T9" s="354"/>
      <c r="U9" s="326">
        <f t="shared" si="1"/>
        <v>0</v>
      </c>
      <c r="V9" s="97"/>
      <c r="W9" s="327">
        <f t="shared" si="5"/>
        <v>0</v>
      </c>
      <c r="X9" s="355"/>
      <c r="Y9" s="89"/>
      <c r="AA9" s="111">
        <f t="shared" si="2"/>
        <v>0</v>
      </c>
      <c r="AF9" s="516"/>
      <c r="AG9" s="516"/>
    </row>
    <row r="10" spans="1:33" ht="15" x14ac:dyDescent="0.25">
      <c r="A10" s="98" t="s">
        <v>112</v>
      </c>
      <c r="B10" s="321" t="str">
        <f>'Main Menu'!M6</f>
        <v>-</v>
      </c>
      <c r="C10" s="326"/>
      <c r="D10" s="97"/>
      <c r="E10" s="97"/>
      <c r="F10" s="97"/>
      <c r="G10" s="97">
        <f t="shared" si="3"/>
        <v>0</v>
      </c>
      <c r="H10" s="327">
        <f t="shared" si="6"/>
        <v>0</v>
      </c>
      <c r="I10" s="323"/>
      <c r="J10" s="97"/>
      <c r="K10" s="105">
        <f t="shared" si="4"/>
        <v>0</v>
      </c>
      <c r="L10" s="326"/>
      <c r="M10" s="332"/>
      <c r="N10" s="323"/>
      <c r="O10" s="97"/>
      <c r="P10" s="97"/>
      <c r="Q10" s="97"/>
      <c r="R10" s="97"/>
      <c r="S10" s="99">
        <f t="shared" si="0"/>
        <v>0</v>
      </c>
      <c r="T10" s="354"/>
      <c r="U10" s="326">
        <f t="shared" si="1"/>
        <v>0</v>
      </c>
      <c r="V10" s="97"/>
      <c r="W10" s="327">
        <f>U10-V10</f>
        <v>0</v>
      </c>
      <c r="X10" s="355"/>
      <c r="Y10" s="89"/>
      <c r="AA10" s="111">
        <f t="shared" si="2"/>
        <v>0</v>
      </c>
      <c r="AF10" s="516"/>
      <c r="AG10" s="516"/>
    </row>
    <row r="11" spans="1:33" ht="15" x14ac:dyDescent="0.25">
      <c r="A11" s="98" t="s">
        <v>113</v>
      </c>
      <c r="B11" s="321">
        <f>'Main Menu'!M7</f>
        <v>43070</v>
      </c>
      <c r="C11" s="326"/>
      <c r="D11" s="97"/>
      <c r="E11" s="97"/>
      <c r="F11" s="97"/>
      <c r="G11" s="97">
        <f t="shared" si="3"/>
        <v>0</v>
      </c>
      <c r="H11" s="327">
        <f t="shared" si="6"/>
        <v>0</v>
      </c>
      <c r="I11" s="323"/>
      <c r="J11" s="97"/>
      <c r="K11" s="105">
        <f t="shared" si="4"/>
        <v>0</v>
      </c>
      <c r="L11" s="326"/>
      <c r="M11" s="332"/>
      <c r="N11" s="323"/>
      <c r="O11" s="97"/>
      <c r="P11" s="97"/>
      <c r="Q11" s="97"/>
      <c r="R11" s="97"/>
      <c r="S11" s="99">
        <f>(N11*2000)+O11+(P11*500)+(Q11*500)+R11</f>
        <v>0</v>
      </c>
      <c r="T11" s="354"/>
      <c r="U11" s="326">
        <f t="shared" si="1"/>
        <v>0</v>
      </c>
      <c r="V11" s="97"/>
      <c r="W11" s="327">
        <f>U11-V11</f>
        <v>0</v>
      </c>
      <c r="X11" s="355"/>
      <c r="Y11" s="89"/>
      <c r="AA11" s="111">
        <f t="shared" si="2"/>
        <v>0</v>
      </c>
      <c r="AF11" s="516"/>
    </row>
    <row r="12" spans="1:33" ht="15" x14ac:dyDescent="0.25">
      <c r="A12" s="98" t="s">
        <v>114</v>
      </c>
      <c r="B12" s="321">
        <f>'Main Menu'!M8</f>
        <v>43071</v>
      </c>
      <c r="C12" s="326">
        <v>8</v>
      </c>
      <c r="D12" s="97">
        <f>22*5</f>
        <v>110</v>
      </c>
      <c r="E12" s="97">
        <f>420000/2000</f>
        <v>210</v>
      </c>
      <c r="F12" s="97"/>
      <c r="G12" s="97">
        <f t="shared" si="3"/>
        <v>328</v>
      </c>
      <c r="H12" s="327">
        <f t="shared" si="6"/>
        <v>660000</v>
      </c>
      <c r="I12" s="323"/>
      <c r="J12" s="97"/>
      <c r="K12" s="105">
        <f t="shared" si="4"/>
        <v>0</v>
      </c>
      <c r="L12" s="326"/>
      <c r="M12" s="332">
        <v>65500</v>
      </c>
      <c r="N12" s="323"/>
      <c r="O12" s="97">
        <f>450000-12500</f>
        <v>437500</v>
      </c>
      <c r="P12" s="97"/>
      <c r="Q12" s="97">
        <v>25</v>
      </c>
      <c r="R12" s="97"/>
      <c r="S12" s="99">
        <f t="shared" ref="S12" si="7">(N12*2000)+O12+(P12*500)+(Q12*500)+R12</f>
        <v>450000</v>
      </c>
      <c r="T12" s="354"/>
      <c r="U12" s="326">
        <f t="shared" si="1"/>
        <v>1175500</v>
      </c>
      <c r="V12" s="97"/>
      <c r="W12" s="327">
        <f t="shared" ref="W12" si="8">U12-V12</f>
        <v>1175500</v>
      </c>
      <c r="X12" s="355">
        <v>1175500</v>
      </c>
      <c r="Y12" s="89"/>
      <c r="AA12" s="111">
        <f t="shared" si="2"/>
        <v>328</v>
      </c>
      <c r="AF12" s="516"/>
      <c r="AG12" s="516"/>
    </row>
    <row r="13" spans="1:33" s="110" customFormat="1" ht="15" x14ac:dyDescent="0.25">
      <c r="A13" s="653" t="s">
        <v>105</v>
      </c>
      <c r="B13" s="654"/>
      <c r="C13" s="328">
        <f t="shared" ref="C13:M13" si="9">SUM(C6:C12)</f>
        <v>8</v>
      </c>
      <c r="D13" s="169">
        <f t="shared" si="9"/>
        <v>110</v>
      </c>
      <c r="E13" s="169">
        <f t="shared" si="9"/>
        <v>210</v>
      </c>
      <c r="F13" s="169">
        <f t="shared" si="9"/>
        <v>0</v>
      </c>
      <c r="G13" s="169">
        <f t="shared" si="9"/>
        <v>328</v>
      </c>
      <c r="H13" s="329">
        <f t="shared" si="9"/>
        <v>660000</v>
      </c>
      <c r="I13" s="324">
        <f t="shared" si="9"/>
        <v>0</v>
      </c>
      <c r="J13" s="169">
        <f t="shared" si="9"/>
        <v>0</v>
      </c>
      <c r="K13" s="170">
        <f t="shared" si="9"/>
        <v>0</v>
      </c>
      <c r="L13" s="328">
        <f t="shared" si="9"/>
        <v>0</v>
      </c>
      <c r="M13" s="329">
        <f t="shared" si="9"/>
        <v>65500</v>
      </c>
      <c r="N13" s="324">
        <f t="shared" ref="N13:W13" si="10">SUM(N6:N12)</f>
        <v>0</v>
      </c>
      <c r="O13" s="169">
        <f t="shared" si="10"/>
        <v>437500</v>
      </c>
      <c r="P13" s="169">
        <f t="shared" si="10"/>
        <v>0</v>
      </c>
      <c r="Q13" s="169">
        <f t="shared" si="10"/>
        <v>25</v>
      </c>
      <c r="R13" s="169">
        <f t="shared" si="10"/>
        <v>0</v>
      </c>
      <c r="S13" s="169">
        <f>SUM(S6:S12)</f>
        <v>450000</v>
      </c>
      <c r="T13" s="170">
        <f t="shared" si="10"/>
        <v>0</v>
      </c>
      <c r="U13" s="328">
        <f t="shared" si="10"/>
        <v>1175500</v>
      </c>
      <c r="V13" s="169">
        <f t="shared" si="10"/>
        <v>0</v>
      </c>
      <c r="W13" s="329">
        <f t="shared" si="10"/>
        <v>1175500</v>
      </c>
      <c r="X13" s="356">
        <f>SUM(X6:X12)</f>
        <v>1175500</v>
      </c>
      <c r="Y13" s="560"/>
      <c r="AA13" s="473">
        <f>SUM(AA6:AA12)</f>
        <v>328</v>
      </c>
      <c r="AB13" s="473"/>
      <c r="AC13" s="475">
        <f>AA13-AB13</f>
        <v>328</v>
      </c>
      <c r="AF13" s="516"/>
    </row>
    <row r="14" spans="1:33" ht="15" x14ac:dyDescent="0.25">
      <c r="A14" s="98" t="s">
        <v>115</v>
      </c>
      <c r="B14" s="321">
        <f>'Main Menu'!M9</f>
        <v>43072</v>
      </c>
      <c r="C14" s="326">
        <v>22</v>
      </c>
      <c r="D14" s="97">
        <f>64*5</f>
        <v>320</v>
      </c>
      <c r="E14" s="97">
        <f>300000/2000</f>
        <v>150</v>
      </c>
      <c r="F14" s="97"/>
      <c r="G14" s="97">
        <f>C14+D14+E14+F14</f>
        <v>492</v>
      </c>
      <c r="H14" s="327">
        <f>(C14*2500)+(D14*2000)+(E14*2000)+(F14*2000)</f>
        <v>995000</v>
      </c>
      <c r="I14" s="323"/>
      <c r="J14" s="97"/>
      <c r="K14" s="105">
        <f>(I14*1500)+(J14*2000)</f>
        <v>0</v>
      </c>
      <c r="L14" s="326"/>
      <c r="M14" s="332">
        <v>3500</v>
      </c>
      <c r="N14" s="323"/>
      <c r="O14" s="97"/>
      <c r="P14" s="97"/>
      <c r="Q14" s="97"/>
      <c r="R14" s="97"/>
      <c r="S14" s="99">
        <f t="shared" ref="S14:S18" si="11">(N14*2000)+O14+(P14*500)+(Q14*500)+R14</f>
        <v>0</v>
      </c>
      <c r="T14" s="354">
        <f>19*2000</f>
        <v>38000</v>
      </c>
      <c r="U14" s="326">
        <f t="shared" ref="U14:U20" si="12">H14+K14+S14-T14+L14+M14</f>
        <v>960500</v>
      </c>
      <c r="V14" s="97"/>
      <c r="W14" s="327">
        <f>U14-V14</f>
        <v>960500</v>
      </c>
      <c r="X14" s="355">
        <v>960500</v>
      </c>
      <c r="Y14" s="89"/>
      <c r="AA14" s="111">
        <f t="shared" ref="AA14:AA20" si="13">G14+N14</f>
        <v>492</v>
      </c>
      <c r="AF14" s="516"/>
    </row>
    <row r="15" spans="1:33" ht="15" x14ac:dyDescent="0.25">
      <c r="A15" s="98" t="s">
        <v>109</v>
      </c>
      <c r="B15" s="321">
        <f>'Main Menu'!M10</f>
        <v>43073</v>
      </c>
      <c r="C15" s="326">
        <v>22</v>
      </c>
      <c r="D15" s="97">
        <f>47*5</f>
        <v>235</v>
      </c>
      <c r="E15" s="97">
        <v>500</v>
      </c>
      <c r="F15" s="97"/>
      <c r="G15" s="97">
        <f t="shared" ref="G15:G20" si="14">C15+D15+E15+F15</f>
        <v>757</v>
      </c>
      <c r="H15" s="327">
        <f>(C15*2500)+(D15*2000)+(E15*2000)+(F15*2000)</f>
        <v>1525000</v>
      </c>
      <c r="I15" s="323"/>
      <c r="J15" s="97"/>
      <c r="K15" s="105">
        <f t="shared" ref="K15:K20" si="15">(I15*1500)+(J15*2000)</f>
        <v>0</v>
      </c>
      <c r="L15" s="326"/>
      <c r="M15" s="332">
        <v>87000</v>
      </c>
      <c r="N15" s="323">
        <v>80</v>
      </c>
      <c r="O15" s="97">
        <v>320000</v>
      </c>
      <c r="P15" s="97"/>
      <c r="Q15" s="97"/>
      <c r="R15" s="97"/>
      <c r="S15" s="99">
        <f t="shared" si="11"/>
        <v>480000</v>
      </c>
      <c r="T15" s="354"/>
      <c r="U15" s="326">
        <f t="shared" si="12"/>
        <v>2092000</v>
      </c>
      <c r="V15" s="97"/>
      <c r="W15" s="327">
        <f t="shared" ref="W15:W17" si="16">U15-V15</f>
        <v>2092000</v>
      </c>
      <c r="X15" s="355">
        <v>2092000</v>
      </c>
      <c r="Y15" s="89">
        <v>214000</v>
      </c>
      <c r="AA15" s="111">
        <f t="shared" si="13"/>
        <v>837</v>
      </c>
      <c r="AF15" s="516"/>
    </row>
    <row r="16" spans="1:33" ht="15" x14ac:dyDescent="0.25">
      <c r="A16" s="98" t="s">
        <v>110</v>
      </c>
      <c r="B16" s="321">
        <f>'Main Menu'!M11</f>
        <v>43074</v>
      </c>
      <c r="C16" s="326">
        <f>9+35</f>
        <v>44</v>
      </c>
      <c r="D16" s="97">
        <f>58*5</f>
        <v>290</v>
      </c>
      <c r="E16" s="97">
        <f>1280000/2000</f>
        <v>640</v>
      </c>
      <c r="F16" s="97"/>
      <c r="G16" s="97">
        <f t="shared" si="14"/>
        <v>974</v>
      </c>
      <c r="H16" s="327">
        <f t="shared" ref="H16:H20" si="17">(C16*2500)+(D16*2000)+(E16*2000)+(F16*2000)</f>
        <v>1970000</v>
      </c>
      <c r="I16" s="323">
        <v>20</v>
      </c>
      <c r="J16" s="97"/>
      <c r="K16" s="105">
        <f t="shared" si="15"/>
        <v>30000</v>
      </c>
      <c r="L16" s="326"/>
      <c r="M16" s="332">
        <f>153000-30000-60000-32500+287500+38000</f>
        <v>356000</v>
      </c>
      <c r="N16" s="323">
        <v>35</v>
      </c>
      <c r="O16" s="97">
        <v>105000</v>
      </c>
      <c r="P16" s="97">
        <v>35</v>
      </c>
      <c r="Q16" s="97">
        <v>35</v>
      </c>
      <c r="R16" s="97"/>
      <c r="S16" s="99">
        <f t="shared" si="11"/>
        <v>210000</v>
      </c>
      <c r="T16" s="354"/>
      <c r="U16" s="326">
        <f t="shared" si="12"/>
        <v>2566000</v>
      </c>
      <c r="V16" s="97"/>
      <c r="W16" s="327">
        <f t="shared" si="16"/>
        <v>2566000</v>
      </c>
      <c r="X16" s="355">
        <v>2566000</v>
      </c>
      <c r="Y16" s="89">
        <v>56500</v>
      </c>
      <c r="AA16" s="111">
        <f t="shared" si="13"/>
        <v>1009</v>
      </c>
    </row>
    <row r="17" spans="1:29" ht="15" x14ac:dyDescent="0.25">
      <c r="A17" s="98" t="s">
        <v>111</v>
      </c>
      <c r="B17" s="321">
        <f>'Main Menu'!M12</f>
        <v>43075</v>
      </c>
      <c r="C17" s="326">
        <v>22</v>
      </c>
      <c r="D17" s="97">
        <v>225</v>
      </c>
      <c r="E17" s="112">
        <f>1016000/2000</f>
        <v>508</v>
      </c>
      <c r="F17" s="97"/>
      <c r="G17" s="97">
        <f t="shared" si="14"/>
        <v>755</v>
      </c>
      <c r="H17" s="327">
        <f t="shared" si="17"/>
        <v>1521000</v>
      </c>
      <c r="I17" s="323"/>
      <c r="J17" s="97"/>
      <c r="K17" s="105">
        <f t="shared" si="15"/>
        <v>0</v>
      </c>
      <c r="L17" s="326"/>
      <c r="M17" s="332">
        <f>12000+132500</f>
        <v>144500</v>
      </c>
      <c r="N17" s="323">
        <v>55</v>
      </c>
      <c r="O17" s="97">
        <f>265000-115000</f>
        <v>150000</v>
      </c>
      <c r="P17" s="97">
        <v>5</v>
      </c>
      <c r="Q17" s="97">
        <v>5</v>
      </c>
      <c r="R17" s="97"/>
      <c r="S17" s="99">
        <f t="shared" si="11"/>
        <v>265000</v>
      </c>
      <c r="T17" s="354"/>
      <c r="U17" s="326">
        <f t="shared" si="12"/>
        <v>1930500</v>
      </c>
      <c r="V17" s="97"/>
      <c r="W17" s="327">
        <f t="shared" si="16"/>
        <v>1930500</v>
      </c>
      <c r="X17" s="355">
        <v>1930500</v>
      </c>
      <c r="Y17" s="89"/>
      <c r="AA17" s="111">
        <f t="shared" si="13"/>
        <v>810</v>
      </c>
      <c r="AB17" s="103">
        <v>1500</v>
      </c>
    </row>
    <row r="18" spans="1:29" ht="15" x14ac:dyDescent="0.25">
      <c r="A18" s="98" t="s">
        <v>112</v>
      </c>
      <c r="B18" s="321">
        <f>'Main Menu'!M13</f>
        <v>43076</v>
      </c>
      <c r="C18" s="326">
        <v>41</v>
      </c>
      <c r="D18" s="97">
        <f>49*5</f>
        <v>245</v>
      </c>
      <c r="E18" s="97">
        <f>1318000/2000</f>
        <v>659</v>
      </c>
      <c r="F18" s="97"/>
      <c r="G18" s="97">
        <f t="shared" si="14"/>
        <v>945</v>
      </c>
      <c r="H18" s="327">
        <f t="shared" si="17"/>
        <v>1910500</v>
      </c>
      <c r="I18" s="323">
        <v>20</v>
      </c>
      <c r="J18" s="97"/>
      <c r="K18" s="105">
        <f t="shared" si="15"/>
        <v>30000</v>
      </c>
      <c r="L18" s="326"/>
      <c r="M18" s="332">
        <f>120000+336000</f>
        <v>456000</v>
      </c>
      <c r="N18" s="97">
        <f>35+22</f>
        <v>57</v>
      </c>
      <c r="O18" s="97">
        <f>1395500-184000</f>
        <v>1211500</v>
      </c>
      <c r="P18" s="97"/>
      <c r="Q18" s="97">
        <v>140</v>
      </c>
      <c r="R18" s="97"/>
      <c r="S18" s="99">
        <f t="shared" si="11"/>
        <v>1395500</v>
      </c>
      <c r="T18" s="354"/>
      <c r="U18" s="326">
        <f t="shared" si="12"/>
        <v>3792000</v>
      </c>
      <c r="V18" s="97"/>
      <c r="W18" s="327">
        <f>U18-V18</f>
        <v>3792000</v>
      </c>
      <c r="X18" s="355">
        <v>3792000</v>
      </c>
      <c r="Y18" s="89">
        <v>125000</v>
      </c>
      <c r="AA18" s="111">
        <f t="shared" si="13"/>
        <v>1002</v>
      </c>
      <c r="AB18" s="103">
        <v>1338</v>
      </c>
    </row>
    <row r="19" spans="1:29" ht="15" x14ac:dyDescent="0.25">
      <c r="A19" s="98" t="s">
        <v>113</v>
      </c>
      <c r="B19" s="321">
        <f>'Main Menu'!M14</f>
        <v>43077</v>
      </c>
      <c r="C19" s="326">
        <f>19+32</f>
        <v>51</v>
      </c>
      <c r="D19" s="97">
        <f>57*5</f>
        <v>285</v>
      </c>
      <c r="E19" s="97">
        <f>930/2</f>
        <v>465</v>
      </c>
      <c r="F19" s="97"/>
      <c r="G19" s="97">
        <f t="shared" si="14"/>
        <v>801</v>
      </c>
      <c r="H19" s="327">
        <f t="shared" si="17"/>
        <v>1627500</v>
      </c>
      <c r="I19" s="323"/>
      <c r="J19" s="97"/>
      <c r="K19" s="105">
        <f t="shared" si="15"/>
        <v>0</v>
      </c>
      <c r="L19" s="326">
        <v>31000</v>
      </c>
      <c r="M19" s="332">
        <f>49000+358000</f>
        <v>407000</v>
      </c>
      <c r="N19" s="323">
        <v>28</v>
      </c>
      <c r="O19" s="97">
        <f>224000-56000</f>
        <v>168000</v>
      </c>
      <c r="P19" s="97"/>
      <c r="Q19" s="97"/>
      <c r="R19" s="97"/>
      <c r="S19" s="99">
        <f>(N19*2000)+O19+(P19*500)+(Q19*500)+R19</f>
        <v>224000</v>
      </c>
      <c r="T19" s="354"/>
      <c r="U19" s="326">
        <f t="shared" si="12"/>
        <v>2289500</v>
      </c>
      <c r="V19" s="97"/>
      <c r="W19" s="327">
        <f>U19-V19</f>
        <v>2289500</v>
      </c>
      <c r="X19" s="355">
        <v>2289500</v>
      </c>
      <c r="Y19" s="89">
        <v>166000</v>
      </c>
      <c r="AA19" s="111">
        <f t="shared" si="13"/>
        <v>829</v>
      </c>
      <c r="AB19" s="103">
        <v>1368</v>
      </c>
    </row>
    <row r="20" spans="1:29" ht="15" x14ac:dyDescent="0.25">
      <c r="A20" s="98" t="s">
        <v>114</v>
      </c>
      <c r="B20" s="321">
        <f>'Main Menu'!M15</f>
        <v>43078</v>
      </c>
      <c r="C20" s="326">
        <v>18</v>
      </c>
      <c r="D20" s="97">
        <f>29*5</f>
        <v>145</v>
      </c>
      <c r="E20" s="97">
        <f>264000/2000</f>
        <v>132</v>
      </c>
      <c r="F20" s="97"/>
      <c r="G20" s="97">
        <f t="shared" si="14"/>
        <v>295</v>
      </c>
      <c r="H20" s="327">
        <f t="shared" si="17"/>
        <v>599000</v>
      </c>
      <c r="I20" s="323"/>
      <c r="J20" s="97">
        <v>15</v>
      </c>
      <c r="K20" s="105">
        <f t="shared" si="15"/>
        <v>30000</v>
      </c>
      <c r="L20" s="326"/>
      <c r="M20" s="332">
        <f>49000-12500-20000+14000</f>
        <v>30500</v>
      </c>
      <c r="N20" s="323">
        <v>7</v>
      </c>
      <c r="O20" s="97">
        <f>33500-17500</f>
        <v>16000</v>
      </c>
      <c r="P20" s="97">
        <v>7</v>
      </c>
      <c r="Q20" s="97"/>
      <c r="R20" s="97"/>
      <c r="S20" s="99">
        <f t="shared" ref="S20" si="18">(N20*2000)+O20+(P20*500)+(Q20*500)+R20</f>
        <v>33500</v>
      </c>
      <c r="T20" s="354"/>
      <c r="U20" s="326">
        <f t="shared" si="12"/>
        <v>693000</v>
      </c>
      <c r="V20" s="97"/>
      <c r="W20" s="327">
        <f t="shared" ref="W20" si="19">U20-V20</f>
        <v>693000</v>
      </c>
      <c r="X20" s="355">
        <v>693000</v>
      </c>
      <c r="Y20" s="89">
        <v>22500</v>
      </c>
      <c r="Z20" s="111"/>
      <c r="AA20" s="111">
        <f t="shared" si="13"/>
        <v>302</v>
      </c>
      <c r="AB20" s="103">
        <v>385</v>
      </c>
    </row>
    <row r="21" spans="1:29" s="110" customFormat="1" ht="15" x14ac:dyDescent="0.25">
      <c r="A21" s="653" t="s">
        <v>105</v>
      </c>
      <c r="B21" s="654"/>
      <c r="C21" s="328">
        <f t="shared" ref="C21:X21" si="20">SUM(C14:C20)</f>
        <v>220</v>
      </c>
      <c r="D21" s="169">
        <f t="shared" si="20"/>
        <v>1745</v>
      </c>
      <c r="E21" s="169">
        <f t="shared" si="20"/>
        <v>3054</v>
      </c>
      <c r="F21" s="169">
        <f t="shared" si="20"/>
        <v>0</v>
      </c>
      <c r="G21" s="169">
        <f t="shared" si="20"/>
        <v>5019</v>
      </c>
      <c r="H21" s="329">
        <f t="shared" si="20"/>
        <v>10148000</v>
      </c>
      <c r="I21" s="324">
        <f t="shared" si="20"/>
        <v>40</v>
      </c>
      <c r="J21" s="169">
        <f t="shared" si="20"/>
        <v>15</v>
      </c>
      <c r="K21" s="170">
        <f t="shared" si="20"/>
        <v>90000</v>
      </c>
      <c r="L21" s="328">
        <f t="shared" si="20"/>
        <v>31000</v>
      </c>
      <c r="M21" s="329">
        <f t="shared" si="20"/>
        <v>1484500</v>
      </c>
      <c r="N21" s="324">
        <f t="shared" si="20"/>
        <v>262</v>
      </c>
      <c r="O21" s="169">
        <f t="shared" si="20"/>
        <v>1970500</v>
      </c>
      <c r="P21" s="169">
        <f t="shared" si="20"/>
        <v>47</v>
      </c>
      <c r="Q21" s="169">
        <f t="shared" si="20"/>
        <v>180</v>
      </c>
      <c r="R21" s="169">
        <f t="shared" si="20"/>
        <v>0</v>
      </c>
      <c r="S21" s="169">
        <f t="shared" si="20"/>
        <v>2608000</v>
      </c>
      <c r="T21" s="170">
        <f t="shared" si="20"/>
        <v>38000</v>
      </c>
      <c r="U21" s="328">
        <f t="shared" si="20"/>
        <v>14323500</v>
      </c>
      <c r="V21" s="169">
        <f t="shared" si="20"/>
        <v>0</v>
      </c>
      <c r="W21" s="329">
        <f t="shared" si="20"/>
        <v>14323500</v>
      </c>
      <c r="X21" s="356">
        <f t="shared" si="20"/>
        <v>14323500</v>
      </c>
      <c r="Y21" s="560"/>
      <c r="AA21" s="473">
        <f>SUM(AA14:AA20)</f>
        <v>5281</v>
      </c>
      <c r="AB21" s="473"/>
      <c r="AC21" s="475">
        <f>AA21-AB21</f>
        <v>5281</v>
      </c>
    </row>
    <row r="22" spans="1:29" ht="15" x14ac:dyDescent="0.25">
      <c r="A22" s="98" t="s">
        <v>115</v>
      </c>
      <c r="B22" s="321">
        <f>'Main Menu'!M16</f>
        <v>43079</v>
      </c>
      <c r="C22" s="326">
        <v>27</v>
      </c>
      <c r="D22" s="97">
        <f>16*5</f>
        <v>80</v>
      </c>
      <c r="E22" s="97">
        <f>570/2</f>
        <v>285</v>
      </c>
      <c r="F22" s="97"/>
      <c r="G22" s="97">
        <f>C22+D22+E22+F22</f>
        <v>392</v>
      </c>
      <c r="H22" s="327">
        <f>(C22*2500)+(D22*2000)+(E22*2000)+(F22*2000)</f>
        <v>797500</v>
      </c>
      <c r="I22" s="323"/>
      <c r="J22" s="97"/>
      <c r="K22" s="105">
        <f>(I22*1500)+(J22*2000)</f>
        <v>0</v>
      </c>
      <c r="L22" s="326"/>
      <c r="M22" s="332">
        <v>2000</v>
      </c>
      <c r="N22" s="323"/>
      <c r="O22" s="97"/>
      <c r="P22" s="97"/>
      <c r="Q22" s="97"/>
      <c r="R22" s="97"/>
      <c r="S22" s="99">
        <f t="shared" ref="S22:S26" si="21">(N22*2000)+O22+(P22*500)+(Q22*500)+R22</f>
        <v>0</v>
      </c>
      <c r="T22" s="354"/>
      <c r="U22" s="326">
        <f t="shared" ref="U22:U28" si="22">H22+K22+S22-T22+L22+M22</f>
        <v>799500</v>
      </c>
      <c r="V22" s="97"/>
      <c r="W22" s="327">
        <f>U22-V22</f>
        <v>799500</v>
      </c>
      <c r="X22" s="355">
        <v>799500</v>
      </c>
      <c r="Y22" s="89">
        <v>3500</v>
      </c>
      <c r="AA22" s="111">
        <f t="shared" ref="AA22:AA28" si="23">G22+N22</f>
        <v>392</v>
      </c>
      <c r="AB22" s="103">
        <v>957</v>
      </c>
    </row>
    <row r="23" spans="1:29" ht="15" x14ac:dyDescent="0.25">
      <c r="A23" s="98" t="s">
        <v>109</v>
      </c>
      <c r="B23" s="321">
        <f>'Main Menu'!M17</f>
        <v>43080</v>
      </c>
      <c r="C23" s="326">
        <v>16</v>
      </c>
      <c r="D23" s="97">
        <f>33*5</f>
        <v>165</v>
      </c>
      <c r="E23" s="97">
        <f>1226/2</f>
        <v>613</v>
      </c>
      <c r="F23" s="97"/>
      <c r="G23" s="97">
        <f t="shared" ref="G23:G28" si="24">C23+D23+E23+F23</f>
        <v>794</v>
      </c>
      <c r="H23" s="327">
        <f>(C23*2500)+(D23*2000)+(E23*2000)+(F23*2000)</f>
        <v>1596000</v>
      </c>
      <c r="I23" s="323"/>
      <c r="J23" s="97">
        <v>100</v>
      </c>
      <c r="K23" s="105">
        <f t="shared" ref="K23:K28" si="25">(I23*1500)+(J23*2000)</f>
        <v>200000</v>
      </c>
      <c r="L23" s="326">
        <v>2500</v>
      </c>
      <c r="M23" s="332">
        <f>12000+295500</f>
        <v>307500</v>
      </c>
      <c r="N23" s="323"/>
      <c r="O23" s="97">
        <v>522500</v>
      </c>
      <c r="P23" s="97"/>
      <c r="Q23" s="97"/>
      <c r="R23" s="97"/>
      <c r="S23" s="99">
        <f t="shared" si="21"/>
        <v>522500</v>
      </c>
      <c r="T23" s="354"/>
      <c r="U23" s="326">
        <f t="shared" si="22"/>
        <v>2628500</v>
      </c>
      <c r="V23" s="97"/>
      <c r="W23" s="327">
        <f t="shared" ref="W23:W25" si="26">U23-V23</f>
        <v>2628500</v>
      </c>
      <c r="X23" s="355">
        <v>2628500</v>
      </c>
      <c r="Y23" s="89">
        <v>17000</v>
      </c>
      <c r="AA23" s="111">
        <f t="shared" si="23"/>
        <v>794</v>
      </c>
      <c r="AB23" s="103">
        <v>1343</v>
      </c>
    </row>
    <row r="24" spans="1:29" ht="15" x14ac:dyDescent="0.25">
      <c r="A24" s="98" t="s">
        <v>110</v>
      </c>
      <c r="B24" s="321">
        <f>'Main Menu'!M18</f>
        <v>43081</v>
      </c>
      <c r="C24" s="326">
        <v>42</v>
      </c>
      <c r="D24" s="97">
        <f>48*5</f>
        <v>240</v>
      </c>
      <c r="E24" s="97">
        <f>1228/2</f>
        <v>614</v>
      </c>
      <c r="F24" s="97"/>
      <c r="G24" s="97">
        <f t="shared" si="24"/>
        <v>896</v>
      </c>
      <c r="H24" s="327">
        <f t="shared" ref="H24:H28" si="27">(C24*2500)+(D24*2000)+(E24*2000)+(F24*2000)</f>
        <v>1813000</v>
      </c>
      <c r="I24" s="323">
        <v>30</v>
      </c>
      <c r="J24" s="97"/>
      <c r="K24" s="105">
        <f t="shared" si="25"/>
        <v>45000</v>
      </c>
      <c r="L24" s="326"/>
      <c r="M24" s="332">
        <f>73500-50000+308500+80000</f>
        <v>412000</v>
      </c>
      <c r="N24" s="323"/>
      <c r="O24" s="97"/>
      <c r="P24" s="97"/>
      <c r="Q24" s="97"/>
      <c r="R24" s="97"/>
      <c r="S24" s="99">
        <f t="shared" si="21"/>
        <v>0</v>
      </c>
      <c r="T24" s="354"/>
      <c r="U24" s="326">
        <f t="shared" si="22"/>
        <v>2270000</v>
      </c>
      <c r="V24" s="97"/>
      <c r="W24" s="327">
        <f t="shared" si="26"/>
        <v>2270000</v>
      </c>
      <c r="X24" s="355">
        <v>2270000</v>
      </c>
      <c r="Y24" s="89">
        <f>29000+27000</f>
        <v>56000</v>
      </c>
      <c r="AA24" s="111">
        <f t="shared" si="23"/>
        <v>896</v>
      </c>
      <c r="AB24" s="103">
        <v>1043</v>
      </c>
    </row>
    <row r="25" spans="1:29" ht="15" x14ac:dyDescent="0.25">
      <c r="A25" s="98" t="s">
        <v>111</v>
      </c>
      <c r="B25" s="321">
        <f>'Main Menu'!M19</f>
        <v>43082</v>
      </c>
      <c r="C25" s="326">
        <v>48</v>
      </c>
      <c r="D25" s="97">
        <f>32*5</f>
        <v>160</v>
      </c>
      <c r="E25" s="112">
        <f>2622/2</f>
        <v>1311</v>
      </c>
      <c r="F25" s="97"/>
      <c r="G25" s="97">
        <f t="shared" si="24"/>
        <v>1519</v>
      </c>
      <c r="H25" s="327">
        <f t="shared" si="27"/>
        <v>3062000</v>
      </c>
      <c r="I25" s="323"/>
      <c r="J25" s="97"/>
      <c r="K25" s="105">
        <f t="shared" si="25"/>
        <v>0</v>
      </c>
      <c r="L25" s="326"/>
      <c r="M25" s="332">
        <f>102500-15000-60000+294500</f>
        <v>322000</v>
      </c>
      <c r="N25" s="323"/>
      <c r="O25" s="97"/>
      <c r="P25" s="97"/>
      <c r="Q25" s="97"/>
      <c r="R25" s="97"/>
      <c r="S25" s="99">
        <f t="shared" si="21"/>
        <v>0</v>
      </c>
      <c r="T25" s="354"/>
      <c r="U25" s="326">
        <f t="shared" si="22"/>
        <v>3384000</v>
      </c>
      <c r="V25" s="97"/>
      <c r="W25" s="327">
        <f t="shared" si="26"/>
        <v>3384000</v>
      </c>
      <c r="X25" s="355">
        <v>3384000</v>
      </c>
      <c r="Y25" s="89">
        <v>15000</v>
      </c>
      <c r="AA25" s="111">
        <f t="shared" si="23"/>
        <v>1519</v>
      </c>
    </row>
    <row r="26" spans="1:29" ht="15" x14ac:dyDescent="0.25">
      <c r="A26" s="98" t="s">
        <v>112</v>
      </c>
      <c r="B26" s="321">
        <f>'Main Menu'!M20</f>
        <v>43083</v>
      </c>
      <c r="C26" s="326">
        <v>51</v>
      </c>
      <c r="D26" s="97">
        <f>27*5</f>
        <v>135</v>
      </c>
      <c r="E26" s="97">
        <f>1114/2</f>
        <v>557</v>
      </c>
      <c r="F26" s="97"/>
      <c r="G26" s="97">
        <f t="shared" si="24"/>
        <v>743</v>
      </c>
      <c r="H26" s="327">
        <f t="shared" si="27"/>
        <v>1511500</v>
      </c>
      <c r="I26" s="323"/>
      <c r="J26" s="97"/>
      <c r="K26" s="105">
        <f t="shared" si="25"/>
        <v>0</v>
      </c>
      <c r="L26" s="326"/>
      <c r="M26" s="332">
        <f>114000-80000+312500</f>
        <v>346500</v>
      </c>
      <c r="N26" s="323"/>
      <c r="O26" s="97">
        <v>525000</v>
      </c>
      <c r="P26" s="97"/>
      <c r="Q26" s="97"/>
      <c r="R26" s="97"/>
      <c r="S26" s="99">
        <f t="shared" si="21"/>
        <v>525000</v>
      </c>
      <c r="T26" s="354"/>
      <c r="U26" s="326">
        <f t="shared" si="22"/>
        <v>2383000</v>
      </c>
      <c r="V26" s="97"/>
      <c r="W26" s="327">
        <f>U26-V26</f>
        <v>2383000</v>
      </c>
      <c r="X26" s="355">
        <f>231500+2383000</f>
        <v>2614500</v>
      </c>
      <c r="Y26" s="89">
        <v>60500</v>
      </c>
      <c r="AA26" s="111">
        <f t="shared" si="23"/>
        <v>743</v>
      </c>
    </row>
    <row r="27" spans="1:29" ht="15" x14ac:dyDescent="0.25">
      <c r="A27" s="98" t="s">
        <v>113</v>
      </c>
      <c r="B27" s="321">
        <f>'Main Menu'!M21</f>
        <v>43084</v>
      </c>
      <c r="C27" s="326">
        <v>27</v>
      </c>
      <c r="D27" s="97">
        <f>46*5</f>
        <v>230</v>
      </c>
      <c r="E27" s="97">
        <f>760000/2000</f>
        <v>380</v>
      </c>
      <c r="F27" s="97"/>
      <c r="G27" s="97">
        <f t="shared" si="24"/>
        <v>637</v>
      </c>
      <c r="H27" s="327">
        <f t="shared" si="27"/>
        <v>1287500</v>
      </c>
      <c r="I27" s="323"/>
      <c r="J27" s="97"/>
      <c r="K27" s="105">
        <f t="shared" si="25"/>
        <v>0</v>
      </c>
      <c r="L27" s="326"/>
      <c r="M27" s="332">
        <v>327500</v>
      </c>
      <c r="N27" s="323">
        <v>325</v>
      </c>
      <c r="O27" s="97">
        <v>975000</v>
      </c>
      <c r="P27" s="97">
        <v>325</v>
      </c>
      <c r="Q27" s="97">
        <v>325</v>
      </c>
      <c r="R27" s="97"/>
      <c r="S27" s="99">
        <f>(N27*2000)+O27+(P27*500)+(Q27*500)+R27</f>
        <v>1950000</v>
      </c>
      <c r="T27" s="354"/>
      <c r="U27" s="326">
        <f t="shared" si="22"/>
        <v>3565000</v>
      </c>
      <c r="V27" s="97"/>
      <c r="W27" s="327">
        <f>U27-V27</f>
        <v>3565000</v>
      </c>
      <c r="X27" s="355">
        <f>1950000+1613000</f>
        <v>3563000</v>
      </c>
      <c r="Y27" s="89">
        <v>77500</v>
      </c>
      <c r="AA27" s="111">
        <f t="shared" si="23"/>
        <v>962</v>
      </c>
    </row>
    <row r="28" spans="1:29" ht="15" x14ac:dyDescent="0.25">
      <c r="A28" s="98" t="s">
        <v>114</v>
      </c>
      <c r="B28" s="321">
        <f>'Main Menu'!M22</f>
        <v>43085</v>
      </c>
      <c r="C28" s="326">
        <v>36</v>
      </c>
      <c r="D28" s="97">
        <f>34*5</f>
        <v>170</v>
      </c>
      <c r="E28" s="97">
        <v>100</v>
      </c>
      <c r="F28" s="97"/>
      <c r="G28" s="97">
        <f t="shared" si="24"/>
        <v>306</v>
      </c>
      <c r="H28" s="327">
        <f t="shared" si="27"/>
        <v>630000</v>
      </c>
      <c r="I28" s="323"/>
      <c r="J28" s="97"/>
      <c r="K28" s="105">
        <f t="shared" si="25"/>
        <v>0</v>
      </c>
      <c r="L28" s="326"/>
      <c r="M28" s="332">
        <v>69000</v>
      </c>
      <c r="N28" s="323">
        <v>4</v>
      </c>
      <c r="O28" s="97">
        <f>373000-12000</f>
        <v>361000</v>
      </c>
      <c r="P28" s="97">
        <v>4</v>
      </c>
      <c r="Q28" s="97">
        <v>4</v>
      </c>
      <c r="R28" s="97"/>
      <c r="S28" s="99">
        <f t="shared" ref="S28" si="28">(N28*2000)+O28+(P28*500)+(Q28*500)+R28</f>
        <v>373000</v>
      </c>
      <c r="T28" s="354"/>
      <c r="U28" s="326">
        <f t="shared" si="22"/>
        <v>1072000</v>
      </c>
      <c r="V28" s="97">
        <v>480000</v>
      </c>
      <c r="W28" s="327">
        <f t="shared" ref="W28" si="29">U28-V28</f>
        <v>592000</v>
      </c>
      <c r="X28" s="355">
        <v>589000</v>
      </c>
      <c r="Y28" s="89"/>
      <c r="AA28" s="111">
        <f t="shared" si="23"/>
        <v>310</v>
      </c>
    </row>
    <row r="29" spans="1:29" s="110" customFormat="1" ht="15" x14ac:dyDescent="0.25">
      <c r="A29" s="653" t="s">
        <v>105</v>
      </c>
      <c r="B29" s="654"/>
      <c r="C29" s="328">
        <f t="shared" ref="C29:W29" si="30">SUM(C22:C28)</f>
        <v>247</v>
      </c>
      <c r="D29" s="169">
        <f t="shared" si="30"/>
        <v>1180</v>
      </c>
      <c r="E29" s="169">
        <f t="shared" si="30"/>
        <v>3860</v>
      </c>
      <c r="F29" s="169">
        <f t="shared" si="30"/>
        <v>0</v>
      </c>
      <c r="G29" s="169">
        <f t="shared" si="30"/>
        <v>5287</v>
      </c>
      <c r="H29" s="329">
        <f t="shared" si="30"/>
        <v>10697500</v>
      </c>
      <c r="I29" s="324">
        <f t="shared" si="30"/>
        <v>30</v>
      </c>
      <c r="J29" s="169">
        <f t="shared" si="30"/>
        <v>100</v>
      </c>
      <c r="K29" s="170">
        <f t="shared" si="30"/>
        <v>245000</v>
      </c>
      <c r="L29" s="328">
        <f>SUM(L22:L28)</f>
        <v>2500</v>
      </c>
      <c r="M29" s="329">
        <f>SUM(M22:M28)</f>
        <v>1786500</v>
      </c>
      <c r="N29" s="324">
        <f t="shared" si="30"/>
        <v>329</v>
      </c>
      <c r="O29" s="169">
        <f t="shared" si="30"/>
        <v>2383500</v>
      </c>
      <c r="P29" s="169">
        <f t="shared" si="30"/>
        <v>329</v>
      </c>
      <c r="Q29" s="169">
        <f t="shared" si="30"/>
        <v>329</v>
      </c>
      <c r="R29" s="169">
        <f t="shared" si="30"/>
        <v>0</v>
      </c>
      <c r="S29" s="169">
        <f t="shared" si="30"/>
        <v>3370500</v>
      </c>
      <c r="T29" s="170">
        <f t="shared" si="30"/>
        <v>0</v>
      </c>
      <c r="U29" s="328">
        <f t="shared" si="30"/>
        <v>16102000</v>
      </c>
      <c r="V29" s="169">
        <f t="shared" si="30"/>
        <v>480000</v>
      </c>
      <c r="W29" s="329">
        <f t="shared" si="30"/>
        <v>15622000</v>
      </c>
      <c r="X29" s="356">
        <f>SUM(X22:X28)</f>
        <v>15848500</v>
      </c>
      <c r="Y29" s="560"/>
      <c r="AA29" s="473">
        <f>SUM(AA22:AA28)</f>
        <v>5616</v>
      </c>
      <c r="AB29" s="473"/>
      <c r="AC29" s="475">
        <f>AA29-AB29</f>
        <v>5616</v>
      </c>
    </row>
    <row r="30" spans="1:29" ht="15" x14ac:dyDescent="0.25">
      <c r="A30" s="98" t="s">
        <v>115</v>
      </c>
      <c r="B30" s="321">
        <f>'Main Menu'!M23</f>
        <v>43086</v>
      </c>
      <c r="C30" s="326">
        <v>28</v>
      </c>
      <c r="D30" s="97">
        <v>80</v>
      </c>
      <c r="E30" s="97">
        <f>370000/2000</f>
        <v>185</v>
      </c>
      <c r="F30" s="97"/>
      <c r="G30" s="97">
        <f>C30+D30+E30+F30</f>
        <v>293</v>
      </c>
      <c r="H30" s="327">
        <f>(C30*2500)+(D30*2000)+(E30*2000)+(F30*2000)</f>
        <v>600000</v>
      </c>
      <c r="I30" s="323"/>
      <c r="J30" s="97"/>
      <c r="K30" s="105">
        <f>(I30*1500)+(J30*2000)</f>
        <v>0</v>
      </c>
      <c r="L30" s="326"/>
      <c r="M30" s="332">
        <v>44500</v>
      </c>
      <c r="N30" s="323">
        <v>65</v>
      </c>
      <c r="O30" s="97">
        <f>397500-155000</f>
        <v>242500</v>
      </c>
      <c r="P30" s="97"/>
      <c r="Q30" s="97">
        <v>50</v>
      </c>
      <c r="R30" s="97"/>
      <c r="S30" s="99">
        <f t="shared" ref="S30:S34" si="31">(N30*2000)+O30+(P30*500)+(Q30*500)+R30</f>
        <v>397500</v>
      </c>
      <c r="T30" s="354"/>
      <c r="U30" s="326">
        <f t="shared" ref="U30:U36" si="32">H30+K30+S30-T30+L30+M30</f>
        <v>1042000</v>
      </c>
      <c r="V30" s="97">
        <v>231000</v>
      </c>
      <c r="W30" s="327">
        <f>U30-V30</f>
        <v>811000</v>
      </c>
      <c r="X30" s="355">
        <v>811000</v>
      </c>
      <c r="Y30" s="89"/>
      <c r="AA30" s="111">
        <f t="shared" ref="AA30:AA36" si="33">G30+N30</f>
        <v>358</v>
      </c>
    </row>
    <row r="31" spans="1:29" ht="15" x14ac:dyDescent="0.25">
      <c r="A31" s="98" t="s">
        <v>109</v>
      </c>
      <c r="B31" s="321">
        <f>'Main Menu'!M24</f>
        <v>43087</v>
      </c>
      <c r="C31" s="326">
        <f>14+22</f>
        <v>36</v>
      </c>
      <c r="D31" s="97">
        <f>41*5</f>
        <v>205</v>
      </c>
      <c r="E31" s="97">
        <v>720</v>
      </c>
      <c r="F31" s="97"/>
      <c r="G31" s="97">
        <f t="shared" ref="G31:G36" si="34">C31+D31+E31+F31</f>
        <v>961</v>
      </c>
      <c r="H31" s="327">
        <f>(C31*2500)+(D31*2000)+(E31*2000)+(F31*2000)</f>
        <v>1940000</v>
      </c>
      <c r="I31" s="323"/>
      <c r="J31" s="97"/>
      <c r="K31" s="105">
        <f t="shared" ref="K31:K36" si="35">(I31*1500)+(J31*2000)</f>
        <v>0</v>
      </c>
      <c r="L31" s="326">
        <v>5000</v>
      </c>
      <c r="M31" s="332">
        <f>100500+179500</f>
        <v>280000</v>
      </c>
      <c r="N31" s="323"/>
      <c r="O31" s="97"/>
      <c r="P31" s="97"/>
      <c r="Q31" s="97"/>
      <c r="R31" s="97"/>
      <c r="S31" s="99">
        <f t="shared" si="31"/>
        <v>0</v>
      </c>
      <c r="T31" s="354"/>
      <c r="U31" s="326">
        <f t="shared" si="32"/>
        <v>2225000</v>
      </c>
      <c r="V31" s="97"/>
      <c r="W31" s="327">
        <f t="shared" ref="W31:W33" si="36">U31-V31</f>
        <v>2225000</v>
      </c>
      <c r="X31" s="355">
        <f>1727000+405500+91000</f>
        <v>2223500</v>
      </c>
      <c r="Y31" s="89">
        <v>50000</v>
      </c>
      <c r="AA31" s="111">
        <f t="shared" si="33"/>
        <v>961</v>
      </c>
    </row>
    <row r="32" spans="1:29" ht="15" x14ac:dyDescent="0.25">
      <c r="A32" s="98" t="s">
        <v>110</v>
      </c>
      <c r="B32" s="321">
        <f>'Main Menu'!M25</f>
        <v>43088</v>
      </c>
      <c r="C32" s="326">
        <v>34</v>
      </c>
      <c r="D32" s="97">
        <f>52*5</f>
        <v>260</v>
      </c>
      <c r="E32" s="97">
        <f>1240000/2000</f>
        <v>620</v>
      </c>
      <c r="F32" s="97"/>
      <c r="G32" s="97">
        <f t="shared" si="34"/>
        <v>914</v>
      </c>
      <c r="H32" s="327">
        <f t="shared" ref="H32:H36" si="37">(C32*2500)+(D32*2000)+(E32*2000)+(F32*2000)</f>
        <v>1845000</v>
      </c>
      <c r="I32" s="323"/>
      <c r="J32" s="97"/>
      <c r="K32" s="105">
        <f t="shared" si="35"/>
        <v>0</v>
      </c>
      <c r="L32" s="326">
        <v>14000</v>
      </c>
      <c r="M32" s="332">
        <v>336500</v>
      </c>
      <c r="N32" s="323"/>
      <c r="O32" s="97"/>
      <c r="P32" s="97"/>
      <c r="Q32" s="97"/>
      <c r="R32" s="97"/>
      <c r="S32" s="99">
        <f t="shared" si="31"/>
        <v>0</v>
      </c>
      <c r="T32" s="354"/>
      <c r="U32" s="326">
        <f t="shared" si="32"/>
        <v>2195500</v>
      </c>
      <c r="V32" s="97"/>
      <c r="W32" s="327">
        <f t="shared" si="36"/>
        <v>2195500</v>
      </c>
      <c r="X32" s="355">
        <v>2195500</v>
      </c>
      <c r="Y32" s="89">
        <v>108500</v>
      </c>
      <c r="AA32" s="111">
        <f t="shared" si="33"/>
        <v>914</v>
      </c>
    </row>
    <row r="33" spans="1:29" ht="15" x14ac:dyDescent="0.25">
      <c r="A33" s="98" t="s">
        <v>111</v>
      </c>
      <c r="B33" s="321">
        <f>'Main Menu'!M26</f>
        <v>43089</v>
      </c>
      <c r="C33" s="326">
        <v>41</v>
      </c>
      <c r="D33" s="97">
        <f>37*5</f>
        <v>185</v>
      </c>
      <c r="E33" s="112">
        <f>(1230000/2000)+40</f>
        <v>655</v>
      </c>
      <c r="F33" s="97"/>
      <c r="G33" s="97">
        <f t="shared" si="34"/>
        <v>881</v>
      </c>
      <c r="H33" s="327">
        <f t="shared" si="37"/>
        <v>1782500</v>
      </c>
      <c r="I33" s="323"/>
      <c r="J33" s="97"/>
      <c r="K33" s="105">
        <f t="shared" si="35"/>
        <v>0</v>
      </c>
      <c r="L33" s="326"/>
      <c r="M33" s="332">
        <f>155500-55000-80000+281000+35000</f>
        <v>336500</v>
      </c>
      <c r="N33" s="323">
        <v>40</v>
      </c>
      <c r="O33" s="97">
        <v>90000</v>
      </c>
      <c r="P33" s="97">
        <v>30</v>
      </c>
      <c r="Q33" s="97">
        <v>30</v>
      </c>
      <c r="R33" s="97"/>
      <c r="S33" s="99">
        <f t="shared" si="31"/>
        <v>200000</v>
      </c>
      <c r="T33" s="354"/>
      <c r="U33" s="326">
        <f t="shared" si="32"/>
        <v>2319000</v>
      </c>
      <c r="V33" s="97"/>
      <c r="W33" s="327">
        <f t="shared" si="36"/>
        <v>2319000</v>
      </c>
      <c r="X33" s="355">
        <f>2075500+45000+200000</f>
        <v>2320500</v>
      </c>
      <c r="Y33" s="89">
        <v>94500</v>
      </c>
      <c r="AA33" s="111">
        <f t="shared" si="33"/>
        <v>921</v>
      </c>
    </row>
    <row r="34" spans="1:29" ht="15" x14ac:dyDescent="0.25">
      <c r="A34" s="98" t="s">
        <v>112</v>
      </c>
      <c r="B34" s="321">
        <f>'Main Menu'!M27</f>
        <v>43090</v>
      </c>
      <c r="C34" s="326">
        <v>36</v>
      </c>
      <c r="D34" s="97">
        <f>33*5</f>
        <v>165</v>
      </c>
      <c r="E34" s="97">
        <f>1286000/2000</f>
        <v>643</v>
      </c>
      <c r="F34" s="97"/>
      <c r="G34" s="97">
        <f t="shared" si="34"/>
        <v>844</v>
      </c>
      <c r="H34" s="327">
        <f t="shared" si="37"/>
        <v>1706000</v>
      </c>
      <c r="I34" s="323">
        <v>35</v>
      </c>
      <c r="J34" s="97"/>
      <c r="K34" s="105">
        <f t="shared" si="35"/>
        <v>52500</v>
      </c>
      <c r="L34" s="326"/>
      <c r="M34" s="332">
        <f>180500+142500</f>
        <v>323000</v>
      </c>
      <c r="N34" s="323">
        <v>160</v>
      </c>
      <c r="O34" s="97">
        <f>892500-412500</f>
        <v>480000</v>
      </c>
      <c r="P34" s="97">
        <v>25</v>
      </c>
      <c r="Q34" s="97">
        <v>160</v>
      </c>
      <c r="R34" s="97"/>
      <c r="S34" s="99">
        <f t="shared" si="31"/>
        <v>892500</v>
      </c>
      <c r="T34" s="354"/>
      <c r="U34" s="326">
        <f t="shared" si="32"/>
        <v>2974000</v>
      </c>
      <c r="V34" s="97"/>
      <c r="W34" s="327">
        <f>U34-V34</f>
        <v>2974000</v>
      </c>
      <c r="X34" s="355">
        <f>2659000+307500</f>
        <v>2966500</v>
      </c>
      <c r="Y34" s="89">
        <f>21000+50000</f>
        <v>71000</v>
      </c>
      <c r="AA34" s="111">
        <f t="shared" si="33"/>
        <v>1004</v>
      </c>
    </row>
    <row r="35" spans="1:29" ht="15" x14ac:dyDescent="0.25">
      <c r="A35" s="98" t="s">
        <v>113</v>
      </c>
      <c r="B35" s="321">
        <f>'Main Menu'!M28</f>
        <v>43091</v>
      </c>
      <c r="C35" s="326">
        <v>30</v>
      </c>
      <c r="D35" s="97">
        <f>46*5</f>
        <v>230</v>
      </c>
      <c r="E35" s="97">
        <f>1078000/2000</f>
        <v>539</v>
      </c>
      <c r="F35" s="97"/>
      <c r="G35" s="97">
        <f t="shared" si="34"/>
        <v>799</v>
      </c>
      <c r="H35" s="327">
        <f t="shared" si="37"/>
        <v>1613000</v>
      </c>
      <c r="I35" s="323">
        <v>30</v>
      </c>
      <c r="J35" s="97"/>
      <c r="K35" s="105">
        <f t="shared" si="35"/>
        <v>45000</v>
      </c>
      <c r="L35" s="326"/>
      <c r="M35" s="332">
        <v>329000</v>
      </c>
      <c r="N35" s="323">
        <v>5</v>
      </c>
      <c r="O35" s="97">
        <v>33000</v>
      </c>
      <c r="P35" s="97"/>
      <c r="Q35" s="97"/>
      <c r="R35" s="97"/>
      <c r="S35" s="99">
        <f>(N35*2000)+O35+(P35*500)+(Q35*500)+R35</f>
        <v>43000</v>
      </c>
      <c r="T35" s="354"/>
      <c r="U35" s="326">
        <f t="shared" si="32"/>
        <v>2030000</v>
      </c>
      <c r="V35" s="97"/>
      <c r="W35" s="327">
        <f>U35-V35</f>
        <v>2030000</v>
      </c>
      <c r="X35" s="355">
        <v>2053000</v>
      </c>
      <c r="Y35" s="89">
        <v>400000</v>
      </c>
      <c r="AA35" s="111">
        <f t="shared" si="33"/>
        <v>804</v>
      </c>
    </row>
    <row r="36" spans="1:29" ht="15" x14ac:dyDescent="0.25">
      <c r="A36" s="98" t="s">
        <v>114</v>
      </c>
      <c r="B36" s="321">
        <f>'Main Menu'!M29</f>
        <v>43092</v>
      </c>
      <c r="C36" s="326"/>
      <c r="D36" s="97"/>
      <c r="E36" s="97"/>
      <c r="F36" s="97"/>
      <c r="G36" s="97">
        <f t="shared" si="34"/>
        <v>0</v>
      </c>
      <c r="H36" s="327">
        <f t="shared" si="37"/>
        <v>0</v>
      </c>
      <c r="I36" s="323"/>
      <c r="J36" s="97"/>
      <c r="K36" s="105">
        <f t="shared" si="35"/>
        <v>0</v>
      </c>
      <c r="L36" s="326"/>
      <c r="M36" s="332"/>
      <c r="N36" s="323">
        <v>272</v>
      </c>
      <c r="O36" s="97">
        <f>1640000-816000</f>
        <v>824000</v>
      </c>
      <c r="P36" s="97">
        <v>272</v>
      </c>
      <c r="Q36" s="97">
        <v>272</v>
      </c>
      <c r="R36" s="97"/>
      <c r="S36" s="99">
        <f t="shared" ref="S36" si="38">(N36*2000)+O36+(P36*500)+(Q36*500)+R36</f>
        <v>1640000</v>
      </c>
      <c r="T36" s="354"/>
      <c r="U36" s="326">
        <f t="shared" si="32"/>
        <v>1640000</v>
      </c>
      <c r="V36" s="97"/>
      <c r="W36" s="327">
        <f t="shared" ref="W36" si="39">U36-V36</f>
        <v>1640000</v>
      </c>
      <c r="X36" s="355">
        <v>1640000</v>
      </c>
      <c r="Y36" s="89"/>
      <c r="Z36" s="575"/>
      <c r="AA36" s="111">
        <f t="shared" si="33"/>
        <v>272</v>
      </c>
    </row>
    <row r="37" spans="1:29" s="110" customFormat="1" ht="15" x14ac:dyDescent="0.25">
      <c r="A37" s="653" t="s">
        <v>105</v>
      </c>
      <c r="B37" s="654"/>
      <c r="C37" s="328">
        <f t="shared" ref="C37:X37" si="40">SUM(C30:C36)</f>
        <v>205</v>
      </c>
      <c r="D37" s="169">
        <f t="shared" si="40"/>
        <v>1125</v>
      </c>
      <c r="E37" s="169">
        <f t="shared" si="40"/>
        <v>3362</v>
      </c>
      <c r="F37" s="169">
        <f t="shared" si="40"/>
        <v>0</v>
      </c>
      <c r="G37" s="169">
        <f t="shared" si="40"/>
        <v>4692</v>
      </c>
      <c r="H37" s="329">
        <f t="shared" si="40"/>
        <v>9486500</v>
      </c>
      <c r="I37" s="324">
        <f t="shared" si="40"/>
        <v>65</v>
      </c>
      <c r="J37" s="169">
        <f t="shared" si="40"/>
        <v>0</v>
      </c>
      <c r="K37" s="170">
        <f t="shared" si="40"/>
        <v>97500</v>
      </c>
      <c r="L37" s="328">
        <f>SUM(L30:L36)</f>
        <v>19000</v>
      </c>
      <c r="M37" s="329">
        <f>SUM(M30:M36)</f>
        <v>1649500</v>
      </c>
      <c r="N37" s="324">
        <f t="shared" si="40"/>
        <v>542</v>
      </c>
      <c r="O37" s="169">
        <f t="shared" si="40"/>
        <v>1669500</v>
      </c>
      <c r="P37" s="169">
        <f t="shared" si="40"/>
        <v>327</v>
      </c>
      <c r="Q37" s="169">
        <f t="shared" si="40"/>
        <v>512</v>
      </c>
      <c r="R37" s="169">
        <f t="shared" si="40"/>
        <v>0</v>
      </c>
      <c r="S37" s="169">
        <f t="shared" si="40"/>
        <v>3173000</v>
      </c>
      <c r="T37" s="170">
        <f t="shared" si="40"/>
        <v>0</v>
      </c>
      <c r="U37" s="328">
        <f t="shared" si="40"/>
        <v>14425500</v>
      </c>
      <c r="V37" s="169">
        <f t="shared" si="40"/>
        <v>231000</v>
      </c>
      <c r="W37" s="329">
        <f t="shared" si="40"/>
        <v>14194500</v>
      </c>
      <c r="X37" s="356">
        <f t="shared" si="40"/>
        <v>14210000</v>
      </c>
      <c r="Y37" s="560"/>
      <c r="AA37" s="473">
        <f>SUM(AA30:AA36)</f>
        <v>5234</v>
      </c>
      <c r="AB37" s="473"/>
      <c r="AC37" s="475">
        <f>AA37-AB37</f>
        <v>5234</v>
      </c>
    </row>
    <row r="38" spans="1:29" ht="15" x14ac:dyDescent="0.25">
      <c r="A38" s="98" t="s">
        <v>115</v>
      </c>
      <c r="B38" s="321">
        <f>'Main Menu'!M30</f>
        <v>43093</v>
      </c>
      <c r="C38" s="326"/>
      <c r="D38" s="97"/>
      <c r="E38" s="97"/>
      <c r="F38" s="97"/>
      <c r="G38" s="97">
        <f>C38+D38+E38+F38</f>
        <v>0</v>
      </c>
      <c r="H38" s="327">
        <f>(C38*2500)+(D38*2000)+(E38*2000)+(F38*2000)</f>
        <v>0</v>
      </c>
      <c r="I38" s="323"/>
      <c r="J38" s="97"/>
      <c r="K38" s="105">
        <f>(I38*1500)+(J38*2000)</f>
        <v>0</v>
      </c>
      <c r="L38" s="326"/>
      <c r="M38" s="332"/>
      <c r="N38" s="323"/>
      <c r="O38" s="97"/>
      <c r="P38" s="97"/>
      <c r="Q38" s="97"/>
      <c r="R38" s="97"/>
      <c r="S38" s="99">
        <f t="shared" ref="S38" si="41">(N38*2000)+O38+(P38*500)+(Q38*500)+R38</f>
        <v>0</v>
      </c>
      <c r="T38" s="354"/>
      <c r="U38" s="326">
        <f t="shared" ref="U38:U44" si="42">H38+K38+S38-T38+L38+M38</f>
        <v>0</v>
      </c>
      <c r="V38" s="97"/>
      <c r="W38" s="327">
        <f>U38-V38</f>
        <v>0</v>
      </c>
      <c r="X38" s="355"/>
      <c r="Y38" s="89"/>
      <c r="AA38" s="111">
        <f t="shared" ref="AA38:AA44" si="43">G38+N38</f>
        <v>0</v>
      </c>
    </row>
    <row r="39" spans="1:29" ht="15" x14ac:dyDescent="0.25">
      <c r="A39" s="98" t="s">
        <v>109</v>
      </c>
      <c r="B39" s="321">
        <f>'Main Menu'!M31</f>
        <v>43094</v>
      </c>
      <c r="C39" s="326"/>
      <c r="D39" s="97"/>
      <c r="E39" s="97"/>
      <c r="F39" s="97"/>
      <c r="G39" s="97">
        <f>C39+D39+E39+F39</f>
        <v>0</v>
      </c>
      <c r="H39" s="327">
        <f>(C39*2500)+(D39*2000)+(E39*2000)+(F39*2000)</f>
        <v>0</v>
      </c>
      <c r="I39" s="323"/>
      <c r="J39" s="97"/>
      <c r="K39" s="105">
        <f>(I39*1500)+(J39*2000)</f>
        <v>0</v>
      </c>
      <c r="L39" s="326"/>
      <c r="M39" s="332"/>
      <c r="N39" s="323"/>
      <c r="O39" s="97"/>
      <c r="P39" s="97"/>
      <c r="Q39" s="97"/>
      <c r="R39" s="97"/>
      <c r="S39" s="99">
        <f t="shared" ref="S39" si="44">(N39*2000)+O39+(P39*500)+(Q39*500)+R39</f>
        <v>0</v>
      </c>
      <c r="T39" s="354"/>
      <c r="U39" s="326">
        <f t="shared" ref="U39" si="45">H39+K39+S39-T39+L39+M39</f>
        <v>0</v>
      </c>
      <c r="V39" s="97"/>
      <c r="W39" s="327">
        <f>U39-V39</f>
        <v>0</v>
      </c>
      <c r="X39" s="355"/>
      <c r="Y39" s="89"/>
      <c r="AA39" s="111">
        <f t="shared" si="43"/>
        <v>0</v>
      </c>
    </row>
    <row r="40" spans="1:29" ht="15" x14ac:dyDescent="0.25">
      <c r="A40" s="98" t="s">
        <v>110</v>
      </c>
      <c r="B40" s="321">
        <f>'Main Menu'!M32</f>
        <v>43095</v>
      </c>
      <c r="C40" s="326">
        <v>34</v>
      </c>
      <c r="D40" s="97">
        <f>32*5</f>
        <v>160</v>
      </c>
      <c r="E40" s="97"/>
      <c r="F40" s="97"/>
      <c r="G40" s="97">
        <f t="shared" ref="G40:G42" si="46">C40+D40+E40+F40</f>
        <v>194</v>
      </c>
      <c r="H40" s="327">
        <f>(C40*2500)+(D40*2000)+(E40*2000)+(F40*2000)</f>
        <v>405000</v>
      </c>
      <c r="I40" s="323"/>
      <c r="J40" s="97"/>
      <c r="K40" s="105">
        <f t="shared" ref="K40:K42" si="47">(I40*1500)+(J40*2000)</f>
        <v>0</v>
      </c>
      <c r="L40" s="326"/>
      <c r="M40" s="332">
        <f>220000-160000-25000+187500</f>
        <v>222500</v>
      </c>
      <c r="N40" s="323"/>
      <c r="O40" s="97"/>
      <c r="P40" s="97"/>
      <c r="Q40" s="97"/>
      <c r="R40" s="97"/>
      <c r="S40" s="99">
        <f t="shared" ref="S40:S42" si="48">(N40*2000)+O40+(P40*500)+(Q40*500)+R40</f>
        <v>0</v>
      </c>
      <c r="T40" s="354"/>
      <c r="U40" s="326">
        <f t="shared" ref="U40:U42" si="49">H40+K40+S40-T40+L40+M40</f>
        <v>627500</v>
      </c>
      <c r="V40" s="97"/>
      <c r="W40" s="327">
        <f t="shared" ref="W40:W42" si="50">U40-V40</f>
        <v>627500</v>
      </c>
      <c r="X40" s="355">
        <f>W40</f>
        <v>627500</v>
      </c>
      <c r="Y40" s="89"/>
      <c r="AA40" s="111">
        <f t="shared" si="43"/>
        <v>194</v>
      </c>
    </row>
    <row r="41" spans="1:29" ht="15" x14ac:dyDescent="0.25">
      <c r="A41" s="98" t="s">
        <v>111</v>
      </c>
      <c r="B41" s="321">
        <f>'Main Menu'!M33</f>
        <v>43096</v>
      </c>
      <c r="C41" s="326">
        <v>21</v>
      </c>
      <c r="D41" s="97">
        <f>37*5</f>
        <v>185</v>
      </c>
      <c r="E41" s="97"/>
      <c r="F41" s="97"/>
      <c r="G41" s="97">
        <f t="shared" si="46"/>
        <v>206</v>
      </c>
      <c r="H41" s="327">
        <f t="shared" ref="H41:H42" si="51">(C41*2500)+(D41*2000)+(E41*2000)+(F41*2000)</f>
        <v>422500</v>
      </c>
      <c r="I41" s="323"/>
      <c r="J41" s="97"/>
      <c r="K41" s="105">
        <f t="shared" si="47"/>
        <v>0</v>
      </c>
      <c r="L41" s="326"/>
      <c r="M41" s="332">
        <f>6000+213500</f>
        <v>219500</v>
      </c>
      <c r="N41" s="323"/>
      <c r="O41" s="97">
        <v>600000</v>
      </c>
      <c r="P41" s="97"/>
      <c r="Q41" s="97"/>
      <c r="R41" s="97"/>
      <c r="S41" s="99">
        <f t="shared" si="48"/>
        <v>600000</v>
      </c>
      <c r="T41" s="354"/>
      <c r="U41" s="326">
        <f t="shared" si="49"/>
        <v>1242000</v>
      </c>
      <c r="V41" s="97"/>
      <c r="W41" s="327">
        <f t="shared" si="50"/>
        <v>1242000</v>
      </c>
      <c r="X41" s="355">
        <f>W41</f>
        <v>1242000</v>
      </c>
      <c r="Y41" s="89"/>
      <c r="AA41" s="111">
        <f t="shared" si="43"/>
        <v>206</v>
      </c>
    </row>
    <row r="42" spans="1:29" ht="15" x14ac:dyDescent="0.25">
      <c r="A42" s="98" t="s">
        <v>112</v>
      </c>
      <c r="B42" s="321">
        <f>'Main Menu'!M34</f>
        <v>43097</v>
      </c>
      <c r="C42" s="326">
        <v>34</v>
      </c>
      <c r="D42" s="97">
        <f>35*5</f>
        <v>175</v>
      </c>
      <c r="E42" s="112"/>
      <c r="F42" s="97"/>
      <c r="G42" s="97">
        <f t="shared" si="46"/>
        <v>209</v>
      </c>
      <c r="H42" s="327">
        <f t="shared" si="51"/>
        <v>435000</v>
      </c>
      <c r="I42" s="323"/>
      <c r="J42" s="97"/>
      <c r="K42" s="105">
        <f t="shared" si="47"/>
        <v>0</v>
      </c>
      <c r="L42" s="326">
        <v>13000</v>
      </c>
      <c r="M42" s="332">
        <f>6000+262500+187000</f>
        <v>455500</v>
      </c>
      <c r="N42" s="323">
        <v>55</v>
      </c>
      <c r="O42" s="97">
        <f>252500-130000</f>
        <v>122500</v>
      </c>
      <c r="P42" s="97">
        <v>20</v>
      </c>
      <c r="Q42" s="97">
        <v>20</v>
      </c>
      <c r="R42" s="97"/>
      <c r="S42" s="99">
        <f t="shared" si="48"/>
        <v>252500</v>
      </c>
      <c r="T42" s="354"/>
      <c r="U42" s="326">
        <f t="shared" si="49"/>
        <v>1156000</v>
      </c>
      <c r="V42" s="97"/>
      <c r="W42" s="327">
        <f t="shared" si="50"/>
        <v>1156000</v>
      </c>
      <c r="X42" s="355">
        <f>W42</f>
        <v>1156000</v>
      </c>
      <c r="Y42" s="89"/>
      <c r="AA42" s="111">
        <f>G42+N42</f>
        <v>264</v>
      </c>
    </row>
    <row r="43" spans="1:29" ht="15" x14ac:dyDescent="0.25">
      <c r="A43" s="98" t="s">
        <v>113</v>
      </c>
      <c r="B43" s="321">
        <f>'Main Menu'!M35</f>
        <v>43098</v>
      </c>
      <c r="C43" s="326">
        <v>30</v>
      </c>
      <c r="D43" s="97">
        <v>65</v>
      </c>
      <c r="E43" s="97"/>
      <c r="F43" s="97"/>
      <c r="G43" s="97">
        <f t="shared" ref="G43:G44" si="52">C43+D43+E43+F43</f>
        <v>95</v>
      </c>
      <c r="H43" s="327">
        <f t="shared" ref="H43:H44" si="53">(C43*2500)+(D43*2000)+(E43*2000)+(F43*2000)</f>
        <v>205000</v>
      </c>
      <c r="I43" s="323"/>
      <c r="J43" s="97"/>
      <c r="K43" s="105">
        <f t="shared" ref="K43:K44" si="54">(I43*1500)+(J43*2000)</f>
        <v>0</v>
      </c>
      <c r="L43" s="326"/>
      <c r="M43" s="332">
        <v>166500</v>
      </c>
      <c r="N43" s="323"/>
      <c r="O43" s="97"/>
      <c r="P43" s="97"/>
      <c r="Q43" s="97"/>
      <c r="R43" s="97"/>
      <c r="S43" s="99">
        <f>(N43*2000)+O43+(P43*500)+(Q43*500)+R43</f>
        <v>0</v>
      </c>
      <c r="T43" s="354"/>
      <c r="U43" s="326">
        <f t="shared" si="42"/>
        <v>371500</v>
      </c>
      <c r="V43" s="97"/>
      <c r="W43" s="327">
        <f>U43-V43</f>
        <v>371500</v>
      </c>
      <c r="X43" s="355">
        <f>W43</f>
        <v>371500</v>
      </c>
      <c r="Y43" s="89">
        <v>190000</v>
      </c>
      <c r="AA43" s="111">
        <f t="shared" si="43"/>
        <v>95</v>
      </c>
    </row>
    <row r="44" spans="1:29" ht="15" x14ac:dyDescent="0.25">
      <c r="A44" s="98" t="s">
        <v>114</v>
      </c>
      <c r="B44" s="321">
        <f>'Main Menu'!M36</f>
        <v>43099</v>
      </c>
      <c r="C44" s="326"/>
      <c r="D44" s="97"/>
      <c r="E44" s="97"/>
      <c r="F44" s="97"/>
      <c r="G44" s="97">
        <f t="shared" si="52"/>
        <v>0</v>
      </c>
      <c r="H44" s="327">
        <f t="shared" si="53"/>
        <v>0</v>
      </c>
      <c r="I44" s="323"/>
      <c r="J44" s="97"/>
      <c r="K44" s="105">
        <f t="shared" si="54"/>
        <v>0</v>
      </c>
      <c r="L44" s="326"/>
      <c r="M44" s="332"/>
      <c r="N44" s="323"/>
      <c r="O44" s="97"/>
      <c r="P44" s="97"/>
      <c r="Q44" s="97"/>
      <c r="R44" s="97"/>
      <c r="S44" s="99">
        <f t="shared" ref="S44" si="55">(N44*2000)+O44+(P44*500)+(Q44*500)+R44</f>
        <v>0</v>
      </c>
      <c r="T44" s="354"/>
      <c r="U44" s="326">
        <f t="shared" si="42"/>
        <v>0</v>
      </c>
      <c r="V44" s="97"/>
      <c r="W44" s="327">
        <f t="shared" ref="W44" si="56">U44-V44</f>
        <v>0</v>
      </c>
      <c r="X44" s="355"/>
      <c r="Y44" s="89"/>
      <c r="AA44" s="111">
        <f t="shared" si="43"/>
        <v>0</v>
      </c>
    </row>
    <row r="45" spans="1:29" ht="15" x14ac:dyDescent="0.25">
      <c r="A45" s="653" t="s">
        <v>105</v>
      </c>
      <c r="B45" s="654"/>
      <c r="C45" s="328">
        <f t="shared" ref="C45:K45" si="57">SUM(C38:C44)</f>
        <v>119</v>
      </c>
      <c r="D45" s="169">
        <f t="shared" si="57"/>
        <v>585</v>
      </c>
      <c r="E45" s="169">
        <f t="shared" si="57"/>
        <v>0</v>
      </c>
      <c r="F45" s="169">
        <f t="shared" si="57"/>
        <v>0</v>
      </c>
      <c r="G45" s="169">
        <f t="shared" si="57"/>
        <v>704</v>
      </c>
      <c r="H45" s="329">
        <f t="shared" si="57"/>
        <v>1467500</v>
      </c>
      <c r="I45" s="324">
        <f t="shared" si="57"/>
        <v>0</v>
      </c>
      <c r="J45" s="169">
        <f t="shared" si="57"/>
        <v>0</v>
      </c>
      <c r="K45" s="170">
        <f t="shared" si="57"/>
        <v>0</v>
      </c>
      <c r="L45" s="328">
        <f>SUM(L38:L44)</f>
        <v>13000</v>
      </c>
      <c r="M45" s="329">
        <f>SUM(M38:M44)</f>
        <v>1064000</v>
      </c>
      <c r="N45" s="324">
        <f t="shared" ref="N45:X45" si="58">SUM(N38:N44)</f>
        <v>55</v>
      </c>
      <c r="O45" s="169">
        <f t="shared" si="58"/>
        <v>722500</v>
      </c>
      <c r="P45" s="169">
        <f t="shared" si="58"/>
        <v>20</v>
      </c>
      <c r="Q45" s="169">
        <f t="shared" si="58"/>
        <v>20</v>
      </c>
      <c r="R45" s="169">
        <f t="shared" si="58"/>
        <v>0</v>
      </c>
      <c r="S45" s="169">
        <f t="shared" si="58"/>
        <v>852500</v>
      </c>
      <c r="T45" s="170">
        <f t="shared" si="58"/>
        <v>0</v>
      </c>
      <c r="U45" s="328">
        <f t="shared" si="58"/>
        <v>3397000</v>
      </c>
      <c r="V45" s="169">
        <f t="shared" si="58"/>
        <v>0</v>
      </c>
      <c r="W45" s="329">
        <f t="shared" si="58"/>
        <v>3397000</v>
      </c>
      <c r="X45" s="356">
        <f t="shared" si="58"/>
        <v>3397000</v>
      </c>
      <c r="Y45" s="560"/>
      <c r="AA45" s="473">
        <f>SUM(AA38:AA44)</f>
        <v>759</v>
      </c>
      <c r="AB45" s="473"/>
      <c r="AC45" s="475">
        <f>AA45-AB45</f>
        <v>759</v>
      </c>
    </row>
    <row r="46" spans="1:29" ht="15" x14ac:dyDescent="0.25">
      <c r="A46" s="98" t="s">
        <v>115</v>
      </c>
      <c r="B46" s="321">
        <f>'Main Menu'!M37</f>
        <v>43100</v>
      </c>
      <c r="C46" s="326"/>
      <c r="D46" s="97"/>
      <c r="E46" s="97"/>
      <c r="F46" s="97"/>
      <c r="G46" s="97">
        <f>C46+D46+E46+F46</f>
        <v>0</v>
      </c>
      <c r="H46" s="327">
        <f>(C46*2500)+(D46*2000)+(E46*2000)+(F46*2000)</f>
        <v>0</v>
      </c>
      <c r="I46" s="323"/>
      <c r="J46" s="97"/>
      <c r="K46" s="105">
        <f>(I46*1500)+(J46*2000)</f>
        <v>0</v>
      </c>
      <c r="L46" s="326"/>
      <c r="M46" s="332"/>
      <c r="N46" s="323"/>
      <c r="O46" s="97"/>
      <c r="P46" s="97"/>
      <c r="Q46" s="97"/>
      <c r="R46" s="97"/>
      <c r="S46" s="99">
        <f t="shared" ref="S46:S50" si="59">(N46*2000)+O46+(P46*500)+(Q46*500)+R46</f>
        <v>0</v>
      </c>
      <c r="T46" s="354"/>
      <c r="U46" s="326">
        <f t="shared" ref="U46:U52" si="60">H46+K46+S46-T46+L46+M46</f>
        <v>0</v>
      </c>
      <c r="V46" s="97"/>
      <c r="W46" s="327">
        <f>U46-V46</f>
        <v>0</v>
      </c>
      <c r="X46" s="355"/>
      <c r="Y46" s="89"/>
      <c r="AA46" s="111">
        <f t="shared" ref="AA46:AA53" si="61">G46+N46</f>
        <v>0</v>
      </c>
    </row>
    <row r="47" spans="1:29" ht="15" x14ac:dyDescent="0.25">
      <c r="A47" s="98" t="s">
        <v>109</v>
      </c>
      <c r="B47" s="321" t="str">
        <f>'Main Menu'!M38</f>
        <v>-</v>
      </c>
      <c r="C47" s="326"/>
      <c r="D47" s="97"/>
      <c r="E47" s="97"/>
      <c r="F47" s="97"/>
      <c r="G47" s="97">
        <f t="shared" ref="G47:G52" si="62">C47+D47+E47+F47</f>
        <v>0</v>
      </c>
      <c r="H47" s="327">
        <f>(C47*2500)+(D47*2000)+(E47*2000)+(F47*2000)</f>
        <v>0</v>
      </c>
      <c r="I47" s="323"/>
      <c r="J47" s="97"/>
      <c r="K47" s="105">
        <f t="shared" ref="K47:K52" si="63">(I47*1500)+(J47*2000)</f>
        <v>0</v>
      </c>
      <c r="L47" s="326"/>
      <c r="M47" s="332"/>
      <c r="N47" s="323"/>
      <c r="O47" s="97"/>
      <c r="P47" s="97"/>
      <c r="Q47" s="97"/>
      <c r="R47" s="97"/>
      <c r="S47" s="99">
        <f t="shared" si="59"/>
        <v>0</v>
      </c>
      <c r="T47" s="354"/>
      <c r="U47" s="326">
        <f t="shared" si="60"/>
        <v>0</v>
      </c>
      <c r="V47" s="97"/>
      <c r="W47" s="327">
        <f t="shared" ref="W47:W49" si="64">U47-V47</f>
        <v>0</v>
      </c>
      <c r="X47" s="355"/>
      <c r="Y47" s="89"/>
      <c r="AA47" s="111">
        <f t="shared" si="61"/>
        <v>0</v>
      </c>
    </row>
    <row r="48" spans="1:29" ht="15" x14ac:dyDescent="0.25">
      <c r="A48" s="98" t="s">
        <v>110</v>
      </c>
      <c r="B48" s="321" t="str">
        <f>'Main Menu'!M39</f>
        <v>-</v>
      </c>
      <c r="C48" s="326"/>
      <c r="D48" s="97"/>
      <c r="E48" s="97"/>
      <c r="F48" s="97"/>
      <c r="G48" s="97">
        <f t="shared" si="62"/>
        <v>0</v>
      </c>
      <c r="H48" s="327">
        <f t="shared" ref="H48:H52" si="65">(C48*2500)+(D48*2000)+(E48*2000)+(F48*2000)</f>
        <v>0</v>
      </c>
      <c r="I48" s="323"/>
      <c r="J48" s="97"/>
      <c r="K48" s="105">
        <f t="shared" si="63"/>
        <v>0</v>
      </c>
      <c r="L48" s="326"/>
      <c r="M48" s="332"/>
      <c r="N48" s="323"/>
      <c r="O48" s="97"/>
      <c r="P48" s="97"/>
      <c r="Q48" s="97"/>
      <c r="R48" s="97"/>
      <c r="S48" s="99">
        <f t="shared" si="59"/>
        <v>0</v>
      </c>
      <c r="T48" s="354"/>
      <c r="U48" s="326">
        <f t="shared" si="60"/>
        <v>0</v>
      </c>
      <c r="V48" s="97"/>
      <c r="W48" s="327">
        <f t="shared" si="64"/>
        <v>0</v>
      </c>
      <c r="X48" s="355"/>
      <c r="Y48" s="89"/>
      <c r="AA48" s="111">
        <f t="shared" si="61"/>
        <v>0</v>
      </c>
    </row>
    <row r="49" spans="1:32" ht="15" x14ac:dyDescent="0.25">
      <c r="A49" s="98" t="s">
        <v>111</v>
      </c>
      <c r="B49" s="321" t="str">
        <f>'Main Menu'!M40</f>
        <v>-</v>
      </c>
      <c r="C49" s="326"/>
      <c r="D49" s="97"/>
      <c r="E49" s="112"/>
      <c r="F49" s="97"/>
      <c r="G49" s="97">
        <f t="shared" si="62"/>
        <v>0</v>
      </c>
      <c r="H49" s="327">
        <f t="shared" si="65"/>
        <v>0</v>
      </c>
      <c r="I49" s="323"/>
      <c r="J49" s="97"/>
      <c r="K49" s="105">
        <f t="shared" si="63"/>
        <v>0</v>
      </c>
      <c r="L49" s="326"/>
      <c r="M49" s="332"/>
      <c r="N49" s="323"/>
      <c r="O49" s="97"/>
      <c r="P49" s="97"/>
      <c r="Q49" s="97"/>
      <c r="R49" s="97"/>
      <c r="S49" s="99">
        <f t="shared" si="59"/>
        <v>0</v>
      </c>
      <c r="T49" s="354"/>
      <c r="U49" s="326">
        <f t="shared" si="60"/>
        <v>0</v>
      </c>
      <c r="V49" s="97"/>
      <c r="W49" s="327">
        <f t="shared" si="64"/>
        <v>0</v>
      </c>
      <c r="X49" s="355"/>
      <c r="Y49" s="89"/>
      <c r="AA49" s="111">
        <f t="shared" si="61"/>
        <v>0</v>
      </c>
    </row>
    <row r="50" spans="1:32" ht="15" x14ac:dyDescent="0.25">
      <c r="A50" s="98" t="s">
        <v>112</v>
      </c>
      <c r="B50" s="321" t="str">
        <f>'Main Menu'!M41</f>
        <v>-</v>
      </c>
      <c r="C50" s="326"/>
      <c r="D50" s="97"/>
      <c r="E50" s="97"/>
      <c r="F50" s="97"/>
      <c r="G50" s="97">
        <f t="shared" si="62"/>
        <v>0</v>
      </c>
      <c r="H50" s="327">
        <f t="shared" si="65"/>
        <v>0</v>
      </c>
      <c r="I50" s="323"/>
      <c r="J50" s="97"/>
      <c r="K50" s="105">
        <f t="shared" si="63"/>
        <v>0</v>
      </c>
      <c r="L50" s="326"/>
      <c r="M50" s="332"/>
      <c r="N50" s="323"/>
      <c r="O50" s="97"/>
      <c r="P50" s="97"/>
      <c r="Q50" s="97"/>
      <c r="R50" s="97"/>
      <c r="S50" s="99">
        <f t="shared" si="59"/>
        <v>0</v>
      </c>
      <c r="T50" s="354"/>
      <c r="U50" s="326">
        <f t="shared" si="60"/>
        <v>0</v>
      </c>
      <c r="V50" s="97"/>
      <c r="W50" s="327">
        <f>U50-V50</f>
        <v>0</v>
      </c>
      <c r="X50" s="355"/>
      <c r="Y50" s="89"/>
      <c r="AA50" s="111">
        <f t="shared" si="61"/>
        <v>0</v>
      </c>
    </row>
    <row r="51" spans="1:32" ht="15" x14ac:dyDescent="0.25">
      <c r="A51" s="98" t="s">
        <v>113</v>
      </c>
      <c r="B51" s="321" t="str">
        <f>'Main Menu'!M42</f>
        <v>-</v>
      </c>
      <c r="C51" s="326"/>
      <c r="D51" s="97"/>
      <c r="E51" s="97"/>
      <c r="F51" s="97"/>
      <c r="G51" s="97">
        <f t="shared" si="62"/>
        <v>0</v>
      </c>
      <c r="H51" s="327">
        <f t="shared" si="65"/>
        <v>0</v>
      </c>
      <c r="I51" s="323"/>
      <c r="J51" s="97"/>
      <c r="K51" s="105">
        <f t="shared" si="63"/>
        <v>0</v>
      </c>
      <c r="L51" s="326"/>
      <c r="M51" s="332"/>
      <c r="N51" s="323"/>
      <c r="O51" s="97"/>
      <c r="P51" s="97"/>
      <c r="Q51" s="97"/>
      <c r="R51" s="97"/>
      <c r="S51" s="99">
        <f>(N51*2000)+O51+(P51*500)+(Q51*500)+R51</f>
        <v>0</v>
      </c>
      <c r="T51" s="354"/>
      <c r="U51" s="326">
        <f t="shared" si="60"/>
        <v>0</v>
      </c>
      <c r="V51" s="97"/>
      <c r="W51" s="327">
        <f>U51-V51</f>
        <v>0</v>
      </c>
      <c r="X51" s="355"/>
      <c r="Y51" s="89"/>
      <c r="AA51" s="111">
        <f t="shared" si="61"/>
        <v>0</v>
      </c>
    </row>
    <row r="52" spans="1:32" ht="15" x14ac:dyDescent="0.25">
      <c r="A52" s="98" t="s">
        <v>114</v>
      </c>
      <c r="B52" s="321" t="str">
        <f>'Main Menu'!M43</f>
        <v>-</v>
      </c>
      <c r="C52" s="326"/>
      <c r="D52" s="97"/>
      <c r="E52" s="97"/>
      <c r="F52" s="97"/>
      <c r="G52" s="97">
        <f t="shared" si="62"/>
        <v>0</v>
      </c>
      <c r="H52" s="327">
        <f t="shared" si="65"/>
        <v>0</v>
      </c>
      <c r="I52" s="323"/>
      <c r="J52" s="97"/>
      <c r="K52" s="105">
        <f t="shared" si="63"/>
        <v>0</v>
      </c>
      <c r="L52" s="326"/>
      <c r="M52" s="332"/>
      <c r="N52" s="323"/>
      <c r="O52" s="97"/>
      <c r="P52" s="97"/>
      <c r="Q52" s="97"/>
      <c r="R52" s="97"/>
      <c r="S52" s="99">
        <f t="shared" ref="S52" si="66">(N52*2000)+O52+(P52*500)+(Q52*500)+R52</f>
        <v>0</v>
      </c>
      <c r="T52" s="354"/>
      <c r="U52" s="326">
        <f t="shared" si="60"/>
        <v>0</v>
      </c>
      <c r="V52" s="97"/>
      <c r="W52" s="327">
        <f t="shared" ref="W52" si="67">U52-V52</f>
        <v>0</v>
      </c>
      <c r="X52" s="355"/>
      <c r="Y52" s="89"/>
      <c r="AA52" s="111">
        <f t="shared" si="61"/>
        <v>0</v>
      </c>
    </row>
    <row r="53" spans="1:32" ht="15.75" thickBot="1" x14ac:dyDescent="0.3">
      <c r="A53" s="653" t="s">
        <v>105</v>
      </c>
      <c r="B53" s="654"/>
      <c r="C53" s="328">
        <f t="shared" ref="C53:K53" si="68">SUM(C46:C52)</f>
        <v>0</v>
      </c>
      <c r="D53" s="169">
        <f t="shared" si="68"/>
        <v>0</v>
      </c>
      <c r="E53" s="169">
        <f t="shared" si="68"/>
        <v>0</v>
      </c>
      <c r="F53" s="169">
        <f t="shared" si="68"/>
        <v>0</v>
      </c>
      <c r="G53" s="169">
        <f t="shared" si="68"/>
        <v>0</v>
      </c>
      <c r="H53" s="329">
        <f t="shared" si="68"/>
        <v>0</v>
      </c>
      <c r="I53" s="324">
        <f t="shared" si="68"/>
        <v>0</v>
      </c>
      <c r="J53" s="169">
        <f t="shared" si="68"/>
        <v>0</v>
      </c>
      <c r="K53" s="170">
        <f t="shared" si="68"/>
        <v>0</v>
      </c>
      <c r="L53" s="328">
        <f>SUM(L46:L52)</f>
        <v>0</v>
      </c>
      <c r="M53" s="329">
        <f>SUM(M46:M52)</f>
        <v>0</v>
      </c>
      <c r="N53" s="324">
        <f t="shared" ref="N53:X53" si="69">SUM(N46:N52)</f>
        <v>0</v>
      </c>
      <c r="O53" s="169">
        <f t="shared" si="69"/>
        <v>0</v>
      </c>
      <c r="P53" s="169">
        <f t="shared" si="69"/>
        <v>0</v>
      </c>
      <c r="Q53" s="169">
        <f t="shared" si="69"/>
        <v>0</v>
      </c>
      <c r="R53" s="169">
        <f t="shared" si="69"/>
        <v>0</v>
      </c>
      <c r="S53" s="169">
        <f t="shared" si="69"/>
        <v>0</v>
      </c>
      <c r="T53" s="170">
        <f t="shared" si="69"/>
        <v>0</v>
      </c>
      <c r="U53" s="328">
        <f t="shared" si="69"/>
        <v>0</v>
      </c>
      <c r="V53" s="169">
        <f t="shared" si="69"/>
        <v>0</v>
      </c>
      <c r="W53" s="329">
        <f t="shared" si="69"/>
        <v>0</v>
      </c>
      <c r="X53" s="356">
        <f t="shared" si="69"/>
        <v>0</v>
      </c>
      <c r="Y53" s="560"/>
      <c r="AA53" s="473">
        <f t="shared" si="61"/>
        <v>0</v>
      </c>
      <c r="AB53" s="474"/>
      <c r="AC53" s="475">
        <f>AA53-AB53</f>
        <v>0</v>
      </c>
    </row>
    <row r="54" spans="1:32" s="110" customFormat="1" ht="15.75" thickBot="1" x14ac:dyDescent="0.3">
      <c r="A54" s="655" t="s">
        <v>116</v>
      </c>
      <c r="B54" s="656"/>
      <c r="C54" s="330">
        <f t="shared" ref="C54:AC54" si="70">C13+C21+C29+C37+C45+C53</f>
        <v>799</v>
      </c>
      <c r="D54" s="171">
        <f t="shared" si="70"/>
        <v>4745</v>
      </c>
      <c r="E54" s="171">
        <f t="shared" si="70"/>
        <v>10486</v>
      </c>
      <c r="F54" s="171">
        <f t="shared" si="70"/>
        <v>0</v>
      </c>
      <c r="G54" s="171">
        <f t="shared" si="70"/>
        <v>16030</v>
      </c>
      <c r="H54" s="173">
        <f t="shared" si="70"/>
        <v>32459500</v>
      </c>
      <c r="I54" s="325">
        <f t="shared" si="70"/>
        <v>135</v>
      </c>
      <c r="J54" s="171">
        <f t="shared" si="70"/>
        <v>115</v>
      </c>
      <c r="K54" s="172">
        <f t="shared" si="70"/>
        <v>432500</v>
      </c>
      <c r="L54" s="330">
        <f t="shared" si="70"/>
        <v>65500</v>
      </c>
      <c r="M54" s="173">
        <f t="shared" si="70"/>
        <v>6050000</v>
      </c>
      <c r="N54" s="325">
        <f t="shared" si="70"/>
        <v>1188</v>
      </c>
      <c r="O54" s="171">
        <f t="shared" si="70"/>
        <v>7183500</v>
      </c>
      <c r="P54" s="171">
        <f t="shared" si="70"/>
        <v>723</v>
      </c>
      <c r="Q54" s="171">
        <f t="shared" si="70"/>
        <v>1066</v>
      </c>
      <c r="R54" s="171">
        <f t="shared" si="70"/>
        <v>0</v>
      </c>
      <c r="S54" s="171">
        <f t="shared" si="70"/>
        <v>10454000</v>
      </c>
      <c r="T54" s="172">
        <f t="shared" si="70"/>
        <v>38000</v>
      </c>
      <c r="U54" s="330">
        <f t="shared" si="70"/>
        <v>49423500</v>
      </c>
      <c r="V54" s="171">
        <f t="shared" si="70"/>
        <v>711000</v>
      </c>
      <c r="W54" s="173">
        <f t="shared" si="70"/>
        <v>48712500</v>
      </c>
      <c r="X54" s="325">
        <f t="shared" si="70"/>
        <v>48954500</v>
      </c>
      <c r="Y54" s="439">
        <f>SUM(Y6:Y53)</f>
        <v>1727500</v>
      </c>
      <c r="AA54" s="330">
        <f t="shared" si="70"/>
        <v>17218</v>
      </c>
      <c r="AB54" s="171">
        <f t="shared" si="70"/>
        <v>0</v>
      </c>
      <c r="AC54" s="173">
        <f t="shared" si="70"/>
        <v>17218</v>
      </c>
    </row>
    <row r="55" spans="1:32" ht="13.5" thickBot="1" x14ac:dyDescent="0.25">
      <c r="H55" s="103">
        <f>H54/W54</f>
        <v>0.66634847318450086</v>
      </c>
      <c r="N55" s="111">
        <f>N54*2000</f>
        <v>2376000</v>
      </c>
      <c r="O55" s="111"/>
      <c r="P55" s="662">
        <f>(P54+Q54)*500</f>
        <v>894500</v>
      </c>
      <c r="Q55" s="662"/>
      <c r="U55" s="360"/>
      <c r="V55" s="361"/>
      <c r="W55" s="362"/>
      <c r="X55" s="89"/>
      <c r="Y55" s="89"/>
      <c r="AC55" s="129"/>
    </row>
    <row r="56" spans="1:32" x14ac:dyDescent="0.2">
      <c r="A56" s="646" t="s">
        <v>209</v>
      </c>
      <c r="B56" s="646"/>
      <c r="C56" s="111">
        <f>G54+N54</f>
        <v>17218</v>
      </c>
      <c r="D56" s="103">
        <v>100</v>
      </c>
      <c r="H56" s="89"/>
      <c r="J56" s="111"/>
      <c r="K56" s="111"/>
      <c r="M56" s="111"/>
      <c r="N56" s="111"/>
      <c r="O56" s="111">
        <f>O45+M45+K45</f>
        <v>1786500</v>
      </c>
      <c r="P56" s="111"/>
      <c r="Q56" s="111"/>
      <c r="R56" s="111"/>
      <c r="X56" s="89"/>
      <c r="Y56" s="89"/>
    </row>
    <row r="57" spans="1:32" x14ac:dyDescent="0.2">
      <c r="A57" s="646" t="s">
        <v>210</v>
      </c>
      <c r="B57" s="646"/>
      <c r="C57" s="111">
        <f>I54</f>
        <v>135</v>
      </c>
      <c r="H57" s="111"/>
      <c r="I57" s="111"/>
      <c r="J57" s="111"/>
      <c r="K57" s="661" t="s">
        <v>478</v>
      </c>
      <c r="L57" s="661"/>
      <c r="M57" s="111">
        <f>M54+O54</f>
        <v>13233500</v>
      </c>
      <c r="X57" s="89"/>
      <c r="Y57" s="89"/>
    </row>
    <row r="58" spans="1:32" x14ac:dyDescent="0.2">
      <c r="A58" s="646" t="s">
        <v>211</v>
      </c>
      <c r="B58" s="646"/>
      <c r="C58" s="111">
        <f>J54</f>
        <v>115</v>
      </c>
      <c r="K58" s="661" t="s">
        <v>506</v>
      </c>
      <c r="L58" s="661"/>
      <c r="M58" s="111">
        <f>K54</f>
        <v>432500</v>
      </c>
      <c r="X58" s="89">
        <f>X54+Y54</f>
        <v>50682000</v>
      </c>
      <c r="Y58" s="89"/>
    </row>
    <row r="59" spans="1:32" x14ac:dyDescent="0.2">
      <c r="K59" s="661" t="s">
        <v>479</v>
      </c>
      <c r="L59" s="661"/>
      <c r="M59" s="111">
        <f>L54+P55</f>
        <v>960000</v>
      </c>
      <c r="X59" s="89"/>
      <c r="Y59" s="89"/>
    </row>
    <row r="60" spans="1:32" x14ac:dyDescent="0.2">
      <c r="X60" s="89"/>
      <c r="Y60" s="89"/>
    </row>
    <row r="61" spans="1:32" x14ac:dyDescent="0.2">
      <c r="X61" s="89"/>
      <c r="Y61" s="89"/>
    </row>
    <row r="62" spans="1:32" x14ac:dyDescent="0.2">
      <c r="K62" s="646" t="s">
        <v>477</v>
      </c>
      <c r="L62" s="646"/>
      <c r="M62" s="111">
        <f>M57+M58-'Laporan Laba Rugi'!C33</f>
        <v>3219600</v>
      </c>
      <c r="N62" s="509">
        <f>M62/(M57+M58)</f>
        <v>0.23559198009659008</v>
      </c>
      <c r="P62" s="534"/>
      <c r="U62" s="103">
        <v>175000</v>
      </c>
      <c r="X62" s="89"/>
      <c r="Y62" s="89"/>
      <c r="AE62" s="103" t="s">
        <v>341</v>
      </c>
      <c r="AF62" s="103">
        <v>550</v>
      </c>
    </row>
    <row r="63" spans="1:32" x14ac:dyDescent="0.2">
      <c r="N63" s="577">
        <v>0.24</v>
      </c>
      <c r="O63" s="111">
        <f>N63*(M57+M58)</f>
        <v>3279840</v>
      </c>
      <c r="U63" s="103">
        <f>2.5%*U62</f>
        <v>4375</v>
      </c>
      <c r="AE63" s="103" t="s">
        <v>518</v>
      </c>
      <c r="AF63" s="103">
        <v>70</v>
      </c>
    </row>
    <row r="64" spans="1:32" x14ac:dyDescent="0.2">
      <c r="O64" s="111">
        <f>M62-O63</f>
        <v>-60240</v>
      </c>
      <c r="AE64" s="103" t="s">
        <v>519</v>
      </c>
      <c r="AF64" s="103">
        <v>550</v>
      </c>
    </row>
    <row r="65" spans="23:32" x14ac:dyDescent="0.2">
      <c r="AE65" s="103" t="s">
        <v>520</v>
      </c>
      <c r="AF65" s="103">
        <v>525</v>
      </c>
    </row>
    <row r="66" spans="23:32" x14ac:dyDescent="0.2">
      <c r="AE66" s="103" t="s">
        <v>437</v>
      </c>
      <c r="AF66" s="103">
        <v>160</v>
      </c>
    </row>
    <row r="67" spans="23:32" x14ac:dyDescent="0.2">
      <c r="AF67" s="103">
        <f>SUM(AF62:AF66)</f>
        <v>1855</v>
      </c>
    </row>
    <row r="68" spans="23:32" x14ac:dyDescent="0.2">
      <c r="W68" s="89"/>
    </row>
  </sheetData>
  <mergeCells count="39">
    <mergeCell ref="K62:L62"/>
    <mergeCell ref="P55:Q55"/>
    <mergeCell ref="K58:L58"/>
    <mergeCell ref="K59:L59"/>
    <mergeCell ref="A1:X2"/>
    <mergeCell ref="A4:B5"/>
    <mergeCell ref="E4:E5"/>
    <mergeCell ref="F4:F5"/>
    <mergeCell ref="T4:T5"/>
    <mergeCell ref="W4:W5"/>
    <mergeCell ref="C3:H3"/>
    <mergeCell ref="N4:R4"/>
    <mergeCell ref="S4:S5"/>
    <mergeCell ref="I4:J4"/>
    <mergeCell ref="K4:K5"/>
    <mergeCell ref="L3:M3"/>
    <mergeCell ref="D4:D5"/>
    <mergeCell ref="AB4:AB5"/>
    <mergeCell ref="A57:B57"/>
    <mergeCell ref="A37:B37"/>
    <mergeCell ref="A53:B53"/>
    <mergeCell ref="C4:C5"/>
    <mergeCell ref="K57:L57"/>
    <mergeCell ref="AC4:AC5"/>
    <mergeCell ref="A58:B58"/>
    <mergeCell ref="X4:X5"/>
    <mergeCell ref="A56:B56"/>
    <mergeCell ref="L4:L5"/>
    <mergeCell ref="G4:G5"/>
    <mergeCell ref="U4:U5"/>
    <mergeCell ref="V4:V5"/>
    <mergeCell ref="A45:B45"/>
    <mergeCell ref="A54:B54"/>
    <mergeCell ref="A13:B13"/>
    <mergeCell ref="A21:B21"/>
    <mergeCell ref="A29:B29"/>
    <mergeCell ref="M4:M5"/>
    <mergeCell ref="H4:H5"/>
    <mergeCell ref="AA4:AA5"/>
  </mergeCells>
  <pageMargins left="1.1811023622047245" right="0.78740157480314965" top="0.78740157480314965" bottom="1.1811023622047245" header="0.31496062992125984" footer="0.31496062992125984"/>
  <pageSetup paperSize="9" orientation="portrait" r:id="rId1"/>
  <ignoredErrors>
    <ignoredError sqref="G21:H21 K21 G29:H29 G37:H37 G45:H45 K45 K37 K29 S21 S29 S37 S45 U21 W21 W29 U29 U37 W37:X37 W45 U45 G13:H13 K13 S13 U13 W13" formula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2:L54"/>
  <sheetViews>
    <sheetView workbookViewId="0">
      <pane xSplit="2" ySplit="5" topLeftCell="C13" activePane="bottomRight" state="frozen"/>
      <selection pane="topRight" activeCell="C1" sqref="C1"/>
      <selection pane="bottomLeft" activeCell="A6" sqref="A6"/>
      <selection pane="bottomRight" activeCell="L33" sqref="L33"/>
    </sheetView>
  </sheetViews>
  <sheetFormatPr defaultRowHeight="12.75" x14ac:dyDescent="0.2"/>
  <cols>
    <col min="1" max="1" width="9.28515625" customWidth="1"/>
    <col min="2" max="2" width="10.42578125" customWidth="1"/>
    <col min="3" max="10" width="8.28515625" customWidth="1"/>
    <col min="11" max="11" width="12.7109375" customWidth="1"/>
    <col min="12" max="12" width="12" customWidth="1"/>
  </cols>
  <sheetData>
    <row r="2" spans="1:12" ht="13.5" thickBot="1" x14ac:dyDescent="0.25"/>
    <row r="3" spans="1:12" ht="16.5" thickBot="1" x14ac:dyDescent="0.25">
      <c r="A3" s="107"/>
      <c r="B3" s="481"/>
      <c r="C3" s="670" t="s">
        <v>433</v>
      </c>
      <c r="D3" s="671"/>
      <c r="E3" s="671"/>
      <c r="F3" s="671"/>
      <c r="G3" s="671"/>
      <c r="H3" s="671"/>
      <c r="I3" s="671"/>
      <c r="J3" s="671"/>
      <c r="K3" s="672"/>
    </row>
    <row r="4" spans="1:12" ht="18" customHeight="1" x14ac:dyDescent="0.2">
      <c r="A4" s="664" t="s">
        <v>98</v>
      </c>
      <c r="B4" s="665"/>
      <c r="C4" s="682" t="s">
        <v>465</v>
      </c>
      <c r="D4" s="674"/>
      <c r="E4" s="681" t="s">
        <v>466</v>
      </c>
      <c r="F4" s="674"/>
      <c r="G4" s="482"/>
      <c r="H4" s="651" t="s">
        <v>201</v>
      </c>
      <c r="I4" s="675" t="s">
        <v>438</v>
      </c>
      <c r="J4" s="675" t="s">
        <v>439</v>
      </c>
      <c r="K4" s="659"/>
    </row>
    <row r="5" spans="1:12" ht="18" customHeight="1" thickBot="1" x14ac:dyDescent="0.25">
      <c r="A5" s="666"/>
      <c r="B5" s="667"/>
      <c r="C5" s="480" t="s">
        <v>436</v>
      </c>
      <c r="D5" s="479" t="s">
        <v>437</v>
      </c>
      <c r="E5" s="480" t="s">
        <v>436</v>
      </c>
      <c r="F5" s="479" t="s">
        <v>437</v>
      </c>
      <c r="G5" s="483"/>
      <c r="H5" s="652"/>
      <c r="I5" s="676"/>
      <c r="J5" s="676"/>
      <c r="K5" s="660"/>
    </row>
    <row r="6" spans="1:12" ht="15" x14ac:dyDescent="0.25">
      <c r="A6" s="98" t="s">
        <v>115</v>
      </c>
      <c r="B6" s="321" t="str">
        <f>'Main Menu'!M2</f>
        <v>-</v>
      </c>
      <c r="C6" s="326"/>
      <c r="D6" s="97"/>
      <c r="E6" s="97"/>
      <c r="F6" s="97"/>
      <c r="G6" s="97">
        <f t="shared" ref="G6:G12" si="0">C6+D6+E6+F6</f>
        <v>0</v>
      </c>
      <c r="H6" s="354"/>
      <c r="I6" s="354"/>
      <c r="J6" s="354"/>
      <c r="K6" s="327">
        <f>(C6*6000)+(D6*7000)+(E6*8000)+(F6*9000)+(H6*30000)+(I6*35000)+(J6*35000)</f>
        <v>0</v>
      </c>
      <c r="L6" s="516"/>
    </row>
    <row r="7" spans="1:12" ht="15" x14ac:dyDescent="0.25">
      <c r="A7" s="98" t="s">
        <v>109</v>
      </c>
      <c r="B7" s="321" t="str">
        <f>'Main Menu'!M3</f>
        <v>-</v>
      </c>
      <c r="C7" s="326"/>
      <c r="D7" s="97"/>
      <c r="E7" s="97"/>
      <c r="F7" s="97"/>
      <c r="G7" s="97">
        <f t="shared" si="0"/>
        <v>0</v>
      </c>
      <c r="H7" s="354"/>
      <c r="I7" s="354"/>
      <c r="J7" s="354"/>
      <c r="K7" s="327">
        <f t="shared" ref="K7:K12" si="1">(C7*6000)+(D7*7000)+(E7*8000)+(F7*9000)+(H7*30000)+(I7*35000)+(J7*35000)</f>
        <v>0</v>
      </c>
      <c r="L7" s="516"/>
    </row>
    <row r="8" spans="1:12" ht="15" x14ac:dyDescent="0.25">
      <c r="A8" s="98" t="s">
        <v>110</v>
      </c>
      <c r="B8" s="321" t="str">
        <f>'Main Menu'!M4</f>
        <v>-</v>
      </c>
      <c r="C8" s="326"/>
      <c r="D8" s="97"/>
      <c r="E8" s="97"/>
      <c r="F8" s="97"/>
      <c r="G8" s="97">
        <f t="shared" si="0"/>
        <v>0</v>
      </c>
      <c r="H8" s="354"/>
      <c r="I8" s="354"/>
      <c r="J8" s="354"/>
      <c r="K8" s="327">
        <f t="shared" si="1"/>
        <v>0</v>
      </c>
    </row>
    <row r="9" spans="1:12" ht="15" x14ac:dyDescent="0.25">
      <c r="A9" s="98" t="s">
        <v>111</v>
      </c>
      <c r="B9" s="321" t="str">
        <f>'Main Menu'!M5</f>
        <v>-</v>
      </c>
      <c r="C9" s="326"/>
      <c r="D9" s="97"/>
      <c r="E9" s="112"/>
      <c r="F9" s="97"/>
      <c r="G9" s="97">
        <f t="shared" si="0"/>
        <v>0</v>
      </c>
      <c r="H9" s="354"/>
      <c r="I9" s="354"/>
      <c r="J9" s="354"/>
      <c r="K9" s="327">
        <f t="shared" si="1"/>
        <v>0</v>
      </c>
      <c r="L9" s="516"/>
    </row>
    <row r="10" spans="1:12" ht="15" x14ac:dyDescent="0.25">
      <c r="A10" s="98" t="s">
        <v>112</v>
      </c>
      <c r="B10" s="321" t="str">
        <f>'Main Menu'!M6</f>
        <v>-</v>
      </c>
      <c r="C10" s="326"/>
      <c r="D10" s="97"/>
      <c r="E10" s="97"/>
      <c r="F10" s="97"/>
      <c r="G10" s="97">
        <f t="shared" si="0"/>
        <v>0</v>
      </c>
      <c r="H10" s="354"/>
      <c r="I10" s="354"/>
      <c r="J10" s="354"/>
      <c r="K10" s="327">
        <f t="shared" si="1"/>
        <v>0</v>
      </c>
      <c r="L10" s="516"/>
    </row>
    <row r="11" spans="1:12" ht="15" x14ac:dyDescent="0.25">
      <c r="A11" s="98" t="s">
        <v>113</v>
      </c>
      <c r="B11" s="321">
        <f>'Main Menu'!M7</f>
        <v>43070</v>
      </c>
      <c r="C11" s="326"/>
      <c r="D11" s="97"/>
      <c r="E11" s="97"/>
      <c r="F11" s="97"/>
      <c r="G11" s="97">
        <f t="shared" si="0"/>
        <v>0</v>
      </c>
      <c r="H11" s="354"/>
      <c r="I11" s="354"/>
      <c r="J11" s="354"/>
      <c r="K11" s="327">
        <f t="shared" si="1"/>
        <v>0</v>
      </c>
      <c r="L11" s="516"/>
    </row>
    <row r="12" spans="1:12" ht="15" x14ac:dyDescent="0.25">
      <c r="A12" s="98" t="s">
        <v>114</v>
      </c>
      <c r="B12" s="321">
        <f>'Main Menu'!M8</f>
        <v>43071</v>
      </c>
      <c r="C12" s="326"/>
      <c r="D12" s="97"/>
      <c r="E12" s="97"/>
      <c r="F12" s="97"/>
      <c r="G12" s="97">
        <f t="shared" si="0"/>
        <v>0</v>
      </c>
      <c r="H12" s="354"/>
      <c r="I12" s="354"/>
      <c r="J12" s="354"/>
      <c r="K12" s="327">
        <f t="shared" si="1"/>
        <v>0</v>
      </c>
      <c r="L12" s="516"/>
    </row>
    <row r="13" spans="1:12" ht="15" x14ac:dyDescent="0.25">
      <c r="A13" s="653" t="s">
        <v>105</v>
      </c>
      <c r="B13" s="654"/>
      <c r="C13" s="328"/>
      <c r="D13" s="169"/>
      <c r="E13" s="169"/>
      <c r="F13" s="169"/>
      <c r="G13" s="169">
        <f t="shared" ref="G13:K13" si="2">SUM(G6:G12)</f>
        <v>0</v>
      </c>
      <c r="H13" s="169"/>
      <c r="I13" s="169"/>
      <c r="J13" s="169"/>
      <c r="K13" s="329">
        <f t="shared" si="2"/>
        <v>0</v>
      </c>
      <c r="L13" s="516"/>
    </row>
    <row r="14" spans="1:12" ht="15" x14ac:dyDescent="0.25">
      <c r="A14" s="98" t="s">
        <v>115</v>
      </c>
      <c r="B14" s="321">
        <f>'Main Menu'!M9</f>
        <v>43072</v>
      </c>
      <c r="C14" s="326"/>
      <c r="D14" s="97"/>
      <c r="E14" s="97"/>
      <c r="F14" s="97"/>
      <c r="G14" s="97">
        <f t="shared" ref="G14:G20" si="3">C14+D14+E14+F14</f>
        <v>0</v>
      </c>
      <c r="H14" s="354"/>
      <c r="I14" s="354"/>
      <c r="J14" s="354"/>
      <c r="K14" s="327">
        <f>(C14*6000)+(D14*7000)+(E14*8000)+(F14*9000)+(H14*30000)+(I14*35000)+(J14*35000)</f>
        <v>0</v>
      </c>
      <c r="L14" s="516"/>
    </row>
    <row r="15" spans="1:12" ht="15" x14ac:dyDescent="0.25">
      <c r="A15" s="98" t="s">
        <v>109</v>
      </c>
      <c r="B15" s="321">
        <f>'Main Menu'!M10</f>
        <v>43073</v>
      </c>
      <c r="C15" s="326"/>
      <c r="D15" s="97"/>
      <c r="E15" s="97"/>
      <c r="F15" s="97"/>
      <c r="G15" s="97">
        <f t="shared" si="3"/>
        <v>0</v>
      </c>
      <c r="H15" s="354"/>
      <c r="I15" s="354"/>
      <c r="J15" s="354"/>
      <c r="K15" s="327">
        <f t="shared" ref="K15:K20" si="4">(C15*6000)+(D15*7000)+(E15*8000)+(F15*9000)+(H15*30000)+(I15*35000)+(J15*35000)</f>
        <v>0</v>
      </c>
      <c r="L15" s="516">
        <v>16000</v>
      </c>
    </row>
    <row r="16" spans="1:12" ht="15" x14ac:dyDescent="0.25">
      <c r="A16" s="98" t="s">
        <v>110</v>
      </c>
      <c r="B16" s="321">
        <f>'Main Menu'!M11</f>
        <v>43074</v>
      </c>
      <c r="C16" s="326"/>
      <c r="D16" s="97"/>
      <c r="E16" s="97"/>
      <c r="F16" s="97"/>
      <c r="G16" s="97">
        <f t="shared" si="3"/>
        <v>0</v>
      </c>
      <c r="H16" s="354"/>
      <c r="I16" s="354"/>
      <c r="J16" s="354"/>
      <c r="K16" s="327">
        <f t="shared" si="4"/>
        <v>0</v>
      </c>
      <c r="L16" s="516"/>
    </row>
    <row r="17" spans="1:12" ht="15" x14ac:dyDescent="0.25">
      <c r="A17" s="98" t="s">
        <v>111</v>
      </c>
      <c r="B17" s="321">
        <f>'Main Menu'!M12</f>
        <v>43075</v>
      </c>
      <c r="C17" s="326"/>
      <c r="D17" s="97"/>
      <c r="E17" s="112"/>
      <c r="F17" s="97"/>
      <c r="G17" s="97">
        <f t="shared" si="3"/>
        <v>0</v>
      </c>
      <c r="H17" s="354"/>
      <c r="I17" s="354"/>
      <c r="J17" s="354"/>
      <c r="K17" s="327">
        <f t="shared" si="4"/>
        <v>0</v>
      </c>
      <c r="L17" s="516"/>
    </row>
    <row r="18" spans="1:12" ht="15" x14ac:dyDescent="0.25">
      <c r="A18" s="98" t="s">
        <v>112</v>
      </c>
      <c r="B18" s="321">
        <f>'Main Menu'!M13</f>
        <v>43076</v>
      </c>
      <c r="C18" s="326"/>
      <c r="D18" s="97"/>
      <c r="E18" s="97"/>
      <c r="F18" s="97"/>
      <c r="G18" s="97">
        <f t="shared" si="3"/>
        <v>0</v>
      </c>
      <c r="H18" s="354"/>
      <c r="I18" s="354"/>
      <c r="J18" s="354"/>
      <c r="K18" s="327">
        <f t="shared" si="4"/>
        <v>0</v>
      </c>
      <c r="L18" s="516"/>
    </row>
    <row r="19" spans="1:12" ht="15" x14ac:dyDescent="0.25">
      <c r="A19" s="98" t="s">
        <v>113</v>
      </c>
      <c r="B19" s="321">
        <f>'Main Menu'!M14</f>
        <v>43077</v>
      </c>
      <c r="C19" s="326"/>
      <c r="D19" s="97"/>
      <c r="E19" s="97"/>
      <c r="F19" s="97"/>
      <c r="G19" s="97">
        <f t="shared" si="3"/>
        <v>0</v>
      </c>
      <c r="H19" s="354"/>
      <c r="I19" s="354"/>
      <c r="J19" s="354"/>
      <c r="K19" s="327">
        <f t="shared" si="4"/>
        <v>0</v>
      </c>
      <c r="L19" s="516">
        <v>14000</v>
      </c>
    </row>
    <row r="20" spans="1:12" ht="15" x14ac:dyDescent="0.25">
      <c r="A20" s="98" t="s">
        <v>114</v>
      </c>
      <c r="B20" s="321">
        <f>'Main Menu'!M15</f>
        <v>43078</v>
      </c>
      <c r="C20" s="326"/>
      <c r="D20" s="97"/>
      <c r="E20" s="97"/>
      <c r="F20" s="97"/>
      <c r="G20" s="97">
        <f t="shared" si="3"/>
        <v>0</v>
      </c>
      <c r="H20" s="354"/>
      <c r="I20" s="354"/>
      <c r="J20" s="354"/>
      <c r="K20" s="327">
        <f t="shared" si="4"/>
        <v>0</v>
      </c>
      <c r="L20" s="516"/>
    </row>
    <row r="21" spans="1:12" ht="15" x14ac:dyDescent="0.25">
      <c r="A21" s="653" t="s">
        <v>105</v>
      </c>
      <c r="B21" s="654"/>
      <c r="C21" s="328"/>
      <c r="D21" s="169"/>
      <c r="E21" s="169"/>
      <c r="F21" s="169"/>
      <c r="G21" s="169">
        <f t="shared" ref="G21:K21" si="5">SUM(G14:G20)</f>
        <v>0</v>
      </c>
      <c r="H21" s="169"/>
      <c r="I21" s="169"/>
      <c r="J21" s="169"/>
      <c r="K21" s="329">
        <f t="shared" si="5"/>
        <v>0</v>
      </c>
      <c r="L21" s="516"/>
    </row>
    <row r="22" spans="1:12" ht="15" x14ac:dyDescent="0.25">
      <c r="A22" s="98" t="s">
        <v>115</v>
      </c>
      <c r="B22" s="321">
        <f>'Main Menu'!M16</f>
        <v>43079</v>
      </c>
      <c r="C22" s="326"/>
      <c r="D22" s="97"/>
      <c r="E22" s="97"/>
      <c r="F22" s="97"/>
      <c r="G22" s="97">
        <f t="shared" ref="G22:G28" si="6">C22+D22+E22+F22</f>
        <v>0</v>
      </c>
      <c r="H22" s="354"/>
      <c r="I22" s="354"/>
      <c r="J22" s="354"/>
      <c r="K22" s="327">
        <f>(C22*6000)+(D22*7000)+(E22*8000)+(F22*9000)+(H22*30000)+(I22*35000)+(J22*35000)</f>
        <v>0</v>
      </c>
      <c r="L22" s="516"/>
    </row>
    <row r="23" spans="1:12" ht="15" x14ac:dyDescent="0.25">
      <c r="A23" s="98" t="s">
        <v>109</v>
      </c>
      <c r="B23" s="321">
        <f>'Main Menu'!M17</f>
        <v>43080</v>
      </c>
      <c r="C23" s="326"/>
      <c r="D23" s="97"/>
      <c r="E23" s="97"/>
      <c r="F23" s="97"/>
      <c r="G23" s="97">
        <f t="shared" si="6"/>
        <v>0</v>
      </c>
      <c r="H23" s="354"/>
      <c r="I23" s="354"/>
      <c r="J23" s="354"/>
      <c r="K23" s="327">
        <f t="shared" ref="K23:K28" si="7">(C23*6000)+(D23*7000)+(E23*8000)+(F23*9000)+(H23*30000)+(I23*35000)+(J23*35000)</f>
        <v>0</v>
      </c>
      <c r="L23" s="516">
        <v>17000</v>
      </c>
    </row>
    <row r="24" spans="1:12" ht="15" x14ac:dyDescent="0.25">
      <c r="A24" s="98" t="s">
        <v>110</v>
      </c>
      <c r="B24" s="321">
        <f>'Main Menu'!M18</f>
        <v>43081</v>
      </c>
      <c r="C24" s="326"/>
      <c r="D24" s="97"/>
      <c r="E24" s="97"/>
      <c r="F24" s="97"/>
      <c r="G24" s="97">
        <f t="shared" si="6"/>
        <v>0</v>
      </c>
      <c r="H24" s="354"/>
      <c r="I24" s="354"/>
      <c r="J24" s="354"/>
      <c r="K24" s="327">
        <f t="shared" si="7"/>
        <v>0</v>
      </c>
      <c r="L24" s="516"/>
    </row>
    <row r="25" spans="1:12" ht="15" x14ac:dyDescent="0.25">
      <c r="A25" s="98" t="s">
        <v>111</v>
      </c>
      <c r="B25" s="321">
        <f>'Main Menu'!M19</f>
        <v>43082</v>
      </c>
      <c r="C25" s="326"/>
      <c r="D25" s="97"/>
      <c r="E25" s="112"/>
      <c r="F25" s="97"/>
      <c r="G25" s="97">
        <f t="shared" si="6"/>
        <v>0</v>
      </c>
      <c r="H25" s="354"/>
      <c r="I25" s="354"/>
      <c r="J25" s="354"/>
      <c r="K25" s="327">
        <f t="shared" si="7"/>
        <v>0</v>
      </c>
      <c r="L25" s="516"/>
    </row>
    <row r="26" spans="1:12" ht="15" x14ac:dyDescent="0.25">
      <c r="A26" s="98" t="s">
        <v>112</v>
      </c>
      <c r="B26" s="321">
        <f>'Main Menu'!M20</f>
        <v>43083</v>
      </c>
      <c r="C26" s="326"/>
      <c r="D26" s="97"/>
      <c r="E26" s="97"/>
      <c r="F26" s="97"/>
      <c r="G26" s="97">
        <f t="shared" si="6"/>
        <v>0</v>
      </c>
      <c r="H26" s="354"/>
      <c r="I26" s="354"/>
      <c r="J26" s="354"/>
      <c r="K26" s="327">
        <f t="shared" si="7"/>
        <v>0</v>
      </c>
      <c r="L26" s="516"/>
    </row>
    <row r="27" spans="1:12" ht="15" x14ac:dyDescent="0.25">
      <c r="A27" s="98" t="s">
        <v>113</v>
      </c>
      <c r="B27" s="321">
        <f>'Main Menu'!M21</f>
        <v>43084</v>
      </c>
      <c r="C27" s="326"/>
      <c r="D27" s="97"/>
      <c r="E27" s="97"/>
      <c r="F27" s="97"/>
      <c r="G27" s="97">
        <f t="shared" si="6"/>
        <v>0</v>
      </c>
      <c r="H27" s="354"/>
      <c r="I27" s="354"/>
      <c r="J27" s="354"/>
      <c r="K27" s="327">
        <f t="shared" si="7"/>
        <v>0</v>
      </c>
      <c r="L27" s="516"/>
    </row>
    <row r="28" spans="1:12" ht="15" x14ac:dyDescent="0.25">
      <c r="A28" s="98" t="s">
        <v>114</v>
      </c>
      <c r="B28" s="321">
        <f>'Main Menu'!M22</f>
        <v>43085</v>
      </c>
      <c r="C28" s="326"/>
      <c r="D28" s="97"/>
      <c r="E28" s="97"/>
      <c r="F28" s="97"/>
      <c r="G28" s="97">
        <f t="shared" si="6"/>
        <v>0</v>
      </c>
      <c r="H28" s="354"/>
      <c r="I28" s="354"/>
      <c r="J28" s="354"/>
      <c r="K28" s="327">
        <f t="shared" si="7"/>
        <v>0</v>
      </c>
      <c r="L28" s="516"/>
    </row>
    <row r="29" spans="1:12" ht="15" x14ac:dyDescent="0.25">
      <c r="A29" s="653" t="s">
        <v>105</v>
      </c>
      <c r="B29" s="654"/>
      <c r="C29" s="328"/>
      <c r="D29" s="169"/>
      <c r="E29" s="169"/>
      <c r="F29" s="169"/>
      <c r="G29" s="169">
        <f t="shared" ref="G29:K29" si="8">SUM(G22:G28)</f>
        <v>0</v>
      </c>
      <c r="H29" s="169"/>
      <c r="I29" s="169"/>
      <c r="J29" s="169"/>
      <c r="K29" s="329">
        <f t="shared" si="8"/>
        <v>0</v>
      </c>
      <c r="L29" s="510"/>
    </row>
    <row r="30" spans="1:12" ht="15" x14ac:dyDescent="0.25">
      <c r="A30" s="98" t="s">
        <v>115</v>
      </c>
      <c r="B30" s="321">
        <f>'Main Menu'!M23</f>
        <v>43086</v>
      </c>
      <c r="C30" s="326"/>
      <c r="D30" s="97"/>
      <c r="E30" s="97"/>
      <c r="F30" s="97"/>
      <c r="G30" s="97">
        <f t="shared" ref="G30:G36" si="9">C30+D30+E30+F30</f>
        <v>0</v>
      </c>
      <c r="H30" s="354"/>
      <c r="I30" s="354"/>
      <c r="J30" s="354"/>
      <c r="K30" s="327">
        <f>(C30*6000)+(D30*7000)+(E30*8000)+(F30*9000)+(H30*30000)+(I30*35000)+(J30*35000)</f>
        <v>0</v>
      </c>
      <c r="L30" s="516"/>
    </row>
    <row r="31" spans="1:12" ht="15" x14ac:dyDescent="0.25">
      <c r="A31" s="98" t="s">
        <v>109</v>
      </c>
      <c r="B31" s="321">
        <f>'Main Menu'!M24</f>
        <v>43087</v>
      </c>
      <c r="C31" s="326"/>
      <c r="D31" s="97"/>
      <c r="E31" s="97"/>
      <c r="F31" s="97"/>
      <c r="G31" s="97">
        <f t="shared" si="9"/>
        <v>0</v>
      </c>
      <c r="H31" s="354"/>
      <c r="I31" s="354"/>
      <c r="J31" s="354"/>
      <c r="K31" s="327">
        <f t="shared" ref="K31:K36" si="10">(C31*6000)+(D31*7000)+(E31*8000)+(F31*9000)+(H31*30000)+(I31*35000)+(J31*35000)</f>
        <v>0</v>
      </c>
      <c r="L31" s="516">
        <v>33000</v>
      </c>
    </row>
    <row r="32" spans="1:12" ht="15" x14ac:dyDescent="0.25">
      <c r="A32" s="98" t="s">
        <v>110</v>
      </c>
      <c r="B32" s="321">
        <f>'Main Menu'!M25</f>
        <v>43088</v>
      </c>
      <c r="C32" s="326"/>
      <c r="D32" s="97"/>
      <c r="E32" s="97"/>
      <c r="F32" s="97"/>
      <c r="G32" s="97">
        <f t="shared" si="9"/>
        <v>0</v>
      </c>
      <c r="H32" s="354"/>
      <c r="I32" s="354"/>
      <c r="J32" s="354"/>
      <c r="K32" s="327">
        <f t="shared" si="10"/>
        <v>0</v>
      </c>
      <c r="L32" s="516">
        <v>16000</v>
      </c>
    </row>
    <row r="33" spans="1:12" ht="15" x14ac:dyDescent="0.25">
      <c r="A33" s="98" t="s">
        <v>111</v>
      </c>
      <c r="B33" s="321">
        <f>'Main Menu'!M26</f>
        <v>43089</v>
      </c>
      <c r="C33" s="326"/>
      <c r="D33" s="97"/>
      <c r="E33" s="112"/>
      <c r="F33" s="97"/>
      <c r="G33" s="97">
        <f t="shared" si="9"/>
        <v>0</v>
      </c>
      <c r="H33" s="354"/>
      <c r="I33" s="354"/>
      <c r="J33" s="354"/>
      <c r="K33" s="327">
        <f t="shared" si="10"/>
        <v>0</v>
      </c>
      <c r="L33" s="516"/>
    </row>
    <row r="34" spans="1:12" ht="15" x14ac:dyDescent="0.25">
      <c r="A34" s="98" t="s">
        <v>112</v>
      </c>
      <c r="B34" s="321">
        <f>'Main Menu'!M27</f>
        <v>43090</v>
      </c>
      <c r="C34" s="326"/>
      <c r="D34" s="97"/>
      <c r="E34" s="97"/>
      <c r="F34" s="97"/>
      <c r="G34" s="97">
        <f t="shared" si="9"/>
        <v>0</v>
      </c>
      <c r="H34" s="354"/>
      <c r="I34" s="354"/>
      <c r="J34" s="354"/>
      <c r="K34" s="327">
        <f t="shared" si="10"/>
        <v>0</v>
      </c>
      <c r="L34" s="516"/>
    </row>
    <row r="35" spans="1:12" ht="15" x14ac:dyDescent="0.25">
      <c r="A35" s="98" t="s">
        <v>113</v>
      </c>
      <c r="B35" s="321">
        <f>'Main Menu'!M28</f>
        <v>43091</v>
      </c>
      <c r="C35" s="326"/>
      <c r="D35" s="97"/>
      <c r="E35" s="97"/>
      <c r="F35" s="97"/>
      <c r="G35" s="97">
        <f t="shared" si="9"/>
        <v>0</v>
      </c>
      <c r="H35" s="354"/>
      <c r="I35" s="354"/>
      <c r="J35" s="354"/>
      <c r="K35" s="327">
        <f t="shared" si="10"/>
        <v>0</v>
      </c>
      <c r="L35" s="516"/>
    </row>
    <row r="36" spans="1:12" ht="15" x14ac:dyDescent="0.25">
      <c r="A36" s="98" t="s">
        <v>114</v>
      </c>
      <c r="B36" s="321">
        <f>'Main Menu'!M29</f>
        <v>43092</v>
      </c>
      <c r="C36" s="326"/>
      <c r="D36" s="97"/>
      <c r="E36" s="97"/>
      <c r="F36" s="97"/>
      <c r="G36" s="97">
        <f t="shared" si="9"/>
        <v>0</v>
      </c>
      <c r="H36" s="354"/>
      <c r="I36" s="354"/>
      <c r="J36" s="354"/>
      <c r="K36" s="327">
        <f t="shared" si="10"/>
        <v>0</v>
      </c>
      <c r="L36" s="516"/>
    </row>
    <row r="37" spans="1:12" ht="15" x14ac:dyDescent="0.25">
      <c r="A37" s="653" t="s">
        <v>105</v>
      </c>
      <c r="B37" s="654"/>
      <c r="C37" s="328"/>
      <c r="D37" s="169"/>
      <c r="E37" s="169"/>
      <c r="F37" s="169"/>
      <c r="G37" s="169">
        <f t="shared" ref="G37:K37" si="11">SUM(G30:G36)</f>
        <v>0</v>
      </c>
      <c r="H37" s="169"/>
      <c r="I37" s="169"/>
      <c r="J37" s="169"/>
      <c r="K37" s="329">
        <f t="shared" si="11"/>
        <v>0</v>
      </c>
      <c r="L37" s="516"/>
    </row>
    <row r="38" spans="1:12" ht="15" x14ac:dyDescent="0.25">
      <c r="A38" s="98" t="s">
        <v>115</v>
      </c>
      <c r="B38" s="321">
        <f>'Main Menu'!M30</f>
        <v>43093</v>
      </c>
      <c r="C38" s="326"/>
      <c r="D38" s="97"/>
      <c r="E38" s="97"/>
      <c r="F38" s="97"/>
      <c r="G38" s="97">
        <f t="shared" ref="G38:G44" si="12">C38+D38+E38+F38</f>
        <v>0</v>
      </c>
      <c r="H38" s="354"/>
      <c r="I38" s="354"/>
      <c r="J38" s="354"/>
      <c r="K38" s="327">
        <f>(C38*6000)+(D38*7000)+(E38*8000)+(F38*9000)+(H38*30000)+(I38*35000)+(J38*35000)</f>
        <v>0</v>
      </c>
      <c r="L38" s="516"/>
    </row>
    <row r="39" spans="1:12" ht="15" x14ac:dyDescent="0.25">
      <c r="A39" s="98" t="s">
        <v>109</v>
      </c>
      <c r="B39" s="321">
        <f>'Main Menu'!M31</f>
        <v>43094</v>
      </c>
      <c r="C39" s="326"/>
      <c r="D39" s="97"/>
      <c r="E39" s="97"/>
      <c r="F39" s="97"/>
      <c r="G39" s="97">
        <f t="shared" si="12"/>
        <v>0</v>
      </c>
      <c r="H39" s="354"/>
      <c r="I39" s="354"/>
      <c r="J39" s="354"/>
      <c r="K39" s="327">
        <f t="shared" ref="K39:K44" si="13">(C39*6000)+(D39*7000)+(E39*8000)+(F39*9000)+(H39*30000)+(I39*35000)+(J39*35000)</f>
        <v>0</v>
      </c>
      <c r="L39" s="516"/>
    </row>
    <row r="40" spans="1:12" ht="15" x14ac:dyDescent="0.25">
      <c r="A40" s="98" t="s">
        <v>110</v>
      </c>
      <c r="B40" s="321">
        <f>'Main Menu'!M32</f>
        <v>43095</v>
      </c>
      <c r="C40" s="326"/>
      <c r="D40" s="97"/>
      <c r="E40" s="97"/>
      <c r="F40" s="97"/>
      <c r="G40" s="97">
        <f t="shared" si="12"/>
        <v>0</v>
      </c>
      <c r="H40" s="354"/>
      <c r="I40" s="354"/>
      <c r="J40" s="354"/>
      <c r="K40" s="327">
        <f t="shared" si="13"/>
        <v>0</v>
      </c>
      <c r="L40" s="516"/>
    </row>
    <row r="41" spans="1:12" ht="15" x14ac:dyDescent="0.25">
      <c r="A41" s="98" t="s">
        <v>111</v>
      </c>
      <c r="B41" s="321">
        <f>'Main Menu'!M33</f>
        <v>43096</v>
      </c>
      <c r="C41" s="326"/>
      <c r="D41" s="97"/>
      <c r="E41" s="112"/>
      <c r="F41" s="97"/>
      <c r="G41" s="97">
        <f t="shared" si="12"/>
        <v>0</v>
      </c>
      <c r="H41" s="354"/>
      <c r="I41" s="354"/>
      <c r="J41" s="354"/>
      <c r="K41" s="327">
        <f t="shared" si="13"/>
        <v>0</v>
      </c>
      <c r="L41" s="516"/>
    </row>
    <row r="42" spans="1:12" ht="15" x14ac:dyDescent="0.25">
      <c r="A42" s="98" t="s">
        <v>112</v>
      </c>
      <c r="B42" s="321">
        <f>'Main Menu'!M34</f>
        <v>43097</v>
      </c>
      <c r="C42" s="326"/>
      <c r="D42" s="97"/>
      <c r="E42" s="97"/>
      <c r="F42" s="97"/>
      <c r="G42" s="97">
        <f t="shared" si="12"/>
        <v>0</v>
      </c>
      <c r="H42" s="354"/>
      <c r="I42" s="354"/>
      <c r="J42" s="354"/>
      <c r="K42" s="327">
        <f t="shared" si="13"/>
        <v>0</v>
      </c>
      <c r="L42" s="516"/>
    </row>
    <row r="43" spans="1:12" ht="15" x14ac:dyDescent="0.25">
      <c r="A43" s="98" t="s">
        <v>113</v>
      </c>
      <c r="B43" s="321">
        <f>'Main Menu'!M35</f>
        <v>43098</v>
      </c>
      <c r="C43" s="326"/>
      <c r="D43" s="97"/>
      <c r="E43" s="97"/>
      <c r="F43" s="97"/>
      <c r="G43" s="97">
        <f t="shared" si="12"/>
        <v>0</v>
      </c>
      <c r="H43" s="354"/>
      <c r="I43" s="354"/>
      <c r="J43" s="354"/>
      <c r="K43" s="327">
        <f t="shared" si="13"/>
        <v>0</v>
      </c>
      <c r="L43" s="516"/>
    </row>
    <row r="44" spans="1:12" ht="15" x14ac:dyDescent="0.25">
      <c r="A44" s="98" t="s">
        <v>114</v>
      </c>
      <c r="B44" s="321">
        <f>'Main Menu'!M36</f>
        <v>43099</v>
      </c>
      <c r="C44" s="326"/>
      <c r="D44" s="97"/>
      <c r="E44" s="97"/>
      <c r="F44" s="97"/>
      <c r="G44" s="97">
        <f t="shared" si="12"/>
        <v>0</v>
      </c>
      <c r="H44" s="354"/>
      <c r="I44" s="354"/>
      <c r="J44" s="354"/>
      <c r="K44" s="327">
        <f t="shared" si="13"/>
        <v>0</v>
      </c>
      <c r="L44" s="516"/>
    </row>
    <row r="45" spans="1:12" ht="15" x14ac:dyDescent="0.25">
      <c r="A45" s="653" t="s">
        <v>105</v>
      </c>
      <c r="B45" s="654"/>
      <c r="C45" s="328"/>
      <c r="D45" s="169"/>
      <c r="E45" s="169"/>
      <c r="F45" s="169"/>
      <c r="G45" s="169">
        <f t="shared" ref="G45:K45" si="14">SUM(G38:G44)</f>
        <v>0</v>
      </c>
      <c r="H45" s="169"/>
      <c r="I45" s="169"/>
      <c r="J45" s="169"/>
      <c r="K45" s="329">
        <f t="shared" si="14"/>
        <v>0</v>
      </c>
      <c r="L45" s="516"/>
    </row>
    <row r="46" spans="1:12" ht="15" x14ac:dyDescent="0.25">
      <c r="A46" s="98" t="s">
        <v>115</v>
      </c>
      <c r="B46" s="321">
        <f>'Main Menu'!M37</f>
        <v>43100</v>
      </c>
      <c r="C46" s="326"/>
      <c r="D46" s="97"/>
      <c r="E46" s="97"/>
      <c r="F46" s="97"/>
      <c r="G46" s="97">
        <f t="shared" ref="G46:G52" si="15">C46+D46+E46+F46</f>
        <v>0</v>
      </c>
      <c r="H46" s="354"/>
      <c r="I46" s="354"/>
      <c r="J46" s="354"/>
      <c r="K46" s="327">
        <f>(C46*6000)+(D46*7000)+(E46*8000)+(F46*9000)+(H46*30000)+(I46*35000)+(J46*35000)</f>
        <v>0</v>
      </c>
      <c r="L46" s="516"/>
    </row>
    <row r="47" spans="1:12" ht="15" x14ac:dyDescent="0.25">
      <c r="A47" s="98" t="s">
        <v>109</v>
      </c>
      <c r="B47" s="321" t="str">
        <f>'Main Menu'!M38</f>
        <v>-</v>
      </c>
      <c r="C47" s="326"/>
      <c r="D47" s="97"/>
      <c r="E47" s="97"/>
      <c r="F47" s="97"/>
      <c r="G47" s="97">
        <f t="shared" si="15"/>
        <v>0</v>
      </c>
      <c r="H47" s="354"/>
      <c r="I47" s="354"/>
      <c r="J47" s="354"/>
      <c r="K47" s="327">
        <f t="shared" ref="K47:K52" si="16">(C47*6000)+(D47*7000)+(E47*8000)+(F47*9000)+(H47*30000)+(I47*35000)+(J47*35000)</f>
        <v>0</v>
      </c>
      <c r="L47" s="516"/>
    </row>
    <row r="48" spans="1:12" ht="15" x14ac:dyDescent="0.25">
      <c r="A48" s="98" t="s">
        <v>110</v>
      </c>
      <c r="B48" s="321" t="str">
        <f>'Main Menu'!M39</f>
        <v>-</v>
      </c>
      <c r="C48" s="326"/>
      <c r="D48" s="97"/>
      <c r="E48" s="97"/>
      <c r="F48" s="97"/>
      <c r="G48" s="97">
        <f t="shared" si="15"/>
        <v>0</v>
      </c>
      <c r="H48" s="354"/>
      <c r="I48" s="354"/>
      <c r="J48" s="354"/>
      <c r="K48" s="327">
        <f t="shared" si="16"/>
        <v>0</v>
      </c>
      <c r="L48" s="516"/>
    </row>
    <row r="49" spans="1:12" ht="15" x14ac:dyDescent="0.25">
      <c r="A49" s="98" t="s">
        <v>111</v>
      </c>
      <c r="B49" s="321" t="str">
        <f>'Main Menu'!M40</f>
        <v>-</v>
      </c>
      <c r="C49" s="326"/>
      <c r="D49" s="97"/>
      <c r="E49" s="112"/>
      <c r="F49" s="97"/>
      <c r="G49" s="97">
        <f t="shared" si="15"/>
        <v>0</v>
      </c>
      <c r="H49" s="354"/>
      <c r="I49" s="354"/>
      <c r="J49" s="354"/>
      <c r="K49" s="327">
        <f t="shared" si="16"/>
        <v>0</v>
      </c>
      <c r="L49" s="516"/>
    </row>
    <row r="50" spans="1:12" ht="15" x14ac:dyDescent="0.25">
      <c r="A50" s="98" t="s">
        <v>112</v>
      </c>
      <c r="B50" s="321" t="str">
        <f>'Main Menu'!M41</f>
        <v>-</v>
      </c>
      <c r="C50" s="326"/>
      <c r="D50" s="97"/>
      <c r="E50" s="97"/>
      <c r="F50" s="97"/>
      <c r="G50" s="97">
        <f t="shared" si="15"/>
        <v>0</v>
      </c>
      <c r="H50" s="354"/>
      <c r="I50" s="354"/>
      <c r="J50" s="354"/>
      <c r="K50" s="327">
        <f t="shared" si="16"/>
        <v>0</v>
      </c>
      <c r="L50" s="516"/>
    </row>
    <row r="51" spans="1:12" ht="15" x14ac:dyDescent="0.25">
      <c r="A51" s="98" t="s">
        <v>113</v>
      </c>
      <c r="B51" s="321" t="str">
        <f>'Main Menu'!M42</f>
        <v>-</v>
      </c>
      <c r="C51" s="326"/>
      <c r="D51" s="97"/>
      <c r="E51" s="97"/>
      <c r="F51" s="97"/>
      <c r="G51" s="97">
        <f t="shared" si="15"/>
        <v>0</v>
      </c>
      <c r="H51" s="354"/>
      <c r="I51" s="354"/>
      <c r="J51" s="354"/>
      <c r="K51" s="327">
        <f t="shared" si="16"/>
        <v>0</v>
      </c>
      <c r="L51" s="516"/>
    </row>
    <row r="52" spans="1:12" ht="15" x14ac:dyDescent="0.25">
      <c r="A52" s="98" t="s">
        <v>114</v>
      </c>
      <c r="B52" s="321" t="str">
        <f>'Main Menu'!M43</f>
        <v>-</v>
      </c>
      <c r="C52" s="326"/>
      <c r="D52" s="97"/>
      <c r="E52" s="97"/>
      <c r="F52" s="97"/>
      <c r="G52" s="97">
        <f t="shared" si="15"/>
        <v>0</v>
      </c>
      <c r="H52" s="354"/>
      <c r="I52" s="354"/>
      <c r="J52" s="354"/>
      <c r="K52" s="327">
        <f t="shared" si="16"/>
        <v>0</v>
      </c>
      <c r="L52" s="516"/>
    </row>
    <row r="53" spans="1:12" ht="15.75" thickBot="1" x14ac:dyDescent="0.3">
      <c r="A53" s="653" t="s">
        <v>105</v>
      </c>
      <c r="B53" s="654"/>
      <c r="C53" s="328">
        <f t="shared" ref="C53:K53" si="17">SUM(C46:C52)</f>
        <v>0</v>
      </c>
      <c r="D53" s="169">
        <f t="shared" si="17"/>
        <v>0</v>
      </c>
      <c r="E53" s="169">
        <f t="shared" si="17"/>
        <v>0</v>
      </c>
      <c r="F53" s="169">
        <f t="shared" si="17"/>
        <v>0</v>
      </c>
      <c r="G53" s="169">
        <f t="shared" si="17"/>
        <v>0</v>
      </c>
      <c r="H53" s="169">
        <f t="shared" si="17"/>
        <v>0</v>
      </c>
      <c r="I53" s="169">
        <f t="shared" si="17"/>
        <v>0</v>
      </c>
      <c r="J53" s="169">
        <f t="shared" si="17"/>
        <v>0</v>
      </c>
      <c r="K53" s="329">
        <f t="shared" si="17"/>
        <v>0</v>
      </c>
      <c r="L53" s="510">
        <f>SUM(L6:L52)</f>
        <v>96000</v>
      </c>
    </row>
    <row r="54" spans="1:12" ht="15.75" thickBot="1" x14ac:dyDescent="0.3">
      <c r="A54" s="655" t="s">
        <v>116</v>
      </c>
      <c r="B54" s="656"/>
      <c r="C54" s="330">
        <f t="shared" ref="C54:K54" si="18">C13+C21+C29+C37+C45+C53</f>
        <v>0</v>
      </c>
      <c r="D54" s="171">
        <f t="shared" si="18"/>
        <v>0</v>
      </c>
      <c r="E54" s="171">
        <f t="shared" si="18"/>
        <v>0</v>
      </c>
      <c r="F54" s="171">
        <f t="shared" si="18"/>
        <v>0</v>
      </c>
      <c r="G54" s="171">
        <f t="shared" si="18"/>
        <v>0</v>
      </c>
      <c r="H54" s="171">
        <f t="shared" si="18"/>
        <v>0</v>
      </c>
      <c r="I54" s="171">
        <f t="shared" si="18"/>
        <v>0</v>
      </c>
      <c r="J54" s="171">
        <f t="shared" si="18"/>
        <v>0</v>
      </c>
      <c r="K54" s="173">
        <f t="shared" si="18"/>
        <v>0</v>
      </c>
    </row>
  </sheetData>
  <mergeCells count="15">
    <mergeCell ref="C3:K3"/>
    <mergeCell ref="A4:B5"/>
    <mergeCell ref="K4:K5"/>
    <mergeCell ref="A54:B54"/>
    <mergeCell ref="E4:F4"/>
    <mergeCell ref="C4:D4"/>
    <mergeCell ref="J4:J5"/>
    <mergeCell ref="I4:I5"/>
    <mergeCell ref="H4:H5"/>
    <mergeCell ref="A13:B13"/>
    <mergeCell ref="A21:B21"/>
    <mergeCell ref="A29:B29"/>
    <mergeCell ref="A37:B37"/>
    <mergeCell ref="A45:B45"/>
    <mergeCell ref="A53:B5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0000"/>
  </sheetPr>
  <dimension ref="A1:M36"/>
  <sheetViews>
    <sheetView showGridLines="0" workbookViewId="0">
      <selection activeCell="A9" sqref="A9:XFD9"/>
    </sheetView>
  </sheetViews>
  <sheetFormatPr defaultColWidth="0" defaultRowHeight="12.75" zeroHeight="1" x14ac:dyDescent="0.2"/>
  <cols>
    <col min="1" max="13" width="9.140625" customWidth="1"/>
    <col min="14" max="16384" width="9.140625" hidden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S112"/>
  <sheetViews>
    <sheetView showGridLines="0" zoomScaleNormal="100" workbookViewId="0">
      <pane ySplit="9" topLeftCell="A30" activePane="bottomLeft" state="frozen"/>
      <selection activeCell="A9" sqref="A9:XFD9"/>
      <selection pane="bottomLeft" activeCell="C40" sqref="C40"/>
    </sheetView>
  </sheetViews>
  <sheetFormatPr defaultColWidth="8" defaultRowHeight="11.25" x14ac:dyDescent="0.2"/>
  <cols>
    <col min="1" max="1" width="5.85546875" style="1" customWidth="1"/>
    <col min="2" max="2" width="8.7109375" style="4" bestFit="1" customWidth="1"/>
    <col min="3" max="3" width="24.42578125" style="1" customWidth="1"/>
    <col min="4" max="4" width="7.85546875" style="5" customWidth="1"/>
    <col min="5" max="5" width="25.140625" style="1" bestFit="1" customWidth="1"/>
    <col min="6" max="6" width="11" style="6" customWidth="1"/>
    <col min="7" max="7" width="7.85546875" style="5" customWidth="1"/>
    <col min="8" max="8" width="25.7109375" style="1" customWidth="1"/>
    <col min="9" max="9" width="11.140625" style="6" customWidth="1"/>
    <col min="10" max="10" width="4.7109375" style="520" customWidth="1"/>
    <col min="11" max="12" width="8.7109375" style="41" bestFit="1" customWidth="1"/>
    <col min="13" max="13" width="8" style="1"/>
    <col min="14" max="14" width="10.42578125" style="1" bestFit="1" customWidth="1"/>
    <col min="15" max="15" width="9.140625" style="1" customWidth="1"/>
    <col min="16" max="16" width="8" style="1"/>
    <col min="17" max="17" width="10.140625" style="1" customWidth="1"/>
    <col min="18" max="16384" width="8" style="1"/>
  </cols>
  <sheetData>
    <row r="1" spans="2:19" ht="20.25" customHeight="1" x14ac:dyDescent="0.3">
      <c r="B1" s="683" t="str">
        <f>'Neraca Awal'!A1</f>
        <v>KLAUSA CAKE</v>
      </c>
      <c r="C1" s="683"/>
      <c r="D1" s="683"/>
      <c r="E1" s="683"/>
      <c r="F1" s="683"/>
      <c r="G1" s="683"/>
      <c r="H1" s="683"/>
      <c r="I1" s="683"/>
    </row>
    <row r="2" spans="2:19" ht="12.75" x14ac:dyDescent="0.2">
      <c r="B2" s="684" t="s">
        <v>4</v>
      </c>
      <c r="C2" s="684"/>
      <c r="D2" s="684"/>
      <c r="E2" s="684"/>
      <c r="F2" s="684"/>
      <c r="G2" s="684"/>
      <c r="H2" s="684"/>
      <c r="I2" s="684"/>
    </row>
    <row r="3" spans="2:19" x14ac:dyDescent="0.2">
      <c r="B3" s="685" t="str">
        <f>'Main Menu'!I14</f>
        <v>1 Desember 2017</v>
      </c>
      <c r="C3" s="685"/>
      <c r="D3" s="685"/>
      <c r="E3" s="685"/>
      <c r="F3" s="685"/>
      <c r="G3" s="685"/>
      <c r="H3" s="685"/>
      <c r="I3" s="685"/>
    </row>
    <row r="4" spans="2:19" x14ac:dyDescent="0.2">
      <c r="B4" s="685" t="str">
        <f>'Main Menu'!I15</f>
        <v>31 Desember 2017</v>
      </c>
      <c r="C4" s="685"/>
      <c r="D4" s="685"/>
      <c r="E4" s="685"/>
      <c r="F4" s="685"/>
      <c r="G4" s="685"/>
      <c r="H4" s="685"/>
      <c r="I4" s="685"/>
    </row>
    <row r="5" spans="2:19" ht="4.5" customHeight="1" x14ac:dyDescent="0.2">
      <c r="B5" s="2"/>
      <c r="C5" s="2"/>
      <c r="D5" s="2"/>
      <c r="E5" s="2"/>
      <c r="F5" s="2"/>
      <c r="G5" s="2"/>
      <c r="H5" s="2"/>
      <c r="I5" s="2"/>
    </row>
    <row r="6" spans="2:19" x14ac:dyDescent="0.2">
      <c r="B6" s="1"/>
      <c r="F6" s="3" t="s">
        <v>5</v>
      </c>
      <c r="G6" s="686" t="str">
        <f>IF(F58=I58,"PENCATATAN TRANSAKSI DITERIMA","SALDO TIDAK IMBANG, SILAKAN CEK LAGI")</f>
        <v>PENCATATAN TRANSAKSI DITERIMA</v>
      </c>
      <c r="H6" s="686"/>
      <c r="I6" s="686"/>
    </row>
    <row r="7" spans="2:19" ht="3.75" customHeight="1" x14ac:dyDescent="0.2"/>
    <row r="8" spans="2:19" x14ac:dyDescent="0.2">
      <c r="B8" s="689" t="s">
        <v>6</v>
      </c>
      <c r="C8" s="688" t="s">
        <v>7</v>
      </c>
      <c r="D8" s="688" t="s">
        <v>0</v>
      </c>
      <c r="E8" s="688" t="s">
        <v>1</v>
      </c>
      <c r="F8" s="687" t="s">
        <v>8</v>
      </c>
      <c r="G8" s="688" t="s">
        <v>0</v>
      </c>
      <c r="H8" s="688" t="s">
        <v>1</v>
      </c>
      <c r="I8" s="687" t="s">
        <v>9</v>
      </c>
    </row>
    <row r="9" spans="2:19" x14ac:dyDescent="0.2">
      <c r="B9" s="689"/>
      <c r="C9" s="688"/>
      <c r="D9" s="688"/>
      <c r="E9" s="688"/>
      <c r="F9" s="687"/>
      <c r="G9" s="688"/>
      <c r="H9" s="688"/>
      <c r="I9" s="687"/>
      <c r="K9" s="41" t="s">
        <v>502</v>
      </c>
      <c r="L9" s="41" t="s">
        <v>503</v>
      </c>
      <c r="M9" s="1" t="s">
        <v>106</v>
      </c>
      <c r="N9" s="1" t="s">
        <v>247</v>
      </c>
      <c r="O9" s="1" t="s">
        <v>560</v>
      </c>
    </row>
    <row r="10" spans="2:19" x14ac:dyDescent="0.2">
      <c r="B10" s="42"/>
      <c r="C10" s="47" t="s">
        <v>580</v>
      </c>
      <c r="D10" s="104" t="s">
        <v>183</v>
      </c>
      <c r="E10" s="44" t="str">
        <f t="shared" ref="E10:E41" si="0">IF(D10="","",VLOOKUP(D10,NamaAkun,2))</f>
        <v>Kas Kecil</v>
      </c>
      <c r="F10" s="45">
        <v>250000</v>
      </c>
      <c r="G10" s="43" t="s">
        <v>32</v>
      </c>
      <c r="H10" s="44" t="str">
        <f t="shared" ref="H10:H41" si="1">IF(G10="","",VLOOKUP(G10,NamaAkun,2))</f>
        <v>Piutang</v>
      </c>
      <c r="I10" s="342">
        <f t="shared" ref="I10:I41" si="2">IF(F10="","",F10)</f>
        <v>250000</v>
      </c>
      <c r="J10" s="1">
        <v>1</v>
      </c>
      <c r="K10" s="41">
        <v>5000</v>
      </c>
      <c r="L10" s="41">
        <v>20000</v>
      </c>
      <c r="M10" s="41">
        <v>35000</v>
      </c>
      <c r="N10" s="41">
        <v>215000</v>
      </c>
      <c r="O10" s="41"/>
    </row>
    <row r="11" spans="2:19" x14ac:dyDescent="0.2">
      <c r="B11" s="42"/>
      <c r="C11" s="47" t="s">
        <v>556</v>
      </c>
      <c r="D11" s="104" t="s">
        <v>453</v>
      </c>
      <c r="E11" s="44" t="str">
        <f t="shared" si="0"/>
        <v>BBL Klausa</v>
      </c>
      <c r="F11" s="45">
        <v>6500000</v>
      </c>
      <c r="G11" s="43" t="s">
        <v>183</v>
      </c>
      <c r="H11" s="44" t="str">
        <f t="shared" si="1"/>
        <v>Kas Kecil</v>
      </c>
      <c r="I11" s="342">
        <f t="shared" si="2"/>
        <v>6500000</v>
      </c>
      <c r="J11" s="1">
        <v>2</v>
      </c>
      <c r="K11" s="41">
        <v>16000</v>
      </c>
      <c r="L11" s="41">
        <v>30000</v>
      </c>
      <c r="M11" s="41">
        <v>22000</v>
      </c>
      <c r="N11" s="41">
        <v>230000</v>
      </c>
      <c r="O11" s="41"/>
    </row>
    <row r="12" spans="2:19" x14ac:dyDescent="0.2">
      <c r="B12" s="42"/>
      <c r="C12" s="47" t="s">
        <v>557</v>
      </c>
      <c r="D12" s="104" t="s">
        <v>453</v>
      </c>
      <c r="E12" s="44" t="str">
        <f t="shared" si="0"/>
        <v>BBL Klausa</v>
      </c>
      <c r="F12" s="45">
        <v>7650000</v>
      </c>
      <c r="G12" s="43" t="s">
        <v>183</v>
      </c>
      <c r="H12" s="44" t="str">
        <f t="shared" si="1"/>
        <v>Kas Kecil</v>
      </c>
      <c r="I12" s="342">
        <f t="shared" si="2"/>
        <v>7650000</v>
      </c>
      <c r="J12" s="1">
        <v>3</v>
      </c>
      <c r="K12" s="41">
        <v>10000</v>
      </c>
      <c r="M12" s="41">
        <v>95000</v>
      </c>
      <c r="N12" s="41">
        <v>615000</v>
      </c>
      <c r="O12" s="41"/>
      <c r="Q12" s="41"/>
      <c r="R12" s="41"/>
      <c r="S12" s="41"/>
    </row>
    <row r="13" spans="2:19" x14ac:dyDescent="0.2">
      <c r="B13" s="42"/>
      <c r="C13" s="44" t="s">
        <v>558</v>
      </c>
      <c r="D13" s="43" t="s">
        <v>453</v>
      </c>
      <c r="E13" s="44" t="str">
        <f t="shared" si="0"/>
        <v>BBL Klausa</v>
      </c>
      <c r="F13" s="45">
        <v>500000</v>
      </c>
      <c r="G13" s="43" t="s">
        <v>183</v>
      </c>
      <c r="H13" s="44" t="str">
        <f t="shared" si="1"/>
        <v>Kas Kecil</v>
      </c>
      <c r="I13" s="342">
        <f t="shared" si="2"/>
        <v>500000</v>
      </c>
      <c r="J13" s="1">
        <v>4</v>
      </c>
      <c r="K13" s="41">
        <v>5000</v>
      </c>
      <c r="M13" s="41">
        <v>30000</v>
      </c>
      <c r="N13" s="41">
        <v>255000</v>
      </c>
      <c r="O13" s="41"/>
      <c r="Q13" s="41"/>
      <c r="R13" s="41"/>
      <c r="S13" s="41"/>
    </row>
    <row r="14" spans="2:19" x14ac:dyDescent="0.2">
      <c r="B14" s="42"/>
      <c r="C14" s="47" t="s">
        <v>577</v>
      </c>
      <c r="D14" s="43" t="s">
        <v>37</v>
      </c>
      <c r="E14" s="44" t="str">
        <f t="shared" si="0"/>
        <v>Peralatan Usaha</v>
      </c>
      <c r="F14" s="45">
        <v>300000</v>
      </c>
      <c r="G14" s="43" t="s">
        <v>183</v>
      </c>
      <c r="H14" s="44" t="str">
        <f t="shared" si="1"/>
        <v>Kas Kecil</v>
      </c>
      <c r="I14" s="342">
        <f t="shared" si="2"/>
        <v>300000</v>
      </c>
      <c r="J14" s="1">
        <v>5</v>
      </c>
      <c r="K14" s="41">
        <v>16000</v>
      </c>
      <c r="M14" s="41">
        <v>10000</v>
      </c>
      <c r="N14" s="41">
        <v>255000</v>
      </c>
      <c r="O14" s="41"/>
      <c r="Q14" s="41"/>
      <c r="R14" s="41"/>
      <c r="S14" s="41"/>
    </row>
    <row r="15" spans="2:19" x14ac:dyDescent="0.2">
      <c r="B15" s="42"/>
      <c r="C15" s="47" t="s">
        <v>594</v>
      </c>
      <c r="D15" s="43" t="s">
        <v>453</v>
      </c>
      <c r="E15" s="44" t="str">
        <f t="shared" si="0"/>
        <v>BBL Klausa</v>
      </c>
      <c r="F15" s="45">
        <v>345000</v>
      </c>
      <c r="G15" s="43" t="s">
        <v>183</v>
      </c>
      <c r="H15" s="44" t="str">
        <f t="shared" si="1"/>
        <v>Kas Kecil</v>
      </c>
      <c r="I15" s="342">
        <f t="shared" si="2"/>
        <v>345000</v>
      </c>
      <c r="J15" s="1">
        <v>6</v>
      </c>
      <c r="K15" s="41">
        <v>6000</v>
      </c>
      <c r="M15" s="41">
        <v>175000</v>
      </c>
      <c r="N15" s="41">
        <v>415000</v>
      </c>
      <c r="O15" s="41"/>
      <c r="Q15" s="41"/>
      <c r="R15" s="41"/>
      <c r="S15" s="41"/>
    </row>
    <row r="16" spans="2:19" x14ac:dyDescent="0.2">
      <c r="B16" s="42"/>
      <c r="C16" s="44" t="s">
        <v>578</v>
      </c>
      <c r="D16" s="43" t="s">
        <v>52</v>
      </c>
      <c r="E16" s="44" t="str">
        <f t="shared" si="0"/>
        <v>Harga Produk Titipan</v>
      </c>
      <c r="F16" s="45">
        <v>2509400</v>
      </c>
      <c r="G16" s="43" t="s">
        <v>183</v>
      </c>
      <c r="H16" s="44" t="str">
        <f t="shared" si="1"/>
        <v>Kas Kecil</v>
      </c>
      <c r="I16" s="342">
        <f t="shared" si="2"/>
        <v>2509400</v>
      </c>
      <c r="J16" s="1">
        <v>7</v>
      </c>
      <c r="K16" s="41">
        <v>5000</v>
      </c>
      <c r="M16" s="41"/>
      <c r="N16" s="41">
        <v>200000</v>
      </c>
      <c r="O16" s="41"/>
      <c r="Q16" s="41"/>
      <c r="R16" s="41"/>
      <c r="S16" s="41"/>
    </row>
    <row r="17" spans="2:19" x14ac:dyDescent="0.2">
      <c r="B17" s="42"/>
      <c r="C17" s="47" t="s">
        <v>579</v>
      </c>
      <c r="D17" s="43" t="s">
        <v>52</v>
      </c>
      <c r="E17" s="44" t="str">
        <f t="shared" si="0"/>
        <v>Harga Produk Titipan</v>
      </c>
      <c r="F17" s="45">
        <v>2644000</v>
      </c>
      <c r="G17" s="43" t="s">
        <v>183</v>
      </c>
      <c r="H17" s="44" t="str">
        <f t="shared" si="1"/>
        <v>Kas Kecil</v>
      </c>
      <c r="I17" s="342">
        <f t="shared" si="2"/>
        <v>2644000</v>
      </c>
      <c r="J17" s="1">
        <v>8</v>
      </c>
      <c r="K17" s="41">
        <v>5000</v>
      </c>
      <c r="M17" s="41"/>
      <c r="N17" s="41">
        <v>255000</v>
      </c>
      <c r="O17" s="41"/>
      <c r="Q17" s="41"/>
      <c r="R17" s="41"/>
      <c r="S17" s="41"/>
    </row>
    <row r="18" spans="2:19" x14ac:dyDescent="0.2">
      <c r="B18" s="42">
        <v>43087</v>
      </c>
      <c r="C18" s="47" t="s">
        <v>595</v>
      </c>
      <c r="D18" s="43" t="s">
        <v>453</v>
      </c>
      <c r="E18" s="44" t="str">
        <f t="shared" si="0"/>
        <v>BBL Klausa</v>
      </c>
      <c r="F18" s="45">
        <v>110000</v>
      </c>
      <c r="G18" s="43" t="s">
        <v>183</v>
      </c>
      <c r="H18" s="44" t="str">
        <f t="shared" si="1"/>
        <v>Kas Kecil</v>
      </c>
      <c r="I18" s="342">
        <f t="shared" si="2"/>
        <v>110000</v>
      </c>
      <c r="J18" s="1">
        <v>9</v>
      </c>
      <c r="K18" s="41">
        <v>10000</v>
      </c>
      <c r="M18" s="41"/>
      <c r="N18" s="41">
        <v>415000</v>
      </c>
      <c r="O18" s="41"/>
      <c r="Q18" s="41"/>
      <c r="R18" s="41"/>
      <c r="S18" s="41"/>
    </row>
    <row r="19" spans="2:19" x14ac:dyDescent="0.2">
      <c r="B19" s="42"/>
      <c r="C19" s="47" t="s">
        <v>596</v>
      </c>
      <c r="D19" s="43" t="s">
        <v>39</v>
      </c>
      <c r="E19" s="44" t="str">
        <f t="shared" si="0"/>
        <v>Perlengkapan</v>
      </c>
      <c r="F19" s="45">
        <v>100000</v>
      </c>
      <c r="G19" s="43" t="s">
        <v>183</v>
      </c>
      <c r="H19" s="44" t="str">
        <f t="shared" si="1"/>
        <v>Kas Kecil</v>
      </c>
      <c r="I19" s="342">
        <f t="shared" si="2"/>
        <v>100000</v>
      </c>
      <c r="J19" s="1">
        <v>10</v>
      </c>
      <c r="K19" s="41">
        <v>5000</v>
      </c>
      <c r="M19" s="41"/>
      <c r="N19" s="41">
        <v>215000</v>
      </c>
      <c r="O19" s="41"/>
      <c r="Q19" s="41"/>
      <c r="R19" s="41"/>
      <c r="S19" s="41"/>
    </row>
    <row r="20" spans="2:19" x14ac:dyDescent="0.2">
      <c r="B20" s="42"/>
      <c r="C20" s="47" t="s">
        <v>597</v>
      </c>
      <c r="D20" s="43" t="s">
        <v>196</v>
      </c>
      <c r="E20" s="44" t="str">
        <f t="shared" si="0"/>
        <v>Pemasaran</v>
      </c>
      <c r="F20" s="45">
        <v>400000</v>
      </c>
      <c r="G20" s="43" t="s">
        <v>183</v>
      </c>
      <c r="H20" s="44" t="str">
        <f t="shared" si="1"/>
        <v>Kas Kecil</v>
      </c>
      <c r="I20" s="342">
        <f t="shared" si="2"/>
        <v>400000</v>
      </c>
      <c r="J20" s="1">
        <v>11</v>
      </c>
      <c r="K20" s="41">
        <v>4000</v>
      </c>
      <c r="M20" s="41"/>
      <c r="N20" s="41">
        <v>255000</v>
      </c>
      <c r="O20" s="41"/>
      <c r="Q20" s="41"/>
      <c r="R20" s="41"/>
      <c r="S20" s="41"/>
    </row>
    <row r="21" spans="2:19" x14ac:dyDescent="0.2">
      <c r="B21" s="42"/>
      <c r="C21" s="47" t="s">
        <v>247</v>
      </c>
      <c r="D21" s="43" t="s">
        <v>453</v>
      </c>
      <c r="E21" s="44" t="str">
        <f t="shared" si="0"/>
        <v>BBL Klausa</v>
      </c>
      <c r="F21" s="45">
        <v>175000</v>
      </c>
      <c r="G21" s="43" t="s">
        <v>183</v>
      </c>
      <c r="H21" s="44" t="str">
        <f t="shared" si="1"/>
        <v>Kas Kecil</v>
      </c>
      <c r="I21" s="342">
        <f t="shared" si="2"/>
        <v>175000</v>
      </c>
      <c r="J21" s="1">
        <v>12</v>
      </c>
      <c r="K21" s="41">
        <v>5000</v>
      </c>
      <c r="M21" s="41"/>
      <c r="N21" s="41">
        <v>215000</v>
      </c>
      <c r="O21" s="41"/>
      <c r="Q21" s="41"/>
      <c r="R21" s="41"/>
      <c r="S21" s="41"/>
    </row>
    <row r="22" spans="2:19" x14ac:dyDescent="0.2">
      <c r="B22" s="42"/>
      <c r="C22" s="47" t="s">
        <v>598</v>
      </c>
      <c r="D22" s="43" t="s">
        <v>52</v>
      </c>
      <c r="E22" s="44" t="str">
        <f t="shared" si="0"/>
        <v>Harga Produk Titipan</v>
      </c>
      <c r="F22" s="45">
        <v>460000</v>
      </c>
      <c r="G22" s="43" t="s">
        <v>183</v>
      </c>
      <c r="H22" s="44" t="str">
        <f t="shared" si="1"/>
        <v>Kas Kecil</v>
      </c>
      <c r="I22" s="342">
        <f t="shared" si="2"/>
        <v>460000</v>
      </c>
      <c r="J22" s="1">
        <v>13</v>
      </c>
      <c r="M22" s="41"/>
      <c r="N22" s="41">
        <v>215000</v>
      </c>
      <c r="O22" s="41"/>
      <c r="Q22" s="41"/>
      <c r="R22" s="41"/>
      <c r="S22" s="41"/>
    </row>
    <row r="23" spans="2:19" x14ac:dyDescent="0.2">
      <c r="B23" s="42"/>
      <c r="C23" s="47" t="s">
        <v>86</v>
      </c>
      <c r="D23" s="43" t="s">
        <v>195</v>
      </c>
      <c r="E23" s="44" t="str">
        <f t="shared" si="0"/>
        <v>HRD</v>
      </c>
      <c r="F23" s="45">
        <v>40000</v>
      </c>
      <c r="G23" s="43" t="s">
        <v>183</v>
      </c>
      <c r="H23" s="44" t="str">
        <f t="shared" si="1"/>
        <v>Kas Kecil</v>
      </c>
      <c r="I23" s="342">
        <f t="shared" si="2"/>
        <v>40000</v>
      </c>
      <c r="J23" s="1">
        <v>14</v>
      </c>
      <c r="K23" s="41">
        <v>5000</v>
      </c>
      <c r="M23" s="41"/>
      <c r="N23" s="41">
        <v>215000</v>
      </c>
      <c r="O23" s="41"/>
      <c r="Q23" s="41"/>
      <c r="R23" s="41"/>
      <c r="S23" s="41"/>
    </row>
    <row r="24" spans="2:19" x14ac:dyDescent="0.2">
      <c r="B24" s="42"/>
      <c r="C24" s="47" t="s">
        <v>599</v>
      </c>
      <c r="D24" s="43" t="s">
        <v>468</v>
      </c>
      <c r="E24" s="44" t="str">
        <f t="shared" si="0"/>
        <v>Pemeliharaan</v>
      </c>
      <c r="F24" s="45">
        <v>210000</v>
      </c>
      <c r="G24" s="43" t="s">
        <v>183</v>
      </c>
      <c r="H24" s="44" t="str">
        <f t="shared" si="1"/>
        <v>Kas Kecil</v>
      </c>
      <c r="I24" s="342">
        <f t="shared" si="2"/>
        <v>210000</v>
      </c>
      <c r="J24" s="1">
        <v>15</v>
      </c>
      <c r="K24" s="41">
        <v>5000</v>
      </c>
      <c r="M24" s="41"/>
      <c r="N24" s="41">
        <v>215000</v>
      </c>
      <c r="O24" s="41"/>
      <c r="Q24" s="41"/>
      <c r="R24" s="41"/>
      <c r="S24" s="41"/>
    </row>
    <row r="25" spans="2:19" x14ac:dyDescent="0.2">
      <c r="B25" s="42"/>
      <c r="C25" s="47" t="s">
        <v>600</v>
      </c>
      <c r="D25" s="43" t="s">
        <v>197</v>
      </c>
      <c r="E25" s="44" t="str">
        <f t="shared" si="0"/>
        <v>Operasional</v>
      </c>
      <c r="F25" s="45">
        <v>400000</v>
      </c>
      <c r="G25" s="43" t="s">
        <v>183</v>
      </c>
      <c r="H25" s="44" t="str">
        <f t="shared" si="1"/>
        <v>Kas Kecil</v>
      </c>
      <c r="I25" s="342">
        <f t="shared" si="2"/>
        <v>400000</v>
      </c>
      <c r="J25" s="1">
        <v>16</v>
      </c>
      <c r="K25" s="41">
        <v>10000</v>
      </c>
      <c r="M25" s="41"/>
      <c r="N25" s="41">
        <v>215000</v>
      </c>
      <c r="O25" s="41"/>
      <c r="Q25" s="41"/>
      <c r="R25" s="41"/>
      <c r="S25" s="41"/>
    </row>
    <row r="26" spans="2:19" x14ac:dyDescent="0.2">
      <c r="B26" s="42"/>
      <c r="C26" s="47" t="s">
        <v>601</v>
      </c>
      <c r="D26" s="43" t="s">
        <v>196</v>
      </c>
      <c r="E26" s="44" t="str">
        <f t="shared" si="0"/>
        <v>Pemasaran</v>
      </c>
      <c r="F26" s="45">
        <v>500000</v>
      </c>
      <c r="G26" s="43" t="s">
        <v>183</v>
      </c>
      <c r="H26" s="44" t="str">
        <f t="shared" si="1"/>
        <v>Kas Kecil</v>
      </c>
      <c r="I26" s="342">
        <f t="shared" si="2"/>
        <v>500000</v>
      </c>
      <c r="J26" s="1">
        <v>17</v>
      </c>
      <c r="M26" s="41"/>
      <c r="N26" s="41">
        <v>215000</v>
      </c>
      <c r="O26" s="41"/>
      <c r="Q26" s="41"/>
      <c r="R26" s="41"/>
      <c r="S26" s="41"/>
    </row>
    <row r="27" spans="2:19" x14ac:dyDescent="0.2">
      <c r="B27" s="42"/>
      <c r="C27" s="47" t="s">
        <v>604</v>
      </c>
      <c r="D27" s="43" t="s">
        <v>195</v>
      </c>
      <c r="E27" s="44" t="str">
        <f t="shared" si="0"/>
        <v>HRD</v>
      </c>
      <c r="F27" s="45">
        <f>105000+88000+70000+35000+50000+15000</f>
        <v>363000</v>
      </c>
      <c r="G27" s="43" t="s">
        <v>183</v>
      </c>
      <c r="H27" s="44" t="str">
        <f t="shared" si="1"/>
        <v>Kas Kecil</v>
      </c>
      <c r="I27" s="342">
        <f t="shared" si="2"/>
        <v>363000</v>
      </c>
      <c r="J27" s="1">
        <v>18</v>
      </c>
      <c r="M27" s="41"/>
      <c r="N27" s="41">
        <v>215000</v>
      </c>
      <c r="O27" s="41"/>
      <c r="Q27" s="41"/>
      <c r="R27" s="41"/>
      <c r="S27" s="41"/>
    </row>
    <row r="28" spans="2:19" x14ac:dyDescent="0.2">
      <c r="B28" s="42"/>
      <c r="C28" s="47" t="s">
        <v>602</v>
      </c>
      <c r="D28" s="43" t="s">
        <v>52</v>
      </c>
      <c r="E28" s="44" t="str">
        <f t="shared" si="0"/>
        <v>Harga Produk Titipan</v>
      </c>
      <c r="F28" s="45">
        <v>260000</v>
      </c>
      <c r="G28" s="43" t="s">
        <v>183</v>
      </c>
      <c r="H28" s="44" t="str">
        <f t="shared" si="1"/>
        <v>Kas Kecil</v>
      </c>
      <c r="I28" s="342">
        <f t="shared" si="2"/>
        <v>260000</v>
      </c>
      <c r="J28" s="1">
        <v>19</v>
      </c>
      <c r="K28" s="41">
        <v>5000</v>
      </c>
      <c r="M28" s="41"/>
      <c r="N28" s="41">
        <v>155000</v>
      </c>
      <c r="O28" s="41"/>
      <c r="Q28" s="41"/>
      <c r="R28" s="41"/>
      <c r="S28" s="41"/>
    </row>
    <row r="29" spans="2:19" x14ac:dyDescent="0.2">
      <c r="B29" s="42"/>
      <c r="C29" s="44" t="s">
        <v>603</v>
      </c>
      <c r="D29" s="43" t="s">
        <v>197</v>
      </c>
      <c r="E29" s="44" t="str">
        <f t="shared" si="0"/>
        <v>Operasional</v>
      </c>
      <c r="F29" s="45">
        <v>40000</v>
      </c>
      <c r="G29" s="43" t="s">
        <v>183</v>
      </c>
      <c r="H29" s="44" t="str">
        <f t="shared" si="1"/>
        <v>Kas Kecil</v>
      </c>
      <c r="I29" s="342">
        <f t="shared" si="2"/>
        <v>40000</v>
      </c>
      <c r="J29" s="1">
        <v>20</v>
      </c>
      <c r="K29" s="41">
        <v>12000</v>
      </c>
      <c r="M29" s="41"/>
      <c r="N29" s="41"/>
      <c r="O29" s="41"/>
      <c r="Q29" s="41"/>
      <c r="R29" s="41"/>
      <c r="S29" s="41"/>
    </row>
    <row r="30" spans="2:19" x14ac:dyDescent="0.2">
      <c r="B30" s="42"/>
      <c r="C30" s="47" t="s">
        <v>605</v>
      </c>
      <c r="D30" s="43" t="s">
        <v>37</v>
      </c>
      <c r="E30" s="44" t="str">
        <f t="shared" si="0"/>
        <v>Peralatan Usaha</v>
      </c>
      <c r="F30" s="45">
        <v>190000</v>
      </c>
      <c r="G30" s="43" t="s">
        <v>183</v>
      </c>
      <c r="H30" s="44" t="str">
        <f t="shared" si="1"/>
        <v>Kas Kecil</v>
      </c>
      <c r="I30" s="342">
        <f t="shared" si="2"/>
        <v>190000</v>
      </c>
      <c r="J30" s="1">
        <v>21</v>
      </c>
      <c r="K30" s="41">
        <v>16000</v>
      </c>
      <c r="M30" s="41"/>
      <c r="N30" s="41"/>
      <c r="O30" s="41"/>
      <c r="Q30" s="41"/>
      <c r="R30" s="41"/>
      <c r="S30" s="41"/>
    </row>
    <row r="31" spans="2:19" x14ac:dyDescent="0.2">
      <c r="B31" s="42"/>
      <c r="C31" s="47" t="s">
        <v>182</v>
      </c>
      <c r="D31" s="43" t="s">
        <v>468</v>
      </c>
      <c r="E31" s="44" t="str">
        <f t="shared" si="0"/>
        <v>Pemeliharaan</v>
      </c>
      <c r="F31" s="45">
        <v>20000</v>
      </c>
      <c r="G31" s="43" t="s">
        <v>183</v>
      </c>
      <c r="H31" s="44" t="str">
        <f t="shared" si="1"/>
        <v>Kas Kecil</v>
      </c>
      <c r="I31" s="342">
        <f t="shared" si="2"/>
        <v>20000</v>
      </c>
      <c r="J31" s="1">
        <v>22</v>
      </c>
      <c r="K31" s="41">
        <v>5000</v>
      </c>
      <c r="M31" s="41"/>
      <c r="N31" s="41"/>
      <c r="O31" s="41"/>
      <c r="Q31" s="41"/>
      <c r="R31" s="41"/>
      <c r="S31" s="41"/>
    </row>
    <row r="32" spans="2:19" x14ac:dyDescent="0.2">
      <c r="B32" s="42"/>
      <c r="C32" s="44" t="s">
        <v>606</v>
      </c>
      <c r="D32" s="43" t="s">
        <v>52</v>
      </c>
      <c r="E32" s="44" t="str">
        <f t="shared" si="0"/>
        <v>Harga Produk Titipan</v>
      </c>
      <c r="F32" s="45">
        <v>1834000</v>
      </c>
      <c r="G32" s="43" t="s">
        <v>183</v>
      </c>
      <c r="H32" s="44" t="str">
        <f t="shared" si="1"/>
        <v>Kas Kecil</v>
      </c>
      <c r="I32" s="342">
        <f t="shared" si="2"/>
        <v>1834000</v>
      </c>
      <c r="J32" s="1">
        <v>23</v>
      </c>
      <c r="M32" s="41"/>
      <c r="N32" s="41"/>
      <c r="O32" s="41"/>
      <c r="Q32" s="41"/>
      <c r="R32" s="41"/>
      <c r="S32" s="41"/>
    </row>
    <row r="33" spans="2:19" x14ac:dyDescent="0.2">
      <c r="B33" s="42"/>
      <c r="C33" s="47" t="s">
        <v>613</v>
      </c>
      <c r="D33" s="43" t="s">
        <v>37</v>
      </c>
      <c r="E33" s="44" t="str">
        <f t="shared" si="0"/>
        <v>Peralatan Usaha</v>
      </c>
      <c r="F33" s="45">
        <v>100000</v>
      </c>
      <c r="G33" s="43" t="s">
        <v>183</v>
      </c>
      <c r="H33" s="44" t="str">
        <f t="shared" si="1"/>
        <v>Kas Kecil</v>
      </c>
      <c r="I33" s="342">
        <f t="shared" si="2"/>
        <v>100000</v>
      </c>
      <c r="J33" s="1">
        <v>24</v>
      </c>
      <c r="M33" s="41"/>
      <c r="N33" s="41"/>
      <c r="O33" s="41"/>
      <c r="Q33" s="41"/>
      <c r="R33" s="41"/>
      <c r="S33" s="41"/>
    </row>
    <row r="34" spans="2:19" x14ac:dyDescent="0.2">
      <c r="B34" s="42"/>
      <c r="C34" s="47" t="s">
        <v>614</v>
      </c>
      <c r="D34" s="43" t="s">
        <v>310</v>
      </c>
      <c r="E34" s="44" t="str">
        <f t="shared" si="0"/>
        <v>Operasional Produksi</v>
      </c>
      <c r="F34" s="45">
        <v>103000</v>
      </c>
      <c r="G34" s="104" t="s">
        <v>183</v>
      </c>
      <c r="H34" s="44" t="str">
        <f t="shared" si="1"/>
        <v>Kas Kecil</v>
      </c>
      <c r="I34" s="342">
        <f t="shared" si="2"/>
        <v>103000</v>
      </c>
      <c r="K34" s="41">
        <f t="shared" ref="K34:M34" si="3">SUM(K10:K33)</f>
        <v>150000</v>
      </c>
      <c r="L34" s="41">
        <f t="shared" si="3"/>
        <v>50000</v>
      </c>
      <c r="M34" s="41">
        <f t="shared" si="3"/>
        <v>367000</v>
      </c>
      <c r="N34" s="41">
        <f>SUM(N10:N33)</f>
        <v>4985000</v>
      </c>
      <c r="O34" s="41">
        <f>SUM(O10:O33)</f>
        <v>0</v>
      </c>
      <c r="Q34" s="41"/>
      <c r="R34" s="41"/>
      <c r="S34" s="41"/>
    </row>
    <row r="35" spans="2:19" x14ac:dyDescent="0.2">
      <c r="B35" s="42"/>
      <c r="C35" s="47" t="s">
        <v>247</v>
      </c>
      <c r="D35" s="43" t="s">
        <v>453</v>
      </c>
      <c r="E35" s="44" t="str">
        <f t="shared" si="0"/>
        <v>BBL Klausa</v>
      </c>
      <c r="F35" s="45">
        <v>60000</v>
      </c>
      <c r="G35" s="43" t="s">
        <v>183</v>
      </c>
      <c r="H35" s="44" t="str">
        <f t="shared" si="1"/>
        <v>Kas Kecil</v>
      </c>
      <c r="I35" s="342">
        <f t="shared" si="2"/>
        <v>60000</v>
      </c>
      <c r="M35" s="41"/>
      <c r="N35" s="41"/>
    </row>
    <row r="36" spans="2:19" x14ac:dyDescent="0.2">
      <c r="B36" s="42"/>
      <c r="C36" s="47" t="s">
        <v>615</v>
      </c>
      <c r="D36" s="43" t="s">
        <v>52</v>
      </c>
      <c r="E36" s="44" t="str">
        <f t="shared" si="0"/>
        <v>Harga Produk Titipan</v>
      </c>
      <c r="F36" s="45">
        <v>1622000</v>
      </c>
      <c r="G36" s="43" t="s">
        <v>183</v>
      </c>
      <c r="H36" s="44" t="str">
        <f t="shared" si="1"/>
        <v>Kas Kecil</v>
      </c>
      <c r="I36" s="342">
        <f t="shared" si="2"/>
        <v>1622000</v>
      </c>
      <c r="M36" s="41"/>
      <c r="N36" s="41"/>
    </row>
    <row r="37" spans="2:19" x14ac:dyDescent="0.2">
      <c r="B37" s="42"/>
      <c r="C37" s="44" t="s">
        <v>616</v>
      </c>
      <c r="D37" s="43" t="s">
        <v>313</v>
      </c>
      <c r="E37" s="44" t="str">
        <f t="shared" si="0"/>
        <v>Biaya Lain-lain</v>
      </c>
      <c r="F37" s="45">
        <v>3000000</v>
      </c>
      <c r="G37" s="43" t="s">
        <v>287</v>
      </c>
      <c r="H37" s="44" t="str">
        <f t="shared" si="1"/>
        <v>Investasi</v>
      </c>
      <c r="I37" s="342">
        <f t="shared" si="2"/>
        <v>3000000</v>
      </c>
      <c r="M37" s="41"/>
      <c r="N37" s="41"/>
    </row>
    <row r="38" spans="2:19" x14ac:dyDescent="0.2">
      <c r="B38" s="42"/>
      <c r="C38" s="47" t="s">
        <v>106</v>
      </c>
      <c r="D38" s="43" t="s">
        <v>52</v>
      </c>
      <c r="E38" s="44" t="str">
        <f t="shared" si="0"/>
        <v>Harga Produk Titipan</v>
      </c>
      <c r="F38" s="45">
        <v>750000</v>
      </c>
      <c r="G38" s="43" t="s">
        <v>183</v>
      </c>
      <c r="H38" s="44" t="str">
        <f t="shared" si="1"/>
        <v>Kas Kecil</v>
      </c>
      <c r="I38" s="342">
        <f t="shared" si="2"/>
        <v>750000</v>
      </c>
    </row>
    <row r="39" spans="2:19" x14ac:dyDescent="0.2">
      <c r="B39" s="42"/>
      <c r="C39" s="47"/>
      <c r="D39" s="43" t="s">
        <v>32</v>
      </c>
      <c r="E39" s="44" t="str">
        <f t="shared" si="0"/>
        <v>Piutang</v>
      </c>
      <c r="F39" s="45"/>
      <c r="G39" s="43"/>
      <c r="H39" s="44" t="str">
        <f t="shared" si="1"/>
        <v/>
      </c>
      <c r="I39" s="342" t="str">
        <f t="shared" si="2"/>
        <v/>
      </c>
    </row>
    <row r="40" spans="2:19" x14ac:dyDescent="0.2">
      <c r="B40" s="42"/>
      <c r="C40" s="44"/>
      <c r="D40" s="43" t="s">
        <v>300</v>
      </c>
      <c r="E40" s="44" t="str">
        <f t="shared" si="0"/>
        <v>Hutang Lancar</v>
      </c>
      <c r="F40" s="45"/>
      <c r="G40" s="43"/>
      <c r="H40" s="44" t="str">
        <f t="shared" si="1"/>
        <v/>
      </c>
      <c r="I40" s="342" t="str">
        <f t="shared" si="2"/>
        <v/>
      </c>
    </row>
    <row r="41" spans="2:19" x14ac:dyDescent="0.2">
      <c r="B41" s="42"/>
      <c r="C41" s="47"/>
      <c r="D41" s="43"/>
      <c r="E41" s="44" t="str">
        <f t="shared" si="0"/>
        <v/>
      </c>
      <c r="F41" s="45"/>
      <c r="G41" s="43"/>
      <c r="H41" s="44" t="str">
        <f t="shared" si="1"/>
        <v/>
      </c>
      <c r="I41" s="342" t="str">
        <f t="shared" si="2"/>
        <v/>
      </c>
    </row>
    <row r="42" spans="2:19" x14ac:dyDescent="0.2">
      <c r="B42" s="42"/>
      <c r="C42" s="47"/>
      <c r="D42" s="43"/>
      <c r="E42" s="44" t="str">
        <f t="shared" ref="E42:E73" si="4">IF(D42="","",VLOOKUP(D42,NamaAkun,2))</f>
        <v/>
      </c>
      <c r="F42" s="45"/>
      <c r="G42" s="43"/>
      <c r="H42" s="44" t="str">
        <f t="shared" ref="H42:H73" si="5">IF(G42="","",VLOOKUP(G42,NamaAkun,2))</f>
        <v/>
      </c>
      <c r="I42" s="342" t="str">
        <f t="shared" ref="I42:I73" si="6">IF(F42="","",F42)</f>
        <v/>
      </c>
    </row>
    <row r="43" spans="2:19" x14ac:dyDescent="0.2">
      <c r="B43" s="42"/>
      <c r="C43" s="47"/>
      <c r="D43" s="43"/>
      <c r="E43" s="44" t="str">
        <f t="shared" si="4"/>
        <v/>
      </c>
      <c r="F43" s="45"/>
      <c r="G43" s="43"/>
      <c r="H43" s="44" t="str">
        <f t="shared" si="5"/>
        <v/>
      </c>
      <c r="I43" s="342" t="str">
        <f t="shared" si="6"/>
        <v/>
      </c>
    </row>
    <row r="44" spans="2:19" x14ac:dyDescent="0.2">
      <c r="B44" s="42"/>
      <c r="C44" s="47"/>
      <c r="D44" s="43"/>
      <c r="E44" s="44" t="str">
        <f t="shared" si="4"/>
        <v/>
      </c>
      <c r="F44" s="45"/>
      <c r="G44" s="43"/>
      <c r="H44" s="44" t="str">
        <f t="shared" si="5"/>
        <v/>
      </c>
      <c r="I44" s="342" t="str">
        <f t="shared" si="6"/>
        <v/>
      </c>
    </row>
    <row r="45" spans="2:19" x14ac:dyDescent="0.2">
      <c r="B45" s="42"/>
      <c r="C45" s="47"/>
      <c r="D45" s="43"/>
      <c r="E45" s="44" t="str">
        <f t="shared" si="4"/>
        <v/>
      </c>
      <c r="F45" s="45"/>
      <c r="G45" s="43"/>
      <c r="H45" s="44" t="str">
        <f t="shared" si="5"/>
        <v/>
      </c>
      <c r="I45" s="342" t="str">
        <f t="shared" si="6"/>
        <v/>
      </c>
    </row>
    <row r="46" spans="2:19" x14ac:dyDescent="0.2">
      <c r="B46" s="42"/>
      <c r="C46" s="47"/>
      <c r="D46" s="43"/>
      <c r="E46" s="44" t="str">
        <f t="shared" si="4"/>
        <v/>
      </c>
      <c r="F46" s="45"/>
      <c r="G46" s="43"/>
      <c r="H46" s="44" t="str">
        <f t="shared" si="5"/>
        <v/>
      </c>
      <c r="I46" s="342" t="str">
        <f t="shared" si="6"/>
        <v/>
      </c>
    </row>
    <row r="47" spans="2:19" x14ac:dyDescent="0.2">
      <c r="B47" s="42"/>
      <c r="C47" s="47"/>
      <c r="D47" s="43"/>
      <c r="E47" s="44" t="str">
        <f t="shared" si="4"/>
        <v/>
      </c>
      <c r="F47" s="45"/>
      <c r="G47" s="43"/>
      <c r="H47" s="44" t="str">
        <f t="shared" si="5"/>
        <v/>
      </c>
      <c r="I47" s="342" t="str">
        <f t="shared" si="6"/>
        <v/>
      </c>
    </row>
    <row r="48" spans="2:19" x14ac:dyDescent="0.2">
      <c r="B48" s="42"/>
      <c r="C48" s="47"/>
      <c r="D48" s="43"/>
      <c r="E48" s="44" t="str">
        <f t="shared" si="4"/>
        <v/>
      </c>
      <c r="F48" s="45"/>
      <c r="G48" s="43"/>
      <c r="H48" s="44" t="str">
        <f t="shared" si="5"/>
        <v/>
      </c>
      <c r="I48" s="342" t="str">
        <f t="shared" si="6"/>
        <v/>
      </c>
    </row>
    <row r="49" spans="2:13" x14ac:dyDescent="0.2">
      <c r="B49" s="42"/>
      <c r="C49" s="44"/>
      <c r="D49" s="43"/>
      <c r="E49" s="44" t="str">
        <f t="shared" si="4"/>
        <v/>
      </c>
      <c r="F49" s="45"/>
      <c r="G49" s="43"/>
      <c r="H49" s="44" t="str">
        <f t="shared" si="5"/>
        <v/>
      </c>
      <c r="I49" s="342" t="str">
        <f t="shared" si="6"/>
        <v/>
      </c>
    </row>
    <row r="50" spans="2:13" x14ac:dyDescent="0.2">
      <c r="B50" s="42"/>
      <c r="C50" s="47"/>
      <c r="D50" s="43"/>
      <c r="E50" s="44" t="str">
        <f t="shared" si="4"/>
        <v/>
      </c>
      <c r="F50" s="45"/>
      <c r="G50" s="43"/>
      <c r="H50" s="44" t="str">
        <f t="shared" si="5"/>
        <v/>
      </c>
      <c r="I50" s="342" t="str">
        <f t="shared" si="6"/>
        <v/>
      </c>
    </row>
    <row r="51" spans="2:13" x14ac:dyDescent="0.2">
      <c r="B51" s="42"/>
      <c r="C51" s="47"/>
      <c r="D51" s="43"/>
      <c r="E51" s="44" t="str">
        <f t="shared" si="4"/>
        <v/>
      </c>
      <c r="F51" s="45"/>
      <c r="G51" s="43"/>
      <c r="H51" s="44" t="str">
        <f t="shared" si="5"/>
        <v/>
      </c>
      <c r="I51" s="342" t="str">
        <f t="shared" si="6"/>
        <v/>
      </c>
    </row>
    <row r="52" spans="2:13" x14ac:dyDescent="0.2">
      <c r="B52" s="42"/>
      <c r="C52" s="47"/>
      <c r="D52" s="43"/>
      <c r="E52" s="44" t="str">
        <f t="shared" si="4"/>
        <v/>
      </c>
      <c r="F52" s="45"/>
      <c r="G52" s="43"/>
      <c r="H52" s="44" t="str">
        <f t="shared" si="5"/>
        <v/>
      </c>
      <c r="I52" s="342" t="str">
        <f t="shared" si="6"/>
        <v/>
      </c>
    </row>
    <row r="53" spans="2:13" x14ac:dyDescent="0.2">
      <c r="B53" s="42"/>
      <c r="C53" s="47"/>
      <c r="D53" s="43"/>
      <c r="E53" s="44" t="str">
        <f t="shared" si="4"/>
        <v/>
      </c>
      <c r="F53" s="45"/>
      <c r="G53" s="43"/>
      <c r="H53" s="44" t="str">
        <f t="shared" si="5"/>
        <v/>
      </c>
      <c r="I53" s="342" t="str">
        <f t="shared" si="6"/>
        <v/>
      </c>
    </row>
    <row r="54" spans="2:13" x14ac:dyDescent="0.2">
      <c r="B54" s="42"/>
      <c r="C54" s="47"/>
      <c r="D54" s="43"/>
      <c r="E54" s="44" t="str">
        <f t="shared" si="4"/>
        <v/>
      </c>
      <c r="F54" s="45"/>
      <c r="G54" s="43"/>
      <c r="H54" s="44" t="str">
        <f t="shared" si="5"/>
        <v/>
      </c>
      <c r="I54" s="342" t="str">
        <f t="shared" si="6"/>
        <v/>
      </c>
    </row>
    <row r="55" spans="2:13" x14ac:dyDescent="0.2">
      <c r="B55" s="42"/>
      <c r="C55" s="47"/>
      <c r="D55" s="43"/>
      <c r="E55" s="44" t="str">
        <f t="shared" si="4"/>
        <v/>
      </c>
      <c r="F55" s="45"/>
      <c r="G55" s="43"/>
      <c r="H55" s="44" t="str">
        <f t="shared" si="5"/>
        <v/>
      </c>
      <c r="I55" s="342" t="str">
        <f t="shared" si="6"/>
        <v/>
      </c>
    </row>
    <row r="56" spans="2:13" x14ac:dyDescent="0.2">
      <c r="B56" s="42"/>
      <c r="C56" s="47"/>
      <c r="D56" s="43"/>
      <c r="E56" s="44" t="str">
        <f t="shared" si="4"/>
        <v/>
      </c>
      <c r="F56" s="45"/>
      <c r="G56" s="43"/>
      <c r="H56" s="44" t="str">
        <f t="shared" si="5"/>
        <v/>
      </c>
      <c r="I56" s="342" t="str">
        <f t="shared" si="6"/>
        <v/>
      </c>
    </row>
    <row r="57" spans="2:13" x14ac:dyDescent="0.2">
      <c r="B57" s="42"/>
      <c r="C57" s="47"/>
      <c r="D57" s="43"/>
      <c r="E57" s="44" t="str">
        <f t="shared" si="4"/>
        <v/>
      </c>
      <c r="F57" s="45"/>
      <c r="G57" s="43"/>
      <c r="H57" s="44" t="str">
        <f t="shared" si="5"/>
        <v/>
      </c>
      <c r="I57" s="342" t="str">
        <f t="shared" si="6"/>
        <v/>
      </c>
    </row>
    <row r="58" spans="2:13" x14ac:dyDescent="0.2">
      <c r="B58" s="42"/>
      <c r="C58" s="47"/>
      <c r="D58" s="43"/>
      <c r="E58" s="44" t="str">
        <f t="shared" si="4"/>
        <v/>
      </c>
      <c r="F58" s="45"/>
      <c r="G58" s="43"/>
      <c r="H58" s="44" t="str">
        <f t="shared" si="5"/>
        <v/>
      </c>
      <c r="I58" s="342" t="str">
        <f t="shared" si="6"/>
        <v/>
      </c>
    </row>
    <row r="59" spans="2:13" x14ac:dyDescent="0.2">
      <c r="B59" s="42"/>
      <c r="C59" s="47"/>
      <c r="D59" s="43"/>
      <c r="E59" s="44" t="str">
        <f t="shared" si="4"/>
        <v/>
      </c>
      <c r="F59" s="45"/>
      <c r="G59" s="43"/>
      <c r="H59" s="44" t="str">
        <f t="shared" si="5"/>
        <v/>
      </c>
      <c r="I59" s="342" t="str">
        <f t="shared" si="6"/>
        <v/>
      </c>
    </row>
    <row r="60" spans="2:13" x14ac:dyDescent="0.2">
      <c r="B60" s="42"/>
      <c r="C60" s="47"/>
      <c r="D60" s="43"/>
      <c r="E60" s="44" t="str">
        <f t="shared" si="4"/>
        <v/>
      </c>
      <c r="F60" s="45"/>
      <c r="G60" s="43"/>
      <c r="H60" s="44" t="str">
        <f t="shared" si="5"/>
        <v/>
      </c>
      <c r="I60" s="342" t="str">
        <f t="shared" si="6"/>
        <v/>
      </c>
    </row>
    <row r="61" spans="2:13" x14ac:dyDescent="0.2">
      <c r="B61" s="42"/>
      <c r="C61" s="47"/>
      <c r="D61" s="43"/>
      <c r="E61" s="44" t="str">
        <f t="shared" si="4"/>
        <v/>
      </c>
      <c r="F61" s="45"/>
      <c r="G61" s="43"/>
      <c r="H61" s="44" t="str">
        <f t="shared" si="5"/>
        <v/>
      </c>
      <c r="I61" s="342" t="str">
        <f t="shared" si="6"/>
        <v/>
      </c>
    </row>
    <row r="62" spans="2:13" x14ac:dyDescent="0.2">
      <c r="B62" s="42"/>
      <c r="C62" s="44"/>
      <c r="D62" s="43"/>
      <c r="E62" s="44" t="str">
        <f t="shared" si="4"/>
        <v/>
      </c>
      <c r="F62" s="45"/>
      <c r="G62" s="43"/>
      <c r="H62" s="44" t="str">
        <f t="shared" si="5"/>
        <v/>
      </c>
      <c r="I62" s="342" t="str">
        <f t="shared" si="6"/>
        <v/>
      </c>
    </row>
    <row r="63" spans="2:13" x14ac:dyDescent="0.2">
      <c r="B63" s="42"/>
      <c r="C63" s="44"/>
      <c r="D63" s="43"/>
      <c r="E63" s="44" t="str">
        <f t="shared" si="4"/>
        <v/>
      </c>
      <c r="F63" s="45"/>
      <c r="G63" s="43"/>
      <c r="H63" s="44" t="str">
        <f t="shared" si="5"/>
        <v/>
      </c>
      <c r="I63" s="342" t="str">
        <f t="shared" si="6"/>
        <v/>
      </c>
      <c r="M63" s="41">
        <v>980000</v>
      </c>
    </row>
    <row r="64" spans="2:13" x14ac:dyDescent="0.2">
      <c r="B64" s="42"/>
      <c r="C64" s="44"/>
      <c r="D64" s="43"/>
      <c r="E64" s="44" t="str">
        <f t="shared" si="4"/>
        <v/>
      </c>
      <c r="F64" s="45"/>
      <c r="G64" s="43"/>
      <c r="H64" s="44" t="str">
        <f t="shared" si="5"/>
        <v/>
      </c>
      <c r="I64" s="342" t="str">
        <f t="shared" si="6"/>
        <v/>
      </c>
      <c r="M64" s="41">
        <v>721500</v>
      </c>
    </row>
    <row r="65" spans="1:13" x14ac:dyDescent="0.2">
      <c r="B65" s="42"/>
      <c r="C65" s="44"/>
      <c r="D65" s="43"/>
      <c r="E65" s="44" t="str">
        <f t="shared" si="4"/>
        <v/>
      </c>
      <c r="F65" s="45"/>
      <c r="G65" s="43"/>
      <c r="H65" s="44" t="str">
        <f t="shared" si="5"/>
        <v/>
      </c>
      <c r="I65" s="342" t="str">
        <f t="shared" si="6"/>
        <v/>
      </c>
      <c r="M65" s="41">
        <v>86500</v>
      </c>
    </row>
    <row r="66" spans="1:13" x14ac:dyDescent="0.2">
      <c r="B66" s="42"/>
      <c r="C66" s="44"/>
      <c r="D66" s="43"/>
      <c r="E66" s="44" t="str">
        <f t="shared" si="4"/>
        <v/>
      </c>
      <c r="F66" s="45"/>
      <c r="G66" s="43"/>
      <c r="H66" s="44" t="str">
        <f t="shared" si="5"/>
        <v/>
      </c>
      <c r="I66" s="342" t="str">
        <f t="shared" si="6"/>
        <v/>
      </c>
      <c r="M66" s="41">
        <v>85500</v>
      </c>
    </row>
    <row r="67" spans="1:13" x14ac:dyDescent="0.2">
      <c r="B67" s="42"/>
      <c r="C67" s="44"/>
      <c r="D67" s="43"/>
      <c r="E67" s="44" t="str">
        <f t="shared" si="4"/>
        <v/>
      </c>
      <c r="F67" s="45"/>
      <c r="G67" s="43"/>
      <c r="H67" s="44" t="str">
        <f t="shared" si="5"/>
        <v/>
      </c>
      <c r="I67" s="342" t="str">
        <f t="shared" si="6"/>
        <v/>
      </c>
      <c r="M67" s="41">
        <v>189500</v>
      </c>
    </row>
    <row r="68" spans="1:13" x14ac:dyDescent="0.2">
      <c r="B68" s="42"/>
      <c r="C68" s="44"/>
      <c r="D68" s="43"/>
      <c r="E68" s="44" t="str">
        <f t="shared" si="4"/>
        <v/>
      </c>
      <c r="F68" s="45"/>
      <c r="G68" s="43"/>
      <c r="H68" s="44" t="str">
        <f t="shared" si="5"/>
        <v/>
      </c>
      <c r="I68" s="342" t="str">
        <f t="shared" si="6"/>
        <v/>
      </c>
      <c r="M68" s="41">
        <v>416000</v>
      </c>
    </row>
    <row r="69" spans="1:13" x14ac:dyDescent="0.2">
      <c r="A69" s="1">
        <v>1</v>
      </c>
      <c r="B69" s="42"/>
      <c r="C69" s="44"/>
      <c r="D69" s="43"/>
      <c r="E69" s="44" t="str">
        <f t="shared" si="4"/>
        <v/>
      </c>
      <c r="F69" s="45"/>
      <c r="G69" s="43"/>
      <c r="H69" s="44" t="str">
        <f t="shared" si="5"/>
        <v/>
      </c>
      <c r="I69" s="342" t="str">
        <f t="shared" si="6"/>
        <v/>
      </c>
      <c r="M69" s="41">
        <v>10000</v>
      </c>
    </row>
    <row r="70" spans="1:13" x14ac:dyDescent="0.2">
      <c r="A70" s="1">
        <v>2</v>
      </c>
      <c r="B70" s="42"/>
      <c r="C70" s="44"/>
      <c r="D70" s="43"/>
      <c r="E70" s="44" t="str">
        <f t="shared" si="4"/>
        <v/>
      </c>
      <c r="F70" s="45"/>
      <c r="G70" s="43"/>
      <c r="H70" s="44" t="str">
        <f t="shared" si="5"/>
        <v/>
      </c>
      <c r="I70" s="342" t="str">
        <f t="shared" si="6"/>
        <v/>
      </c>
      <c r="M70" s="41">
        <v>246000</v>
      </c>
    </row>
    <row r="71" spans="1:13" x14ac:dyDescent="0.2">
      <c r="A71" s="1">
        <v>3</v>
      </c>
      <c r="B71" s="42"/>
      <c r="C71" s="44"/>
      <c r="D71" s="43"/>
      <c r="E71" s="44" t="str">
        <f t="shared" si="4"/>
        <v/>
      </c>
      <c r="F71" s="45"/>
      <c r="G71" s="43"/>
      <c r="H71" s="44" t="str">
        <f t="shared" si="5"/>
        <v/>
      </c>
      <c r="I71" s="342" t="str">
        <f t="shared" si="6"/>
        <v/>
      </c>
      <c r="M71" s="41">
        <v>827500</v>
      </c>
    </row>
    <row r="72" spans="1:13" x14ac:dyDescent="0.2">
      <c r="B72" s="42"/>
      <c r="C72" s="44"/>
      <c r="D72" s="43"/>
      <c r="E72" s="44" t="str">
        <f t="shared" si="4"/>
        <v/>
      </c>
      <c r="F72" s="45"/>
      <c r="G72" s="43"/>
      <c r="H72" s="44" t="str">
        <f t="shared" si="5"/>
        <v/>
      </c>
      <c r="I72" s="342" t="str">
        <f t="shared" si="6"/>
        <v/>
      </c>
      <c r="M72" s="41">
        <f>SUM(M63:M71)</f>
        <v>3562500</v>
      </c>
    </row>
    <row r="73" spans="1:13" x14ac:dyDescent="0.2">
      <c r="B73" s="42"/>
      <c r="C73" s="47"/>
      <c r="D73" s="43"/>
      <c r="E73" s="44" t="str">
        <f t="shared" si="4"/>
        <v/>
      </c>
      <c r="F73" s="45"/>
      <c r="G73" s="43"/>
      <c r="H73" s="44" t="str">
        <f t="shared" si="5"/>
        <v/>
      </c>
      <c r="I73" s="342" t="str">
        <f t="shared" si="6"/>
        <v/>
      </c>
    </row>
    <row r="74" spans="1:13" x14ac:dyDescent="0.2">
      <c r="B74" s="42"/>
      <c r="C74" s="47"/>
      <c r="D74" s="43"/>
      <c r="E74" s="44" t="str">
        <f t="shared" ref="E74:E105" si="7">IF(D74="","",VLOOKUP(D74,NamaAkun,2))</f>
        <v/>
      </c>
      <c r="F74" s="45"/>
      <c r="G74" s="43"/>
      <c r="H74" s="44" t="str">
        <f t="shared" ref="H74:H105" si="8">IF(G74="","",VLOOKUP(G74,NamaAkun,2))</f>
        <v/>
      </c>
      <c r="I74" s="342" t="str">
        <f t="shared" ref="I74:I109" si="9">IF(F74="","",F74)</f>
        <v/>
      </c>
    </row>
    <row r="75" spans="1:13" x14ac:dyDescent="0.2">
      <c r="B75" s="42"/>
      <c r="C75" s="47"/>
      <c r="D75" s="43"/>
      <c r="E75" s="44" t="str">
        <f t="shared" si="7"/>
        <v/>
      </c>
      <c r="F75" s="45"/>
      <c r="G75" s="43"/>
      <c r="H75" s="44" t="str">
        <f t="shared" si="8"/>
        <v/>
      </c>
      <c r="I75" s="342" t="str">
        <f t="shared" si="9"/>
        <v/>
      </c>
    </row>
    <row r="76" spans="1:13" x14ac:dyDescent="0.2">
      <c r="B76" s="42"/>
      <c r="C76" s="47"/>
      <c r="D76" s="43"/>
      <c r="E76" s="44" t="str">
        <f t="shared" si="7"/>
        <v/>
      </c>
      <c r="F76" s="45"/>
      <c r="G76" s="43"/>
      <c r="H76" s="44" t="str">
        <f t="shared" si="8"/>
        <v/>
      </c>
      <c r="I76" s="342" t="str">
        <f t="shared" si="9"/>
        <v/>
      </c>
    </row>
    <row r="77" spans="1:13" x14ac:dyDescent="0.2">
      <c r="B77" s="42"/>
      <c r="C77" s="44"/>
      <c r="D77" s="43"/>
      <c r="E77" s="44" t="str">
        <f t="shared" si="7"/>
        <v/>
      </c>
      <c r="F77" s="45"/>
      <c r="G77" s="43"/>
      <c r="H77" s="44" t="str">
        <f t="shared" si="8"/>
        <v/>
      </c>
      <c r="I77" s="342" t="str">
        <f t="shared" si="9"/>
        <v/>
      </c>
    </row>
    <row r="78" spans="1:13" x14ac:dyDescent="0.2">
      <c r="B78" s="42"/>
      <c r="C78" s="47"/>
      <c r="D78" s="43"/>
      <c r="E78" s="44" t="str">
        <f t="shared" si="7"/>
        <v/>
      </c>
      <c r="F78" s="45"/>
      <c r="G78" s="43"/>
      <c r="H78" s="44" t="str">
        <f t="shared" si="8"/>
        <v/>
      </c>
      <c r="I78" s="342" t="str">
        <f t="shared" si="9"/>
        <v/>
      </c>
    </row>
    <row r="79" spans="1:13" x14ac:dyDescent="0.2">
      <c r="B79" s="42"/>
      <c r="C79" s="47"/>
      <c r="D79" s="43"/>
      <c r="E79" s="44" t="str">
        <f t="shared" si="7"/>
        <v/>
      </c>
      <c r="F79" s="45"/>
      <c r="G79" s="43"/>
      <c r="H79" s="44" t="str">
        <f t="shared" si="8"/>
        <v/>
      </c>
      <c r="I79" s="342" t="str">
        <f t="shared" si="9"/>
        <v/>
      </c>
    </row>
    <row r="80" spans="1:13" x14ac:dyDescent="0.2">
      <c r="B80" s="42"/>
      <c r="C80" s="47"/>
      <c r="D80" s="43"/>
      <c r="E80" s="44" t="str">
        <f t="shared" si="7"/>
        <v/>
      </c>
      <c r="F80" s="45"/>
      <c r="G80" s="43"/>
      <c r="H80" s="44" t="str">
        <f t="shared" si="8"/>
        <v/>
      </c>
      <c r="I80" s="342" t="str">
        <f t="shared" si="9"/>
        <v/>
      </c>
    </row>
    <row r="81" spans="2:13" x14ac:dyDescent="0.2">
      <c r="B81" s="42"/>
      <c r="C81" s="47"/>
      <c r="D81" s="43"/>
      <c r="E81" s="44" t="str">
        <f t="shared" si="7"/>
        <v/>
      </c>
      <c r="F81" s="45"/>
      <c r="G81" s="43"/>
      <c r="H81" s="44" t="str">
        <f t="shared" si="8"/>
        <v/>
      </c>
      <c r="I81" s="342" t="str">
        <f t="shared" si="9"/>
        <v/>
      </c>
    </row>
    <row r="82" spans="2:13" x14ac:dyDescent="0.2">
      <c r="B82" s="42"/>
      <c r="C82" s="47"/>
      <c r="D82" s="43"/>
      <c r="E82" s="44" t="str">
        <f t="shared" si="7"/>
        <v/>
      </c>
      <c r="F82" s="45"/>
      <c r="G82" s="43"/>
      <c r="H82" s="44" t="str">
        <f t="shared" si="8"/>
        <v/>
      </c>
      <c r="I82" s="342" t="str">
        <f t="shared" si="9"/>
        <v/>
      </c>
    </row>
    <row r="83" spans="2:13" x14ac:dyDescent="0.2">
      <c r="B83" s="42"/>
      <c r="C83" s="47" t="s">
        <v>561</v>
      </c>
      <c r="D83" s="43" t="s">
        <v>310</v>
      </c>
      <c r="E83" s="44" t="str">
        <f t="shared" si="7"/>
        <v>Operasional Produksi</v>
      </c>
      <c r="F83" s="45"/>
      <c r="G83" s="43" t="s">
        <v>183</v>
      </c>
      <c r="H83" s="44" t="str">
        <f t="shared" si="8"/>
        <v>Kas Kecil</v>
      </c>
      <c r="I83" s="342" t="str">
        <f t="shared" si="9"/>
        <v/>
      </c>
      <c r="K83" s="525">
        <v>43009</v>
      </c>
      <c r="L83" s="526" t="s">
        <v>509</v>
      </c>
      <c r="M83" s="526">
        <v>804000</v>
      </c>
    </row>
    <row r="84" spans="2:13" x14ac:dyDescent="0.2">
      <c r="B84" s="42"/>
      <c r="C84" s="44" t="s">
        <v>562</v>
      </c>
      <c r="D84" s="43" t="s">
        <v>313</v>
      </c>
      <c r="E84" s="44" t="str">
        <f t="shared" si="7"/>
        <v>Biaya Lain-lain</v>
      </c>
      <c r="F84" s="45">
        <v>70000</v>
      </c>
      <c r="G84" s="43" t="s">
        <v>183</v>
      </c>
      <c r="H84" s="44" t="str">
        <f t="shared" si="8"/>
        <v>Kas Kecil</v>
      </c>
      <c r="I84" s="342">
        <f t="shared" si="9"/>
        <v>70000</v>
      </c>
      <c r="K84" s="525">
        <v>43009</v>
      </c>
      <c r="L84" s="526" t="s">
        <v>510</v>
      </c>
      <c r="M84" s="526">
        <v>370000</v>
      </c>
    </row>
    <row r="85" spans="2:13" x14ac:dyDescent="0.2">
      <c r="B85" s="42"/>
      <c r="C85" s="47" t="s">
        <v>563</v>
      </c>
      <c r="D85" s="43" t="s">
        <v>308</v>
      </c>
      <c r="E85" s="44" t="str">
        <f t="shared" si="7"/>
        <v>Tenaga Kerja Tidak Langsung</v>
      </c>
      <c r="F85" s="45"/>
      <c r="G85" s="43" t="s">
        <v>183</v>
      </c>
      <c r="H85" s="44" t="str">
        <f t="shared" si="8"/>
        <v>Kas Kecil</v>
      </c>
      <c r="I85" s="342" t="str">
        <f t="shared" si="9"/>
        <v/>
      </c>
      <c r="K85" s="525"/>
      <c r="L85" s="526"/>
      <c r="M85" s="526"/>
    </row>
    <row r="86" spans="2:13" x14ac:dyDescent="0.2">
      <c r="B86" s="42"/>
      <c r="C86" s="47" t="s">
        <v>564</v>
      </c>
      <c r="D86" s="43" t="s">
        <v>92</v>
      </c>
      <c r="E86" s="44" t="str">
        <f t="shared" si="7"/>
        <v>Tenaga Kerja Langsung</v>
      </c>
      <c r="F86" s="45">
        <f>'Gaji Karyawan'!J126</f>
        <v>7910000</v>
      </c>
      <c r="G86" s="43" t="s">
        <v>183</v>
      </c>
      <c r="H86" s="44" t="str">
        <f t="shared" si="8"/>
        <v>Kas Kecil</v>
      </c>
      <c r="I86" s="342">
        <f t="shared" si="9"/>
        <v>7910000</v>
      </c>
      <c r="K86" s="527">
        <v>43010</v>
      </c>
      <c r="L86" s="528" t="s">
        <v>517</v>
      </c>
      <c r="M86" s="528">
        <v>200000</v>
      </c>
    </row>
    <row r="87" spans="2:13" x14ac:dyDescent="0.2">
      <c r="B87" s="42"/>
      <c r="C87" s="47" t="s">
        <v>565</v>
      </c>
      <c r="D87" s="43" t="s">
        <v>92</v>
      </c>
      <c r="E87" s="44" t="str">
        <f t="shared" si="7"/>
        <v>Tenaga Kerja Langsung</v>
      </c>
      <c r="F87" s="45">
        <v>200000</v>
      </c>
      <c r="G87" s="43" t="s">
        <v>299</v>
      </c>
      <c r="H87" s="44" t="str">
        <f t="shared" si="8"/>
        <v>Akum. Penyusutan Kendaraan</v>
      </c>
      <c r="I87" s="342">
        <f t="shared" si="9"/>
        <v>200000</v>
      </c>
      <c r="K87" s="525">
        <v>43011</v>
      </c>
      <c r="L87" s="41" t="s">
        <v>510</v>
      </c>
      <c r="M87" s="41">
        <v>740000</v>
      </c>
    </row>
    <row r="88" spans="2:13" x14ac:dyDescent="0.2">
      <c r="B88" s="42"/>
      <c r="C88" s="47" t="s">
        <v>566</v>
      </c>
      <c r="D88" s="43" t="s">
        <v>195</v>
      </c>
      <c r="E88" s="44" t="str">
        <f t="shared" si="7"/>
        <v>HRD</v>
      </c>
      <c r="F88" s="45">
        <v>100000</v>
      </c>
      <c r="G88" s="43" t="s">
        <v>299</v>
      </c>
      <c r="H88" s="44" t="str">
        <f t="shared" si="8"/>
        <v>Akum. Penyusutan Kendaraan</v>
      </c>
      <c r="I88" s="342">
        <f t="shared" si="9"/>
        <v>100000</v>
      </c>
      <c r="K88" s="525">
        <v>43011</v>
      </c>
      <c r="L88" s="41" t="s">
        <v>513</v>
      </c>
      <c r="M88" s="41">
        <v>92000</v>
      </c>
    </row>
    <row r="89" spans="2:13" x14ac:dyDescent="0.2">
      <c r="B89" s="42"/>
      <c r="C89" s="47" t="s">
        <v>567</v>
      </c>
      <c r="D89" s="43" t="s">
        <v>310</v>
      </c>
      <c r="E89" s="44" t="str">
        <f t="shared" si="7"/>
        <v>Operasional Produksi</v>
      </c>
      <c r="F89" s="45">
        <v>30000</v>
      </c>
      <c r="G89" s="43" t="s">
        <v>183</v>
      </c>
      <c r="H89" s="44" t="str">
        <f t="shared" si="8"/>
        <v>Kas Kecil</v>
      </c>
      <c r="I89" s="342">
        <f t="shared" si="9"/>
        <v>30000</v>
      </c>
      <c r="K89" s="525">
        <v>43011</v>
      </c>
      <c r="L89" s="41" t="s">
        <v>514</v>
      </c>
      <c r="M89" s="41">
        <v>14000</v>
      </c>
    </row>
    <row r="90" spans="2:13" x14ac:dyDescent="0.2">
      <c r="B90" s="42"/>
      <c r="C90" s="44" t="s">
        <v>568</v>
      </c>
      <c r="D90" s="43" t="s">
        <v>310</v>
      </c>
      <c r="E90" s="44" t="str">
        <f t="shared" si="7"/>
        <v>Operasional Produksi</v>
      </c>
      <c r="F90" s="45"/>
      <c r="G90" s="43" t="s">
        <v>183</v>
      </c>
      <c r="H90" s="44" t="str">
        <f t="shared" si="8"/>
        <v>Kas Kecil</v>
      </c>
      <c r="I90" s="342" t="str">
        <f t="shared" si="9"/>
        <v/>
      </c>
      <c r="K90" s="525">
        <v>43011</v>
      </c>
      <c r="L90" s="41" t="s">
        <v>247</v>
      </c>
      <c r="M90" s="41">
        <v>80000</v>
      </c>
    </row>
    <row r="91" spans="2:13" x14ac:dyDescent="0.2">
      <c r="B91" s="42"/>
      <c r="C91" s="47" t="s">
        <v>569</v>
      </c>
      <c r="D91" s="43" t="s">
        <v>183</v>
      </c>
      <c r="E91" s="44" t="str">
        <f t="shared" si="7"/>
        <v>Kas Kecil</v>
      </c>
      <c r="F91" s="45">
        <f>Penjualan!X54</f>
        <v>48954500</v>
      </c>
      <c r="G91" s="43" t="s">
        <v>47</v>
      </c>
      <c r="H91" s="44" t="str">
        <f t="shared" si="8"/>
        <v>Penjualan Klausa Cake</v>
      </c>
      <c r="I91" s="342">
        <f t="shared" si="9"/>
        <v>48954500</v>
      </c>
      <c r="K91" s="525">
        <v>43011</v>
      </c>
      <c r="L91" s="41" t="s">
        <v>241</v>
      </c>
      <c r="M91" s="41">
        <v>72000</v>
      </c>
    </row>
    <row r="92" spans="2:13" x14ac:dyDescent="0.2">
      <c r="B92" s="42"/>
      <c r="C92" s="47" t="s">
        <v>570</v>
      </c>
      <c r="D92" s="43" t="s">
        <v>183</v>
      </c>
      <c r="E92" s="44" t="str">
        <f t="shared" si="7"/>
        <v>Kas Kecil</v>
      </c>
      <c r="F92" s="45">
        <f>Penjualan!Y54</f>
        <v>1727500</v>
      </c>
      <c r="G92" s="43" t="s">
        <v>47</v>
      </c>
      <c r="H92" s="44" t="str">
        <f t="shared" si="8"/>
        <v>Penjualan Klausa Cake</v>
      </c>
      <c r="I92" s="342">
        <f t="shared" si="9"/>
        <v>1727500</v>
      </c>
      <c r="K92" s="525">
        <v>43011</v>
      </c>
      <c r="L92" s="41" t="s">
        <v>515</v>
      </c>
      <c r="M92" s="41">
        <v>24000</v>
      </c>
    </row>
    <row r="93" spans="2:13" x14ac:dyDescent="0.2">
      <c r="B93" s="42"/>
      <c r="C93" s="47" t="s">
        <v>571</v>
      </c>
      <c r="D93" s="43" t="s">
        <v>183</v>
      </c>
      <c r="E93" s="44" t="str">
        <f t="shared" si="7"/>
        <v>Kas Kecil</v>
      </c>
      <c r="F93" s="45">
        <v>0</v>
      </c>
      <c r="G93" s="43" t="s">
        <v>305</v>
      </c>
      <c r="H93" s="44" t="str">
        <f t="shared" si="8"/>
        <v>Penjualan Chocofaza</v>
      </c>
      <c r="I93" s="342">
        <f t="shared" si="9"/>
        <v>0</v>
      </c>
      <c r="K93" s="525">
        <v>43011</v>
      </c>
      <c r="L93" s="41" t="s">
        <v>516</v>
      </c>
      <c r="M93" s="41">
        <v>105000</v>
      </c>
    </row>
    <row r="94" spans="2:13" x14ac:dyDescent="0.2">
      <c r="B94" s="42"/>
      <c r="C94" s="47" t="s">
        <v>572</v>
      </c>
      <c r="D94" s="43" t="s">
        <v>291</v>
      </c>
      <c r="E94" s="44" t="str">
        <f t="shared" si="7"/>
        <v>Persediaan BBL</v>
      </c>
      <c r="F94" s="45">
        <f>'Stok Bahan Klausa'!M55</f>
        <v>-2197012.5</v>
      </c>
      <c r="G94" s="43" t="s">
        <v>453</v>
      </c>
      <c r="H94" s="44" t="str">
        <f t="shared" si="8"/>
        <v>BBL Klausa</v>
      </c>
      <c r="I94" s="342">
        <f t="shared" si="9"/>
        <v>-2197012.5</v>
      </c>
      <c r="K94" s="526"/>
      <c r="M94" s="41"/>
    </row>
    <row r="95" spans="2:13" x14ac:dyDescent="0.2">
      <c r="B95" s="42"/>
      <c r="C95" s="44" t="s">
        <v>573</v>
      </c>
      <c r="D95" s="43" t="s">
        <v>292</v>
      </c>
      <c r="E95" s="44" t="str">
        <f t="shared" si="7"/>
        <v>Persediaan BBTL</v>
      </c>
      <c r="F95" s="45">
        <f>'Stok Bahan Klausa'!M56</f>
        <v>-191250</v>
      </c>
      <c r="G95" s="43" t="s">
        <v>306</v>
      </c>
      <c r="H95" s="44" t="str">
        <f t="shared" si="8"/>
        <v>BBTL Klausa</v>
      </c>
      <c r="I95" s="342">
        <f t="shared" si="9"/>
        <v>-191250</v>
      </c>
      <c r="K95" s="526"/>
      <c r="M95" s="41"/>
    </row>
    <row r="96" spans="2:13" x14ac:dyDescent="0.2">
      <c r="B96" s="42"/>
      <c r="C96" s="44" t="s">
        <v>574</v>
      </c>
      <c r="D96" s="43" t="s">
        <v>306</v>
      </c>
      <c r="E96" s="44" t="str">
        <f t="shared" si="7"/>
        <v>BBTL Klausa</v>
      </c>
      <c r="F96" s="45">
        <f>K34</f>
        <v>150000</v>
      </c>
      <c r="G96" s="43" t="s">
        <v>453</v>
      </c>
      <c r="H96" s="44" t="str">
        <f t="shared" si="8"/>
        <v>BBL Klausa</v>
      </c>
      <c r="I96" s="342">
        <f t="shared" si="9"/>
        <v>150000</v>
      </c>
      <c r="K96" s="526"/>
      <c r="M96" s="41"/>
    </row>
    <row r="97" spans="2:13" x14ac:dyDescent="0.2">
      <c r="B97" s="42"/>
      <c r="C97" s="44" t="s">
        <v>574</v>
      </c>
      <c r="D97" s="43" t="s">
        <v>310</v>
      </c>
      <c r="E97" s="44" t="str">
        <f t="shared" si="7"/>
        <v>Operasional Produksi</v>
      </c>
      <c r="F97" s="45">
        <f>L34</f>
        <v>50000</v>
      </c>
      <c r="G97" s="43" t="s">
        <v>453</v>
      </c>
      <c r="H97" s="44" t="str">
        <f t="shared" si="8"/>
        <v>BBL Klausa</v>
      </c>
      <c r="I97" s="342">
        <f t="shared" si="9"/>
        <v>50000</v>
      </c>
      <c r="K97" s="526"/>
      <c r="M97" s="41"/>
    </row>
    <row r="98" spans="2:13" x14ac:dyDescent="0.2">
      <c r="B98" s="42"/>
      <c r="C98" s="44" t="s">
        <v>574</v>
      </c>
      <c r="D98" s="43" t="s">
        <v>52</v>
      </c>
      <c r="E98" s="44" t="str">
        <f t="shared" si="7"/>
        <v>Harga Produk Titipan</v>
      </c>
      <c r="F98" s="45">
        <f>M34</f>
        <v>367000</v>
      </c>
      <c r="G98" s="43" t="s">
        <v>453</v>
      </c>
      <c r="H98" s="44" t="str">
        <f t="shared" si="8"/>
        <v>BBL Klausa</v>
      </c>
      <c r="I98" s="342">
        <f t="shared" si="9"/>
        <v>367000</v>
      </c>
      <c r="K98" s="526"/>
      <c r="M98" s="41"/>
    </row>
    <row r="99" spans="2:13" x14ac:dyDescent="0.2">
      <c r="B99" s="42"/>
      <c r="C99" s="47" t="s">
        <v>575</v>
      </c>
      <c r="D99" s="43" t="s">
        <v>291</v>
      </c>
      <c r="E99" s="44" t="str">
        <f t="shared" si="7"/>
        <v>Persediaan BBL</v>
      </c>
      <c r="F99" s="45"/>
      <c r="G99" s="43" t="s">
        <v>454</v>
      </c>
      <c r="H99" s="44" t="str">
        <f t="shared" si="8"/>
        <v>BBL Chocofaza</v>
      </c>
      <c r="I99" s="342" t="str">
        <f t="shared" si="9"/>
        <v/>
      </c>
      <c r="K99" s="526"/>
      <c r="M99" s="41"/>
    </row>
    <row r="100" spans="2:13" x14ac:dyDescent="0.2">
      <c r="B100" s="42"/>
      <c r="C100" s="47" t="s">
        <v>576</v>
      </c>
      <c r="D100" s="43" t="s">
        <v>290</v>
      </c>
      <c r="E100" s="44" t="str">
        <f t="shared" si="7"/>
        <v>Persediaan Barang Jadi</v>
      </c>
      <c r="F100" s="45">
        <v>0</v>
      </c>
      <c r="G100" s="43" t="s">
        <v>453</v>
      </c>
      <c r="H100" s="44" t="str">
        <f t="shared" si="8"/>
        <v>BBL Klausa</v>
      </c>
      <c r="I100" s="342">
        <f t="shared" si="9"/>
        <v>0</v>
      </c>
      <c r="K100" s="526"/>
      <c r="M100" s="41"/>
    </row>
    <row r="101" spans="2:13" x14ac:dyDescent="0.2">
      <c r="B101" s="42"/>
      <c r="C101" s="47"/>
      <c r="D101" s="43" t="s">
        <v>47</v>
      </c>
      <c r="E101" s="44" t="str">
        <f t="shared" si="7"/>
        <v>Penjualan Klausa Cake</v>
      </c>
      <c r="F101" s="45">
        <f>Penjualan!M57</f>
        <v>13233500</v>
      </c>
      <c r="G101" s="43" t="s">
        <v>48</v>
      </c>
      <c r="H101" s="44" t="str">
        <f t="shared" si="8"/>
        <v>Penjualan Titipan</v>
      </c>
      <c r="I101" s="342">
        <f t="shared" si="9"/>
        <v>13233500</v>
      </c>
      <c r="K101" s="526"/>
      <c r="M101" s="41"/>
    </row>
    <row r="102" spans="2:13" x14ac:dyDescent="0.2">
      <c r="B102" s="42"/>
      <c r="C102" s="47"/>
      <c r="D102" s="43" t="s">
        <v>47</v>
      </c>
      <c r="E102" s="44" t="str">
        <f t="shared" si="7"/>
        <v>Penjualan Klausa Cake</v>
      </c>
      <c r="F102" s="45">
        <f>Penjualan!M58</f>
        <v>432500</v>
      </c>
      <c r="G102" s="43" t="s">
        <v>49</v>
      </c>
      <c r="H102" s="44" t="str">
        <f t="shared" si="8"/>
        <v>Penjualan Titipan (Danusan)</v>
      </c>
      <c r="I102" s="342">
        <f t="shared" si="9"/>
        <v>432500</v>
      </c>
      <c r="K102" s="526"/>
      <c r="M102" s="41"/>
    </row>
    <row r="103" spans="2:13" x14ac:dyDescent="0.2">
      <c r="B103" s="42"/>
      <c r="C103" s="47"/>
      <c r="D103" s="43" t="s">
        <v>47</v>
      </c>
      <c r="E103" s="44" t="str">
        <f t="shared" si="7"/>
        <v>Penjualan Klausa Cake</v>
      </c>
      <c r="F103" s="45">
        <f>Penjualan!M59</f>
        <v>960000</v>
      </c>
      <c r="G103" s="43" t="s">
        <v>304</v>
      </c>
      <c r="H103" s="44" t="str">
        <f t="shared" si="8"/>
        <v>Penjualan Dus dan AMDK gelas</v>
      </c>
      <c r="I103" s="342">
        <f t="shared" si="9"/>
        <v>960000</v>
      </c>
      <c r="K103" s="526"/>
      <c r="M103" s="41"/>
    </row>
    <row r="104" spans="2:13" x14ac:dyDescent="0.2">
      <c r="B104" s="42"/>
      <c r="C104" s="47"/>
      <c r="D104" s="43" t="s">
        <v>309</v>
      </c>
      <c r="E104" s="44" t="str">
        <f t="shared" si="7"/>
        <v>Sewa Tempat Produksi</v>
      </c>
      <c r="F104" s="45">
        <v>2000000</v>
      </c>
      <c r="G104" s="43" t="s">
        <v>289</v>
      </c>
      <c r="H104" s="44" t="str">
        <f t="shared" si="8"/>
        <v>Akum. Penyusutan Sewa</v>
      </c>
      <c r="I104" s="342">
        <f t="shared" si="9"/>
        <v>2000000</v>
      </c>
      <c r="M104" s="41"/>
    </row>
    <row r="105" spans="2:13" x14ac:dyDescent="0.2">
      <c r="B105" s="42"/>
      <c r="C105" s="44"/>
      <c r="D105" s="43" t="s">
        <v>311</v>
      </c>
      <c r="E105" s="44" t="str">
        <f t="shared" si="7"/>
        <v>Penyusutan Peralatan</v>
      </c>
      <c r="F105" s="45">
        <v>150000</v>
      </c>
      <c r="G105" s="43" t="s">
        <v>299</v>
      </c>
      <c r="H105" s="44" t="str">
        <f t="shared" si="8"/>
        <v>Akum. Penyusutan Kendaraan</v>
      </c>
      <c r="I105" s="342">
        <f t="shared" si="9"/>
        <v>150000</v>
      </c>
      <c r="M105" s="41"/>
    </row>
    <row r="106" spans="2:13" x14ac:dyDescent="0.2">
      <c r="B106" s="42"/>
      <c r="C106" s="44"/>
      <c r="D106" s="43" t="s">
        <v>311</v>
      </c>
      <c r="E106" s="44" t="str">
        <f t="shared" ref="E106:E109" si="10">IF(D106="","",VLOOKUP(D106,NamaAkun,2))</f>
        <v>Penyusutan Peralatan</v>
      </c>
      <c r="F106" s="45">
        <v>1300000</v>
      </c>
      <c r="G106" s="43" t="s">
        <v>296</v>
      </c>
      <c r="H106" s="44" t="str">
        <f t="shared" ref="H106:H109" si="11">IF(G106="","",VLOOKUP(G106,NamaAkun,2))</f>
        <v>Akum. Penyusutan Peralatan</v>
      </c>
      <c r="I106" s="342">
        <f t="shared" si="9"/>
        <v>1300000</v>
      </c>
      <c r="M106" s="41"/>
    </row>
    <row r="107" spans="2:13" x14ac:dyDescent="0.2">
      <c r="B107" s="42"/>
      <c r="C107" s="44"/>
      <c r="D107" s="43" t="s">
        <v>312</v>
      </c>
      <c r="E107" s="44" t="str">
        <f t="shared" si="10"/>
        <v>Penyusutan Perlengkapan</v>
      </c>
      <c r="F107" s="45">
        <v>30000</v>
      </c>
      <c r="G107" s="43" t="s">
        <v>297</v>
      </c>
      <c r="H107" s="44" t="str">
        <f t="shared" si="11"/>
        <v>Akum. Penyusutan Perlengkapan</v>
      </c>
      <c r="I107" s="342">
        <f t="shared" si="9"/>
        <v>30000</v>
      </c>
      <c r="M107" s="41"/>
    </row>
    <row r="108" spans="2:13" x14ac:dyDescent="0.2">
      <c r="B108" s="42"/>
      <c r="C108" s="44"/>
      <c r="D108" s="43"/>
      <c r="E108" s="44" t="str">
        <f t="shared" si="10"/>
        <v/>
      </c>
      <c r="F108" s="45"/>
      <c r="G108" s="43"/>
      <c r="H108" s="44" t="str">
        <f t="shared" si="11"/>
        <v/>
      </c>
      <c r="I108" s="342" t="str">
        <f t="shared" si="9"/>
        <v/>
      </c>
      <c r="M108" s="41"/>
    </row>
    <row r="109" spans="2:13" x14ac:dyDescent="0.2">
      <c r="B109" s="42"/>
      <c r="C109" s="44"/>
      <c r="D109" s="43"/>
      <c r="E109" s="44" t="str">
        <f t="shared" si="10"/>
        <v/>
      </c>
      <c r="F109" s="45"/>
      <c r="G109" s="43"/>
      <c r="H109" s="44" t="str">
        <f t="shared" si="11"/>
        <v/>
      </c>
      <c r="I109" s="342" t="str">
        <f t="shared" si="9"/>
        <v/>
      </c>
      <c r="M109" s="41"/>
    </row>
    <row r="110" spans="2:13" s="178" customFormat="1" ht="16.5" customHeight="1" x14ac:dyDescent="0.2">
      <c r="B110" s="174"/>
      <c r="C110" s="175"/>
      <c r="D110" s="175"/>
      <c r="E110" s="176" t="s">
        <v>135</v>
      </c>
      <c r="F110" s="177">
        <f>SUM(F10:F107)</f>
        <v>106712137.5</v>
      </c>
      <c r="G110" s="175"/>
      <c r="H110" s="176" t="s">
        <v>136</v>
      </c>
      <c r="I110" s="177">
        <f>SUM(I10:I105)</f>
        <v>105382137.5</v>
      </c>
      <c r="J110" s="518"/>
      <c r="L110" s="518"/>
      <c r="M110" s="518"/>
    </row>
    <row r="111" spans="2:13" x14ac:dyDescent="0.2">
      <c r="M111" s="41"/>
    </row>
    <row r="112" spans="2:13" x14ac:dyDescent="0.2">
      <c r="M112" s="41"/>
    </row>
  </sheetData>
  <autoFilter ref="B8:I9">
    <sortState ref="B11:I111">
      <sortCondition ref="B8:B9"/>
    </sortState>
  </autoFilter>
  <sortState ref="B48:B52">
    <sortCondition ref="B48"/>
  </sortState>
  <mergeCells count="13">
    <mergeCell ref="I8:I9"/>
    <mergeCell ref="C8:C9"/>
    <mergeCell ref="B8:B9"/>
    <mergeCell ref="D8:D9"/>
    <mergeCell ref="E8:E9"/>
    <mergeCell ref="F8:F9"/>
    <mergeCell ref="G8:G9"/>
    <mergeCell ref="H8:H9"/>
    <mergeCell ref="B1:I1"/>
    <mergeCell ref="B2:I2"/>
    <mergeCell ref="B3:I3"/>
    <mergeCell ref="G6:I6"/>
    <mergeCell ref="B4:I4"/>
  </mergeCells>
  <phoneticPr fontId="2" type="noConversion"/>
  <dataValidations count="1">
    <dataValidation type="list" allowBlank="1" showInputMessage="1" showErrorMessage="1" sqref="G10:G109 D10:D109">
      <formula1>NOMOR</formula1>
    </dataValidation>
  </dataValidations>
  <pageMargins left="1.1811023622047245" right="0.78740157480314965" top="0.78740157480314965" bottom="0.78740157480314965" header="0.51181102362204722" footer="0.51181102362204722"/>
  <pageSetup paperSize="9" scale="5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H23"/>
  <sheetViews>
    <sheetView workbookViewId="0">
      <selection activeCell="H22" sqref="H22"/>
    </sheetView>
  </sheetViews>
  <sheetFormatPr defaultRowHeight="14.25" x14ac:dyDescent="0.2"/>
  <cols>
    <col min="1" max="1" width="25.7109375" style="51" customWidth="1"/>
    <col min="2" max="2" width="18.85546875" style="51" customWidth="1"/>
    <col min="3" max="8" width="13.5703125" style="51" customWidth="1"/>
    <col min="9" max="16384" width="9.140625" style="51"/>
  </cols>
  <sheetData>
    <row r="2" spans="1:8" ht="15" x14ac:dyDescent="0.25">
      <c r="A2" s="50"/>
      <c r="B2" s="50"/>
      <c r="C2" s="50"/>
      <c r="D2" s="50"/>
      <c r="E2" s="50"/>
      <c r="F2" s="50"/>
      <c r="G2" s="50"/>
    </row>
    <row r="3" spans="1:8" ht="15.75" thickBot="1" x14ac:dyDescent="0.3">
      <c r="A3" s="50"/>
      <c r="B3" s="50"/>
      <c r="C3" s="50"/>
      <c r="D3" s="50"/>
      <c r="E3" s="50"/>
      <c r="F3" s="50"/>
      <c r="G3" s="50"/>
    </row>
    <row r="4" spans="1:8" ht="15" x14ac:dyDescent="0.25">
      <c r="A4" s="50"/>
      <c r="B4" s="50"/>
      <c r="C4" s="61" t="s">
        <v>149</v>
      </c>
      <c r="D4" s="61" t="s">
        <v>150</v>
      </c>
      <c r="E4" s="61" t="s">
        <v>151</v>
      </c>
      <c r="F4" s="61" t="s">
        <v>152</v>
      </c>
      <c r="G4" s="62" t="s">
        <v>153</v>
      </c>
      <c r="H4" s="62" t="s">
        <v>370</v>
      </c>
    </row>
    <row r="5" spans="1:8" ht="15" x14ac:dyDescent="0.25">
      <c r="A5" s="50" t="s">
        <v>147</v>
      </c>
      <c r="B5" s="50"/>
      <c r="C5" s="53">
        <f>Penjualan!U13</f>
        <v>1175500</v>
      </c>
      <c r="D5" s="53">
        <f>Penjualan!U21</f>
        <v>14323500</v>
      </c>
      <c r="E5" s="53">
        <f>Penjualan!U29</f>
        <v>16102000</v>
      </c>
      <c r="F5" s="53">
        <f>Penjualan!U37</f>
        <v>14425500</v>
      </c>
      <c r="G5" s="63">
        <f>Penjualan!W45</f>
        <v>3397000</v>
      </c>
      <c r="H5" s="63">
        <f>Penjualan!W53</f>
        <v>0</v>
      </c>
    </row>
    <row r="6" spans="1:8" ht="15" x14ac:dyDescent="0.25">
      <c r="A6" s="50" t="s">
        <v>144</v>
      </c>
      <c r="B6" s="50" t="s">
        <v>148</v>
      </c>
      <c r="C6" s="54"/>
      <c r="D6" s="54"/>
      <c r="E6" s="54"/>
      <c r="F6" s="54"/>
      <c r="G6" s="63"/>
      <c r="H6" s="63"/>
    </row>
    <row r="7" spans="1:8" ht="15" x14ac:dyDescent="0.25">
      <c r="A7" s="52" t="s">
        <v>143</v>
      </c>
      <c r="B7" s="52" t="s">
        <v>148</v>
      </c>
      <c r="C7" s="55"/>
      <c r="D7" s="58"/>
      <c r="E7" s="58"/>
      <c r="F7" s="58"/>
      <c r="G7" s="64"/>
      <c r="H7" s="64"/>
    </row>
    <row r="8" spans="1:8" ht="15" x14ac:dyDescent="0.25">
      <c r="A8" s="50"/>
      <c r="B8" s="50"/>
      <c r="C8" s="56"/>
      <c r="D8" s="56"/>
      <c r="E8" s="56"/>
      <c r="F8" s="56"/>
      <c r="G8" s="65"/>
      <c r="H8" s="65"/>
    </row>
    <row r="9" spans="1:8" ht="15" x14ac:dyDescent="0.25">
      <c r="A9" s="50"/>
      <c r="B9" s="50"/>
      <c r="C9" s="56"/>
      <c r="D9" s="56"/>
      <c r="E9" s="56"/>
      <c r="F9" s="56"/>
      <c r="G9" s="65"/>
      <c r="H9" s="65"/>
    </row>
    <row r="10" spans="1:8" ht="15" x14ac:dyDescent="0.25">
      <c r="A10" s="50" t="s">
        <v>146</v>
      </c>
      <c r="B10" s="50"/>
      <c r="C10" s="57"/>
      <c r="D10" s="60"/>
      <c r="E10" s="56"/>
      <c r="F10" s="56"/>
      <c r="G10" s="65"/>
      <c r="H10" s="65"/>
    </row>
    <row r="11" spans="1:8" ht="15" x14ac:dyDescent="0.25">
      <c r="A11" s="50" t="str">
        <f>A6</f>
        <v>Total produk yang dijual</v>
      </c>
      <c r="B11" s="50" t="s">
        <v>148</v>
      </c>
      <c r="C11" s="54"/>
      <c r="D11" s="54"/>
      <c r="E11" s="54"/>
      <c r="F11" s="54"/>
      <c r="G11" s="63"/>
      <c r="H11" s="63"/>
    </row>
    <row r="12" spans="1:8" ht="15" x14ac:dyDescent="0.25">
      <c r="A12" s="52" t="s">
        <v>145</v>
      </c>
      <c r="B12" s="52" t="s">
        <v>148</v>
      </c>
      <c r="C12" s="58"/>
      <c r="D12" s="58"/>
      <c r="E12" s="58"/>
      <c r="F12" s="58"/>
      <c r="G12" s="64"/>
      <c r="H12" s="64"/>
    </row>
    <row r="13" spans="1:8" ht="15" x14ac:dyDescent="0.25">
      <c r="A13" s="50"/>
      <c r="B13" s="50"/>
      <c r="C13" s="56"/>
      <c r="D13" s="56"/>
      <c r="E13" s="56"/>
      <c r="F13" s="56"/>
      <c r="G13" s="65"/>
      <c r="H13" s="65"/>
    </row>
    <row r="14" spans="1:8" ht="15.75" thickBot="1" x14ac:dyDescent="0.3">
      <c r="A14" s="690" t="s">
        <v>154</v>
      </c>
      <c r="B14" s="690"/>
      <c r="C14" s="59"/>
      <c r="D14" s="59"/>
      <c r="E14" s="59"/>
      <c r="F14" s="59"/>
      <c r="G14" s="66"/>
      <c r="H14" s="66"/>
    </row>
    <row r="15" spans="1:8" ht="15" x14ac:dyDescent="0.25">
      <c r="A15" s="50"/>
      <c r="B15" s="50"/>
      <c r="C15" s="50"/>
      <c r="D15" s="50"/>
      <c r="E15" s="50"/>
      <c r="F15" s="50"/>
      <c r="G15" s="50"/>
    </row>
    <row r="16" spans="1:8" ht="15" x14ac:dyDescent="0.25">
      <c r="A16" s="50"/>
      <c r="B16" s="50"/>
      <c r="C16" s="50"/>
      <c r="D16" s="50"/>
      <c r="E16" s="50"/>
      <c r="F16" s="50"/>
      <c r="G16" s="50"/>
    </row>
    <row r="17" spans="1:7" ht="15" x14ac:dyDescent="0.25">
      <c r="A17" s="50"/>
      <c r="B17" s="50"/>
      <c r="C17" s="50"/>
      <c r="D17" s="50"/>
      <c r="E17" s="50"/>
      <c r="F17" s="50"/>
      <c r="G17" s="50"/>
    </row>
    <row r="18" spans="1:7" ht="15" x14ac:dyDescent="0.25">
      <c r="A18" s="50"/>
      <c r="B18" s="50"/>
      <c r="C18" s="50"/>
      <c r="D18" s="50"/>
      <c r="E18" s="50"/>
      <c r="F18" s="50"/>
      <c r="G18" s="50"/>
    </row>
    <row r="19" spans="1:7" ht="15" x14ac:dyDescent="0.25">
      <c r="A19" s="50"/>
      <c r="B19" s="50"/>
      <c r="C19" s="50"/>
      <c r="D19" s="50"/>
      <c r="E19" s="50"/>
      <c r="F19" s="50"/>
      <c r="G19" s="50"/>
    </row>
    <row r="20" spans="1:7" ht="15" x14ac:dyDescent="0.25">
      <c r="A20" s="50"/>
      <c r="B20" s="50"/>
      <c r="C20" s="50"/>
      <c r="D20" s="50"/>
      <c r="E20" s="50"/>
      <c r="F20" s="50"/>
      <c r="G20" s="50"/>
    </row>
    <row r="21" spans="1:7" ht="15" x14ac:dyDescent="0.25">
      <c r="A21" s="50"/>
      <c r="B21" s="50"/>
      <c r="C21" s="50"/>
      <c r="D21" s="50"/>
      <c r="E21" s="50"/>
      <c r="F21" s="50"/>
      <c r="G21" s="50"/>
    </row>
    <row r="22" spans="1:7" ht="15" x14ac:dyDescent="0.25">
      <c r="A22" s="50"/>
      <c r="B22" s="50"/>
      <c r="C22" s="50"/>
      <c r="D22" s="50"/>
      <c r="E22" s="50"/>
      <c r="F22" s="50"/>
      <c r="G22" s="50"/>
    </row>
    <row r="23" spans="1:7" ht="15" x14ac:dyDescent="0.25">
      <c r="A23" s="50"/>
      <c r="B23" s="50"/>
      <c r="C23" s="50"/>
      <c r="D23" s="50"/>
      <c r="E23" s="50"/>
      <c r="F23" s="50"/>
      <c r="G23" s="50"/>
    </row>
  </sheetData>
  <mergeCells count="1">
    <mergeCell ref="A14:B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3:V35"/>
  <sheetViews>
    <sheetView showGridLines="0" topLeftCell="A2" zoomScaleNormal="100" workbookViewId="0">
      <selection activeCell="G13" sqref="G13"/>
    </sheetView>
  </sheetViews>
  <sheetFormatPr defaultRowHeight="12.75" x14ac:dyDescent="0.2"/>
  <cols>
    <col min="1" max="1" width="9.140625" style="67" customWidth="1"/>
    <col min="2" max="2" width="13.7109375" style="67" customWidth="1"/>
    <col min="3" max="3" width="9.140625" style="67"/>
    <col min="4" max="4" width="12.5703125" style="67" customWidth="1"/>
    <col min="5" max="5" width="1.85546875" style="67" customWidth="1"/>
    <col min="6" max="6" width="12.5703125" style="67" bestFit="1" customWidth="1"/>
    <col min="7" max="7" width="13.85546875" style="67" customWidth="1"/>
    <col min="8" max="8" width="11.28515625" style="67" bestFit="1" customWidth="1"/>
    <col min="9" max="9" width="12.42578125" style="67" customWidth="1"/>
    <col min="10" max="10" width="9.140625" style="67"/>
    <col min="11" max="11" width="12.28515625" style="67" customWidth="1"/>
    <col min="12" max="12" width="10.140625" style="435" customWidth="1"/>
    <col min="13" max="13" width="14.7109375" style="67" customWidth="1"/>
    <col min="14" max="14" width="12.28515625" style="67" customWidth="1"/>
    <col min="15" max="15" width="11.42578125" style="67" customWidth="1"/>
    <col min="16" max="19" width="9.140625" style="67"/>
    <col min="20" max="20" width="11.42578125" style="67" customWidth="1"/>
    <col min="21" max="22" width="10" style="67" bestFit="1" customWidth="1"/>
    <col min="23" max="16384" width="9.140625" style="67"/>
  </cols>
  <sheetData>
    <row r="3" spans="2:20" ht="24" customHeight="1" x14ac:dyDescent="0.2">
      <c r="B3" s="692" t="s">
        <v>176</v>
      </c>
      <c r="C3" s="692"/>
      <c r="D3" s="692"/>
      <c r="F3" s="201"/>
      <c r="G3" s="201"/>
      <c r="H3" s="201"/>
      <c r="I3" s="201"/>
    </row>
    <row r="4" spans="2:20" x14ac:dyDescent="0.2">
      <c r="B4" s="204">
        <v>100000</v>
      </c>
      <c r="C4" s="204"/>
      <c r="D4" s="204">
        <f t="shared" ref="D4:D10" si="0">B4*C4</f>
        <v>0</v>
      </c>
      <c r="F4" s="571" t="s">
        <v>139</v>
      </c>
      <c r="G4" s="33">
        <f>'Laporan Neraca'!D10</f>
        <v>62225360.125</v>
      </c>
      <c r="H4" s="19" t="s">
        <v>140</v>
      </c>
      <c r="I4" s="33">
        <f>D21</f>
        <v>200000</v>
      </c>
      <c r="M4" s="67">
        <f>10000000+11000000-1000000-1875000</f>
        <v>18125000</v>
      </c>
    </row>
    <row r="5" spans="2:20" x14ac:dyDescent="0.2">
      <c r="B5" s="204">
        <v>50000</v>
      </c>
      <c r="C5" s="204">
        <v>4</v>
      </c>
      <c r="D5" s="204">
        <f t="shared" si="0"/>
        <v>200000</v>
      </c>
      <c r="F5" s="571"/>
      <c r="G5" s="33"/>
      <c r="H5" s="19" t="s">
        <v>137</v>
      </c>
      <c r="I5" s="33">
        <v>54676000</v>
      </c>
      <c r="J5" s="14"/>
      <c r="K5" s="67" t="s">
        <v>504</v>
      </c>
      <c r="M5" s="67">
        <v>37500000</v>
      </c>
      <c r="N5" s="67">
        <v>1</v>
      </c>
      <c r="O5" s="67">
        <v>115</v>
      </c>
    </row>
    <row r="6" spans="2:20" x14ac:dyDescent="0.2">
      <c r="B6" s="204">
        <v>20000</v>
      </c>
      <c r="C6" s="204"/>
      <c r="D6" s="204">
        <f t="shared" si="0"/>
        <v>0</v>
      </c>
      <c r="F6" s="273" t="s">
        <v>560</v>
      </c>
      <c r="G6" s="204">
        <v>4000000</v>
      </c>
      <c r="H6" s="19" t="s">
        <v>158</v>
      </c>
      <c r="I6" s="33">
        <v>100000</v>
      </c>
      <c r="J6" s="73"/>
      <c r="K6" s="67" t="s">
        <v>486</v>
      </c>
      <c r="L6" s="522">
        <v>0.05</v>
      </c>
      <c r="M6" s="67">
        <f>L6*$M$5</f>
        <v>1875000</v>
      </c>
      <c r="N6" s="67">
        <v>2</v>
      </c>
      <c r="O6" s="67">
        <v>60</v>
      </c>
    </row>
    <row r="7" spans="2:20" x14ac:dyDescent="0.2">
      <c r="B7" s="204">
        <v>10000</v>
      </c>
      <c r="C7" s="204"/>
      <c r="D7" s="204">
        <f t="shared" si="0"/>
        <v>0</v>
      </c>
      <c r="F7" s="94" t="s">
        <v>512</v>
      </c>
      <c r="G7" s="89">
        <v>2000000</v>
      </c>
      <c r="H7" s="19" t="s">
        <v>585</v>
      </c>
      <c r="I7" s="33">
        <v>5500000</v>
      </c>
      <c r="J7" s="73"/>
      <c r="L7" s="562">
        <v>0.115</v>
      </c>
      <c r="M7" s="67">
        <f t="shared" ref="M7:M14" si="1">L7*$M$5</f>
        <v>4312500</v>
      </c>
      <c r="N7" s="67">
        <v>3</v>
      </c>
      <c r="O7" s="67">
        <v>36</v>
      </c>
    </row>
    <row r="8" spans="2:20" x14ac:dyDescent="0.2">
      <c r="B8" s="204">
        <v>5000</v>
      </c>
      <c r="C8" s="204"/>
      <c r="D8" s="204">
        <f t="shared" si="0"/>
        <v>0</v>
      </c>
      <c r="F8" s="94" t="s">
        <v>500</v>
      </c>
      <c r="G8" s="89">
        <v>186470</v>
      </c>
      <c r="H8" s="205"/>
      <c r="I8" s="24"/>
      <c r="J8" s="73"/>
      <c r="L8" s="562"/>
      <c r="M8" s="67">
        <f t="shared" si="1"/>
        <v>0</v>
      </c>
      <c r="N8" s="67">
        <v>4</v>
      </c>
      <c r="O8" s="67">
        <v>13</v>
      </c>
    </row>
    <row r="9" spans="2:20" x14ac:dyDescent="0.2">
      <c r="B9" s="204">
        <v>2000</v>
      </c>
      <c r="C9" s="204"/>
      <c r="D9" s="204">
        <f t="shared" si="0"/>
        <v>0</v>
      </c>
      <c r="F9" s="94"/>
      <c r="G9" s="89"/>
      <c r="H9" s="205"/>
      <c r="I9" s="24"/>
      <c r="J9" s="73"/>
      <c r="L9" s="562"/>
      <c r="M9" s="67">
        <f t="shared" si="1"/>
        <v>0</v>
      </c>
      <c r="N9" s="67">
        <v>5</v>
      </c>
      <c r="O9" s="67">
        <v>30</v>
      </c>
    </row>
    <row r="10" spans="2:20" x14ac:dyDescent="0.2">
      <c r="B10" s="204">
        <v>1000</v>
      </c>
      <c r="C10" s="204"/>
      <c r="D10" s="204">
        <f t="shared" si="0"/>
        <v>0</v>
      </c>
      <c r="F10" s="94"/>
      <c r="G10" s="89"/>
      <c r="H10" s="205"/>
      <c r="I10" s="24"/>
      <c r="J10" s="73"/>
      <c r="L10" s="562">
        <v>0.35</v>
      </c>
      <c r="M10" s="67">
        <f t="shared" si="1"/>
        <v>13125000</v>
      </c>
      <c r="N10" s="67">
        <v>6</v>
      </c>
      <c r="O10" s="67">
        <v>15</v>
      </c>
    </row>
    <row r="11" spans="2:20" x14ac:dyDescent="0.2">
      <c r="B11" s="569"/>
      <c r="C11" s="569"/>
      <c r="D11" s="569"/>
      <c r="F11" s="273"/>
      <c r="G11" s="204"/>
      <c r="H11" s="304"/>
      <c r="I11" s="204"/>
      <c r="J11" s="73"/>
      <c r="L11" s="562"/>
      <c r="M11" s="67">
        <f t="shared" si="1"/>
        <v>0</v>
      </c>
      <c r="N11" s="67">
        <v>7</v>
      </c>
      <c r="O11" s="67">
        <v>10</v>
      </c>
    </row>
    <row r="12" spans="2:20" x14ac:dyDescent="0.2">
      <c r="B12" s="204">
        <v>1000</v>
      </c>
      <c r="C12" s="204"/>
      <c r="D12" s="204">
        <f>B12*C12</f>
        <v>0</v>
      </c>
      <c r="F12" s="202" t="s">
        <v>141</v>
      </c>
      <c r="G12" s="194">
        <f>SUM(G4:G11)</f>
        <v>68411830.125</v>
      </c>
      <c r="H12" s="194" t="s">
        <v>141</v>
      </c>
      <c r="I12" s="194">
        <f>SUM(I4:I11)</f>
        <v>60476000</v>
      </c>
      <c r="J12" s="73"/>
      <c r="L12" s="522">
        <v>0.08</v>
      </c>
      <c r="M12" s="67">
        <f t="shared" si="1"/>
        <v>3000000</v>
      </c>
      <c r="N12" s="67">
        <v>8</v>
      </c>
      <c r="O12" s="67">
        <v>10</v>
      </c>
    </row>
    <row r="13" spans="2:20" x14ac:dyDescent="0.2">
      <c r="B13" s="204">
        <v>500</v>
      </c>
      <c r="C13" s="204"/>
      <c r="D13" s="204">
        <f>B13*C13</f>
        <v>0</v>
      </c>
      <c r="F13" s="202" t="s">
        <v>142</v>
      </c>
      <c r="G13" s="194">
        <f>I12-G12</f>
        <v>-7935830.125</v>
      </c>
      <c r="H13" s="203"/>
      <c r="I13" s="192"/>
      <c r="L13" s="522">
        <v>0.3</v>
      </c>
      <c r="M13" s="67">
        <f t="shared" si="1"/>
        <v>11250000</v>
      </c>
      <c r="N13" s="67">
        <v>9</v>
      </c>
      <c r="O13" s="67">
        <v>14</v>
      </c>
      <c r="S13" s="67" t="s">
        <v>591</v>
      </c>
    </row>
    <row r="14" spans="2:20" x14ac:dyDescent="0.2">
      <c r="B14" s="204">
        <v>200</v>
      </c>
      <c r="C14" s="204"/>
      <c r="D14" s="204">
        <f>B14*C14</f>
        <v>0</v>
      </c>
      <c r="F14" s="204"/>
      <c r="G14" s="204"/>
      <c r="H14" s="204"/>
      <c r="I14" s="204"/>
      <c r="L14" s="522">
        <v>0.1</v>
      </c>
      <c r="M14" s="67">
        <f t="shared" si="1"/>
        <v>3750000</v>
      </c>
      <c r="N14" s="67">
        <v>10</v>
      </c>
      <c r="O14" s="67">
        <v>20</v>
      </c>
      <c r="S14" s="67" t="s">
        <v>592</v>
      </c>
      <c r="T14" s="67">
        <v>550000</v>
      </c>
    </row>
    <row r="15" spans="2:20" x14ac:dyDescent="0.2">
      <c r="B15" s="204">
        <v>100</v>
      </c>
      <c r="C15" s="204"/>
      <c r="D15" s="204">
        <f>B15*C15</f>
        <v>0</v>
      </c>
      <c r="F15" s="204"/>
      <c r="G15" s="693" t="s">
        <v>156</v>
      </c>
      <c r="H15" s="693"/>
      <c r="I15" s="24">
        <f>'[2]Laporan Neraca'!D25+'[2]Laporan Neraca'!D30</f>
        <v>18924500</v>
      </c>
      <c r="L15" s="522"/>
      <c r="N15" s="67">
        <v>11</v>
      </c>
      <c r="O15" s="67">
        <v>10</v>
      </c>
      <c r="S15" s="67" t="s">
        <v>593</v>
      </c>
      <c r="T15" s="67">
        <v>290000</v>
      </c>
    </row>
    <row r="16" spans="2:20" x14ac:dyDescent="0.2">
      <c r="B16" s="569"/>
      <c r="C16" s="569"/>
      <c r="D16" s="569"/>
      <c r="F16" s="204"/>
      <c r="G16" s="693" t="s">
        <v>155</v>
      </c>
      <c r="H16" s="693"/>
      <c r="I16" s="24">
        <f>'[2]Laporan Neraca'!D26+'[2]Laporan Neraca'!D31</f>
        <v>290000</v>
      </c>
      <c r="K16" s="67" t="s">
        <v>487</v>
      </c>
      <c r="L16" s="522">
        <f>SUM(L6:L14)</f>
        <v>0.995</v>
      </c>
      <c r="M16" s="67">
        <f>L16*$M$5</f>
        <v>37312500</v>
      </c>
      <c r="N16" s="67">
        <v>12</v>
      </c>
      <c r="O16" s="67">
        <v>24</v>
      </c>
      <c r="S16" s="67" t="s">
        <v>553</v>
      </c>
      <c r="T16" s="67">
        <v>800000</v>
      </c>
    </row>
    <row r="17" spans="2:22" x14ac:dyDescent="0.2">
      <c r="B17" s="569"/>
      <c r="C17" s="569"/>
      <c r="D17" s="569"/>
      <c r="F17" s="204"/>
      <c r="G17" s="693" t="s">
        <v>18</v>
      </c>
      <c r="H17" s="693"/>
      <c r="I17" s="204">
        <f>'[2]Laporan Neraca'!D28+'[2]Laporan Neraca'!D33</f>
        <v>9055000</v>
      </c>
      <c r="N17" s="67">
        <v>13</v>
      </c>
      <c r="O17" s="67">
        <v>10</v>
      </c>
      <c r="T17" s="67">
        <f>SUM(T14:T16)</f>
        <v>1640000</v>
      </c>
    </row>
    <row r="18" spans="2:22" x14ac:dyDescent="0.2">
      <c r="B18" s="569"/>
      <c r="C18" s="569"/>
      <c r="D18" s="569"/>
      <c r="F18" s="201"/>
      <c r="G18" s="201"/>
      <c r="H18" s="201"/>
      <c r="I18" s="201"/>
      <c r="N18" s="67">
        <v>14</v>
      </c>
      <c r="O18" s="67">
        <v>60</v>
      </c>
      <c r="T18" s="67">
        <f>V31</f>
        <v>2287500</v>
      </c>
    </row>
    <row r="19" spans="2:22" x14ac:dyDescent="0.2">
      <c r="B19" s="569"/>
      <c r="C19" s="569"/>
      <c r="D19" s="569"/>
      <c r="F19" s="201"/>
      <c r="G19" s="201"/>
      <c r="H19" s="561" t="s">
        <v>542</v>
      </c>
      <c r="I19" s="201">
        <f>'[2]Laporan Neraca'!I32</f>
        <v>11326113.75</v>
      </c>
      <c r="O19" s="67">
        <f>SUM(O5:O18)</f>
        <v>427</v>
      </c>
      <c r="T19" s="67">
        <f>T18-T17</f>
        <v>647500</v>
      </c>
    </row>
    <row r="20" spans="2:22" x14ac:dyDescent="0.2">
      <c r="B20" s="524"/>
      <c r="C20" s="204"/>
      <c r="D20" s="204"/>
      <c r="F20" s="273"/>
      <c r="G20" s="204"/>
      <c r="H20" s="523" t="s">
        <v>463</v>
      </c>
      <c r="I20" s="204">
        <f>15/30*$I$19</f>
        <v>5663056.875</v>
      </c>
      <c r="J20" s="435">
        <f>I20/15000000</f>
        <v>0.37753712499999997</v>
      </c>
      <c r="L20" s="73"/>
      <c r="M20" s="89"/>
    </row>
    <row r="21" spans="2:22" x14ac:dyDescent="0.2">
      <c r="B21" s="201"/>
      <c r="C21" s="201"/>
      <c r="D21" s="201">
        <f>SUM(D4:D20)</f>
        <v>200000</v>
      </c>
      <c r="F21" s="273"/>
      <c r="G21" s="204"/>
      <c r="H21" s="523" t="s">
        <v>464</v>
      </c>
      <c r="I21" s="204">
        <f>10/30*I19</f>
        <v>3775371.25</v>
      </c>
      <c r="J21" s="435">
        <f>I21/10000000</f>
        <v>0.37753712499999997</v>
      </c>
      <c r="L21" s="73"/>
      <c r="M21" s="89"/>
    </row>
    <row r="22" spans="2:22" x14ac:dyDescent="0.2">
      <c r="D22" s="67">
        <f>G9-D21</f>
        <v>-200000</v>
      </c>
      <c r="F22" s="201"/>
      <c r="G22" s="201"/>
      <c r="H22" s="523" t="s">
        <v>507</v>
      </c>
      <c r="I22" s="204">
        <f>5/30*I19</f>
        <v>1887685.625</v>
      </c>
      <c r="L22" s="73" t="s">
        <v>530</v>
      </c>
      <c r="M22" s="89"/>
      <c r="O22" s="67" t="s">
        <v>534</v>
      </c>
    </row>
    <row r="23" spans="2:22" x14ac:dyDescent="0.2">
      <c r="H23" s="694" t="s">
        <v>539</v>
      </c>
      <c r="I23" s="694"/>
      <c r="L23" s="73" t="s">
        <v>501</v>
      </c>
      <c r="M23" s="89">
        <v>27592033.350000001</v>
      </c>
    </row>
    <row r="24" spans="2:22" x14ac:dyDescent="0.2">
      <c r="H24" s="523" t="s">
        <v>507</v>
      </c>
      <c r="I24" s="204">
        <v>11000000</v>
      </c>
      <c r="L24" s="73" t="s">
        <v>531</v>
      </c>
      <c r="M24" s="89">
        <v>2066276</v>
      </c>
      <c r="N24" s="67">
        <f>'[2]Laporan Neraca'!I26</f>
        <v>2380762.3839631658</v>
      </c>
      <c r="O24" s="67">
        <f>N24-M24</f>
        <v>314486.3839631658</v>
      </c>
      <c r="P24" s="519">
        <f>O24/M24</f>
        <v>0.15219960158428295</v>
      </c>
      <c r="Q24" s="519"/>
    </row>
    <row r="25" spans="2:22" x14ac:dyDescent="0.2">
      <c r="B25" s="691"/>
      <c r="C25" s="691"/>
      <c r="D25" s="435"/>
      <c r="H25" s="523" t="s">
        <v>488</v>
      </c>
      <c r="I25" s="204">
        <v>3000000</v>
      </c>
      <c r="L25" s="435" t="s">
        <v>532</v>
      </c>
      <c r="M25" s="67">
        <v>10381280.15</v>
      </c>
      <c r="N25" s="67">
        <f>'[2]Laporan Neraca'!I27</f>
        <v>11961306.852764826</v>
      </c>
      <c r="O25" s="67">
        <f t="shared" ref="O25:O26" si="2">N25-M25</f>
        <v>1580026.7027648259</v>
      </c>
      <c r="P25" s="519">
        <f>O25/M25</f>
        <v>0.15219960158428303</v>
      </c>
      <c r="Q25" s="519"/>
    </row>
    <row r="26" spans="2:22" x14ac:dyDescent="0.2">
      <c r="B26" s="691"/>
      <c r="C26" s="691"/>
      <c r="D26" s="435"/>
      <c r="H26" s="523"/>
      <c r="I26" s="204"/>
      <c r="L26" s="67" t="s">
        <v>533</v>
      </c>
      <c r="M26" s="67">
        <v>5750000</v>
      </c>
      <c r="N26" s="67">
        <f>'[2]Laporan Neraca'!I28</f>
        <v>6625147.7091096267</v>
      </c>
      <c r="O26" s="67">
        <f t="shared" si="2"/>
        <v>875147.70910962671</v>
      </c>
      <c r="P26" s="519">
        <f>O26/M26</f>
        <v>0.15219960158428292</v>
      </c>
      <c r="Q26" s="519"/>
    </row>
    <row r="27" spans="2:22" x14ac:dyDescent="0.2">
      <c r="B27" s="691"/>
      <c r="C27" s="691"/>
      <c r="D27" s="435"/>
      <c r="H27" s="204"/>
      <c r="I27" s="204"/>
      <c r="L27" s="67"/>
    </row>
    <row r="28" spans="2:22" x14ac:dyDescent="0.2">
      <c r="B28" s="691"/>
      <c r="C28" s="691"/>
      <c r="D28" s="572"/>
      <c r="H28" s="204"/>
      <c r="I28" s="204"/>
      <c r="L28" s="67" t="s">
        <v>582</v>
      </c>
      <c r="M28" s="67" t="s">
        <v>586</v>
      </c>
      <c r="N28" s="67" t="s">
        <v>587</v>
      </c>
      <c r="O28" s="67" t="s">
        <v>589</v>
      </c>
      <c r="P28" s="67" t="s">
        <v>588</v>
      </c>
      <c r="Q28" s="67" t="s">
        <v>585</v>
      </c>
    </row>
    <row r="29" spans="2:22" x14ac:dyDescent="0.2">
      <c r="B29" s="691"/>
      <c r="C29" s="691"/>
      <c r="D29" s="572"/>
      <c r="H29" s="204"/>
      <c r="I29" s="204">
        <f>SUM(I24:I28)</f>
        <v>14000000</v>
      </c>
      <c r="K29" s="67" t="s">
        <v>581</v>
      </c>
      <c r="L29" s="67">
        <v>14</v>
      </c>
      <c r="M29" s="67">
        <v>2</v>
      </c>
      <c r="N29" s="67">
        <v>3</v>
      </c>
      <c r="O29" s="67">
        <v>3</v>
      </c>
      <c r="P29" s="67">
        <v>1</v>
      </c>
      <c r="Q29" s="67">
        <v>21</v>
      </c>
      <c r="R29" s="67">
        <f>SUM(L29:Q29)</f>
        <v>44</v>
      </c>
      <c r="S29" s="519">
        <f>R29/$R$34</f>
        <v>0.44</v>
      </c>
      <c r="T29" s="67">
        <f>5%*$M$5</f>
        <v>1875000</v>
      </c>
      <c r="U29" s="67">
        <f>S29*$T$35</f>
        <v>1650000</v>
      </c>
      <c r="V29" s="67">
        <f>T29+U29</f>
        <v>3525000</v>
      </c>
    </row>
    <row r="30" spans="2:22" x14ac:dyDescent="0.2">
      <c r="B30" s="691"/>
      <c r="C30" s="691"/>
      <c r="D30" s="572"/>
      <c r="K30" s="67" t="s">
        <v>583</v>
      </c>
      <c r="L30" s="67">
        <v>13</v>
      </c>
      <c r="M30" s="67">
        <v>2</v>
      </c>
      <c r="O30" s="67">
        <v>3</v>
      </c>
      <c r="P30" s="67">
        <v>1</v>
      </c>
      <c r="R30" s="67">
        <f t="shared" ref="R30:R33" si="3">SUM(L30:P30)</f>
        <v>19</v>
      </c>
      <c r="S30" s="519">
        <f t="shared" ref="S30:S33" si="4">R30/$R$34</f>
        <v>0.19</v>
      </c>
      <c r="T30" s="67">
        <f t="shared" ref="T30:T33" si="5">5%*$M$5</f>
        <v>1875000</v>
      </c>
      <c r="U30" s="67">
        <f t="shared" ref="U30:U33" si="6">S30*$T$35</f>
        <v>712500</v>
      </c>
      <c r="V30" s="67">
        <f t="shared" ref="V30:V33" si="7">T30+U30</f>
        <v>2587500</v>
      </c>
    </row>
    <row r="31" spans="2:22" x14ac:dyDescent="0.2">
      <c r="K31" s="67" t="s">
        <v>508</v>
      </c>
      <c r="L31" s="573">
        <v>8</v>
      </c>
      <c r="M31" s="67">
        <v>2</v>
      </c>
      <c r="P31" s="67">
        <v>1</v>
      </c>
      <c r="R31" s="67">
        <f t="shared" si="3"/>
        <v>11</v>
      </c>
      <c r="S31" s="519">
        <f t="shared" si="4"/>
        <v>0.11</v>
      </c>
      <c r="T31" s="67">
        <f t="shared" si="5"/>
        <v>1875000</v>
      </c>
      <c r="U31" s="67">
        <f t="shared" si="6"/>
        <v>412500</v>
      </c>
      <c r="V31" s="67">
        <f t="shared" si="7"/>
        <v>2287500</v>
      </c>
    </row>
    <row r="32" spans="2:22" x14ac:dyDescent="0.2">
      <c r="K32" s="67" t="s">
        <v>584</v>
      </c>
      <c r="L32" s="573">
        <v>10</v>
      </c>
      <c r="P32" s="67">
        <v>1</v>
      </c>
      <c r="R32" s="67">
        <f t="shared" si="3"/>
        <v>11</v>
      </c>
      <c r="S32" s="519">
        <f t="shared" si="4"/>
        <v>0.11</v>
      </c>
      <c r="T32" s="67">
        <f t="shared" si="5"/>
        <v>1875000</v>
      </c>
      <c r="U32" s="67">
        <f t="shared" si="6"/>
        <v>412500</v>
      </c>
      <c r="V32" s="67">
        <f t="shared" si="7"/>
        <v>2287500</v>
      </c>
    </row>
    <row r="33" spans="11:22" x14ac:dyDescent="0.2">
      <c r="K33" s="67" t="s">
        <v>590</v>
      </c>
      <c r="L33" s="573">
        <v>12</v>
      </c>
      <c r="M33" s="67">
        <v>2</v>
      </c>
      <c r="P33" s="67">
        <v>1</v>
      </c>
      <c r="R33" s="67">
        <f t="shared" si="3"/>
        <v>15</v>
      </c>
      <c r="S33" s="519">
        <f t="shared" si="4"/>
        <v>0.15</v>
      </c>
      <c r="T33" s="67">
        <f t="shared" si="5"/>
        <v>1875000</v>
      </c>
      <c r="U33" s="67">
        <f t="shared" si="6"/>
        <v>562500</v>
      </c>
      <c r="V33" s="67">
        <f t="shared" si="7"/>
        <v>2437500</v>
      </c>
    </row>
    <row r="34" spans="11:22" x14ac:dyDescent="0.2">
      <c r="R34" s="67">
        <f>SUM(R29:R33)</f>
        <v>100</v>
      </c>
      <c r="T34" s="67">
        <f>SUM(T29:T33)</f>
        <v>9375000</v>
      </c>
    </row>
    <row r="35" spans="11:22" x14ac:dyDescent="0.2">
      <c r="T35" s="67">
        <f>M10-T34</f>
        <v>3750000</v>
      </c>
      <c r="V35" s="67">
        <f>M10-V29</f>
        <v>9600000</v>
      </c>
    </row>
  </sheetData>
  <mergeCells count="11">
    <mergeCell ref="B3:D3"/>
    <mergeCell ref="G15:H15"/>
    <mergeCell ref="G16:H16"/>
    <mergeCell ref="B25:C25"/>
    <mergeCell ref="H23:I23"/>
    <mergeCell ref="G17:H17"/>
    <mergeCell ref="B27:C27"/>
    <mergeCell ref="B28:C28"/>
    <mergeCell ref="B29:C29"/>
    <mergeCell ref="B30:C30"/>
    <mergeCell ref="B26:C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J90"/>
  <sheetViews>
    <sheetView showGridLines="0" zoomScale="85" zoomScaleNormal="85" zoomScalePageLayoutView="90" workbookViewId="0">
      <pane ySplit="5" topLeftCell="A6" activePane="bottomLeft" state="frozen"/>
      <selection pane="bottomLeft" activeCell="I25" sqref="I25"/>
    </sheetView>
  </sheetViews>
  <sheetFormatPr defaultColWidth="8" defaultRowHeight="12.75" x14ac:dyDescent="0.2"/>
  <cols>
    <col min="1" max="1" width="7" style="73" customWidth="1"/>
    <col min="2" max="2" width="33.42578125" style="73" bestFit="1" customWidth="1"/>
    <col min="3" max="4" width="6.7109375" style="73" customWidth="1"/>
    <col min="5" max="5" width="2.85546875" style="38" customWidth="1"/>
    <col min="6" max="6" width="14.28515625" style="73" customWidth="1"/>
    <col min="7" max="7" width="14.85546875" style="73" customWidth="1"/>
    <col min="8" max="8" width="4.7109375" style="73" customWidth="1"/>
    <col min="9" max="10" width="10" style="73" bestFit="1" customWidth="1"/>
    <col min="11" max="11" width="13.85546875" style="73" customWidth="1"/>
    <col min="12" max="16384" width="8" style="73"/>
  </cols>
  <sheetData>
    <row r="1" spans="1:10" s="72" customFormat="1" ht="28.5" customHeight="1" x14ac:dyDescent="0.25">
      <c r="A1" s="584" t="s">
        <v>129</v>
      </c>
      <c r="B1" s="584"/>
      <c r="C1" s="584"/>
      <c r="D1" s="584"/>
      <c r="E1" s="584"/>
      <c r="F1" s="584"/>
      <c r="G1" s="584"/>
    </row>
    <row r="2" spans="1:10" s="72" customFormat="1" ht="28.5" customHeight="1" x14ac:dyDescent="0.2">
      <c r="A2" s="585" t="s">
        <v>284</v>
      </c>
      <c r="B2" s="585"/>
      <c r="C2" s="585"/>
      <c r="D2" s="585"/>
      <c r="E2" s="585"/>
      <c r="F2" s="585"/>
      <c r="G2" s="585"/>
    </row>
    <row r="3" spans="1:10" ht="18" customHeight="1" x14ac:dyDescent="0.2">
      <c r="A3" s="587" t="s">
        <v>0</v>
      </c>
      <c r="B3" s="586" t="s">
        <v>1</v>
      </c>
      <c r="C3" s="586" t="s">
        <v>56</v>
      </c>
      <c r="D3" s="586" t="s">
        <v>57</v>
      </c>
      <c r="E3" s="588"/>
      <c r="F3" s="586" t="s">
        <v>2</v>
      </c>
      <c r="G3" s="586"/>
    </row>
    <row r="4" spans="1:10" ht="18" customHeight="1" x14ac:dyDescent="0.2">
      <c r="A4" s="587"/>
      <c r="B4" s="586"/>
      <c r="C4" s="586"/>
      <c r="D4" s="586"/>
      <c r="E4" s="588"/>
      <c r="F4" s="151" t="s">
        <v>54</v>
      </c>
      <c r="G4" s="151" t="s">
        <v>55</v>
      </c>
    </row>
    <row r="5" spans="1:10" ht="6.75" customHeight="1" x14ac:dyDescent="0.2">
      <c r="A5" s="164"/>
      <c r="B5" s="165"/>
      <c r="C5" s="165"/>
      <c r="D5" s="165"/>
      <c r="E5" s="14"/>
      <c r="F5" s="36"/>
      <c r="G5" s="36"/>
    </row>
    <row r="6" spans="1:10" x14ac:dyDescent="0.2">
      <c r="A6" s="152" t="s">
        <v>31</v>
      </c>
      <c r="B6" s="153" t="s">
        <v>67</v>
      </c>
      <c r="C6" s="154"/>
      <c r="D6" s="154"/>
      <c r="E6" s="154"/>
      <c r="F6" s="155"/>
      <c r="G6" s="155"/>
    </row>
    <row r="7" spans="1:10" x14ac:dyDescent="0.2">
      <c r="A7" s="137" t="s">
        <v>183</v>
      </c>
      <c r="B7" s="48" t="s">
        <v>3</v>
      </c>
      <c r="C7" s="48" t="s">
        <v>59</v>
      </c>
      <c r="D7" s="48" t="s">
        <v>60</v>
      </c>
      <c r="E7" s="48"/>
      <c r="F7" s="139">
        <f>50426622.625-2937862.5</f>
        <v>47488760.125</v>
      </c>
      <c r="G7" s="139"/>
      <c r="H7" s="87"/>
    </row>
    <row r="8" spans="1:10" x14ac:dyDescent="0.2">
      <c r="A8" s="137" t="s">
        <v>184</v>
      </c>
      <c r="B8" s="48" t="s">
        <v>137</v>
      </c>
      <c r="C8" s="48" t="s">
        <v>59</v>
      </c>
      <c r="D8" s="48" t="s">
        <v>60</v>
      </c>
      <c r="E8" s="48"/>
      <c r="F8" s="139">
        <v>0</v>
      </c>
      <c r="G8" s="139"/>
      <c r="H8" s="87"/>
    </row>
    <row r="9" spans="1:10" x14ac:dyDescent="0.2">
      <c r="A9" s="137" t="s">
        <v>185</v>
      </c>
      <c r="B9" s="48" t="s">
        <v>138</v>
      </c>
      <c r="C9" s="48" t="s">
        <v>59</v>
      </c>
      <c r="D9" s="48" t="s">
        <v>60</v>
      </c>
      <c r="E9" s="48"/>
      <c r="F9" s="139">
        <v>0</v>
      </c>
      <c r="G9" s="139"/>
    </row>
    <row r="10" spans="1:10" x14ac:dyDescent="0.2">
      <c r="A10" s="137" t="s">
        <v>32</v>
      </c>
      <c r="B10" s="48" t="s">
        <v>230</v>
      </c>
      <c r="C10" s="48" t="s">
        <v>59</v>
      </c>
      <c r="D10" s="48" t="s">
        <v>60</v>
      </c>
      <c r="E10" s="48"/>
      <c r="F10" s="139">
        <v>14250000</v>
      </c>
      <c r="G10" s="139"/>
    </row>
    <row r="11" spans="1:10" x14ac:dyDescent="0.2">
      <c r="A11" s="137" t="s">
        <v>286</v>
      </c>
      <c r="B11" s="138" t="s">
        <v>24</v>
      </c>
      <c r="C11" s="48"/>
      <c r="D11" s="48"/>
      <c r="E11" s="48"/>
      <c r="F11" s="139"/>
      <c r="G11" s="139"/>
    </row>
    <row r="12" spans="1:10" x14ac:dyDescent="0.2">
      <c r="A12" s="137" t="s">
        <v>290</v>
      </c>
      <c r="B12" s="48" t="s">
        <v>186</v>
      </c>
      <c r="C12" s="48" t="s">
        <v>59</v>
      </c>
      <c r="D12" s="48" t="s">
        <v>60</v>
      </c>
      <c r="E12" s="48"/>
      <c r="F12" s="139">
        <v>0</v>
      </c>
      <c r="G12" s="139"/>
    </row>
    <row r="13" spans="1:10" x14ac:dyDescent="0.2">
      <c r="A13" s="137" t="s">
        <v>291</v>
      </c>
      <c r="B13" s="48" t="s">
        <v>220</v>
      </c>
      <c r="C13" s="48" t="s">
        <v>59</v>
      </c>
      <c r="D13" s="48" t="s">
        <v>60</v>
      </c>
      <c r="E13" s="48"/>
      <c r="F13" s="139">
        <v>8175800</v>
      </c>
      <c r="G13" s="139"/>
      <c r="H13" s="41"/>
      <c r="I13" s="89"/>
    </row>
    <row r="14" spans="1:10" x14ac:dyDescent="0.2">
      <c r="A14" s="137" t="s">
        <v>292</v>
      </c>
      <c r="B14" s="48" t="s">
        <v>221</v>
      </c>
      <c r="C14" s="48" t="s">
        <v>59</v>
      </c>
      <c r="D14" s="48" t="s">
        <v>60</v>
      </c>
      <c r="E14" s="48"/>
      <c r="F14" s="139">
        <v>1305500</v>
      </c>
      <c r="G14" s="139"/>
      <c r="H14" s="41"/>
      <c r="I14" s="89"/>
    </row>
    <row r="15" spans="1:10" x14ac:dyDescent="0.2">
      <c r="A15" s="137" t="s">
        <v>287</v>
      </c>
      <c r="B15" s="48" t="s">
        <v>476</v>
      </c>
      <c r="C15" s="48" t="s">
        <v>59</v>
      </c>
      <c r="D15" s="48" t="s">
        <v>60</v>
      </c>
      <c r="E15" s="48"/>
      <c r="F15" s="139">
        <v>16885000</v>
      </c>
      <c r="G15" s="139"/>
      <c r="I15" s="87"/>
      <c r="J15" s="87"/>
    </row>
    <row r="16" spans="1:10" x14ac:dyDescent="0.2">
      <c r="A16" s="137" t="s">
        <v>288</v>
      </c>
      <c r="B16" s="48" t="s">
        <v>79</v>
      </c>
      <c r="C16" s="48" t="s">
        <v>59</v>
      </c>
      <c r="D16" s="48" t="s">
        <v>60</v>
      </c>
      <c r="E16" s="48"/>
      <c r="F16" s="139">
        <v>23750000</v>
      </c>
      <c r="G16" s="139"/>
      <c r="H16" s="89"/>
      <c r="J16" s="87"/>
    </row>
    <row r="17" spans="1:7" x14ac:dyDescent="0.2">
      <c r="A17" s="137" t="s">
        <v>289</v>
      </c>
      <c r="B17" s="48" t="s">
        <v>88</v>
      </c>
      <c r="C17" s="48" t="s">
        <v>59</v>
      </c>
      <c r="D17" s="48" t="s">
        <v>60</v>
      </c>
      <c r="E17" s="48"/>
      <c r="F17" s="139">
        <v>-8000000</v>
      </c>
      <c r="G17" s="139"/>
    </row>
    <row r="18" spans="1:7" x14ac:dyDescent="0.2">
      <c r="A18" s="152" t="s">
        <v>35</v>
      </c>
      <c r="B18" s="153" t="s">
        <v>68</v>
      </c>
      <c r="C18" s="154"/>
      <c r="D18" s="154"/>
      <c r="E18" s="154"/>
      <c r="F18" s="157"/>
      <c r="G18" s="157"/>
    </row>
    <row r="19" spans="1:7" x14ac:dyDescent="0.2">
      <c r="A19" s="140" t="s">
        <v>37</v>
      </c>
      <c r="B19" s="17" t="s">
        <v>76</v>
      </c>
      <c r="C19" s="17" t="s">
        <v>59</v>
      </c>
      <c r="D19" s="17" t="s">
        <v>60</v>
      </c>
      <c r="E19" s="17"/>
      <c r="F19" s="142">
        <v>23024500</v>
      </c>
      <c r="G19" s="142"/>
    </row>
    <row r="20" spans="1:7" x14ac:dyDescent="0.2">
      <c r="A20" s="140" t="s">
        <v>39</v>
      </c>
      <c r="B20" s="17" t="s">
        <v>229</v>
      </c>
      <c r="C20" s="17" t="s">
        <v>59</v>
      </c>
      <c r="D20" s="17" t="s">
        <v>60</v>
      </c>
      <c r="E20" s="17"/>
      <c r="F20" s="142">
        <v>530000</v>
      </c>
      <c r="G20" s="142"/>
    </row>
    <row r="21" spans="1:7" x14ac:dyDescent="0.2">
      <c r="A21" s="140" t="s">
        <v>293</v>
      </c>
      <c r="B21" s="17" t="s">
        <v>22</v>
      </c>
      <c r="C21" s="17" t="s">
        <v>59</v>
      </c>
      <c r="D21" s="17" t="s">
        <v>60</v>
      </c>
      <c r="E21" s="17"/>
      <c r="F21" s="142">
        <v>0</v>
      </c>
      <c r="G21" s="142"/>
    </row>
    <row r="22" spans="1:7" x14ac:dyDescent="0.2">
      <c r="A22" s="140" t="s">
        <v>294</v>
      </c>
      <c r="B22" s="17" t="s">
        <v>18</v>
      </c>
      <c r="C22" s="17" t="s">
        <v>59</v>
      </c>
      <c r="D22" s="17" t="s">
        <v>60</v>
      </c>
      <c r="E22" s="17"/>
      <c r="F22" s="142">
        <v>10855000</v>
      </c>
      <c r="G22" s="142"/>
    </row>
    <row r="23" spans="1:7" x14ac:dyDescent="0.2">
      <c r="A23" s="140" t="s">
        <v>295</v>
      </c>
      <c r="B23" s="17" t="s">
        <v>82</v>
      </c>
      <c r="C23" s="17" t="s">
        <v>59</v>
      </c>
      <c r="D23" s="17" t="s">
        <v>60</v>
      </c>
      <c r="E23" s="17"/>
      <c r="F23" s="142">
        <v>2150000</v>
      </c>
      <c r="G23" s="142"/>
    </row>
    <row r="24" spans="1:7" x14ac:dyDescent="0.2">
      <c r="A24" s="140" t="s">
        <v>296</v>
      </c>
      <c r="B24" s="17" t="s">
        <v>77</v>
      </c>
      <c r="C24" s="17" t="s">
        <v>61</v>
      </c>
      <c r="D24" s="17" t="s">
        <v>60</v>
      </c>
      <c r="E24" s="17"/>
      <c r="F24" s="142">
        <v>-4100000</v>
      </c>
      <c r="G24" s="142"/>
    </row>
    <row r="25" spans="1:7" x14ac:dyDescent="0.2">
      <c r="A25" s="140" t="s">
        <v>297</v>
      </c>
      <c r="B25" s="17" t="s">
        <v>78</v>
      </c>
      <c r="C25" s="17" t="s">
        <v>61</v>
      </c>
      <c r="D25" s="17" t="s">
        <v>60</v>
      </c>
      <c r="E25" s="17"/>
      <c r="F25" s="142">
        <v>-240000</v>
      </c>
      <c r="G25" s="142"/>
    </row>
    <row r="26" spans="1:7" x14ac:dyDescent="0.2">
      <c r="A26" s="140" t="s">
        <v>298</v>
      </c>
      <c r="B26" s="17" t="s">
        <v>33</v>
      </c>
      <c r="C26" s="17" t="s">
        <v>61</v>
      </c>
      <c r="D26" s="17" t="s">
        <v>60</v>
      </c>
      <c r="E26" s="17"/>
      <c r="F26" s="142">
        <v>0</v>
      </c>
      <c r="G26" s="142"/>
    </row>
    <row r="27" spans="1:7" x14ac:dyDescent="0.2">
      <c r="A27" s="140" t="s">
        <v>299</v>
      </c>
      <c r="B27" s="17" t="s">
        <v>34</v>
      </c>
      <c r="C27" s="17" t="s">
        <v>61</v>
      </c>
      <c r="D27" s="17" t="s">
        <v>60</v>
      </c>
      <c r="E27" s="17"/>
      <c r="F27" s="142">
        <v>-1800000</v>
      </c>
      <c r="G27" s="142"/>
    </row>
    <row r="28" spans="1:7" s="14" customFormat="1" x14ac:dyDescent="0.2">
      <c r="A28" s="156" t="s">
        <v>40</v>
      </c>
      <c r="B28" s="153" t="s">
        <v>36</v>
      </c>
      <c r="C28" s="154"/>
      <c r="D28" s="154"/>
      <c r="E28" s="154"/>
      <c r="F28" s="157"/>
      <c r="G28" s="157"/>
    </row>
    <row r="29" spans="1:7" x14ac:dyDescent="0.2">
      <c r="A29" s="143" t="s">
        <v>42</v>
      </c>
      <c r="B29" s="138" t="s">
        <v>38</v>
      </c>
      <c r="C29" s="48"/>
      <c r="D29" s="48"/>
      <c r="E29" s="48"/>
      <c r="F29" s="139"/>
      <c r="G29" s="139"/>
    </row>
    <row r="30" spans="1:7" x14ac:dyDescent="0.2">
      <c r="A30" s="137" t="s">
        <v>300</v>
      </c>
      <c r="B30" s="48" t="s">
        <v>80</v>
      </c>
      <c r="C30" s="48" t="s">
        <v>61</v>
      </c>
      <c r="D30" s="48" t="s">
        <v>60</v>
      </c>
      <c r="E30" s="48"/>
      <c r="F30" s="139"/>
      <c r="G30" s="139">
        <v>0</v>
      </c>
    </row>
    <row r="31" spans="1:7" x14ac:dyDescent="0.2">
      <c r="A31" s="140" t="s">
        <v>43</v>
      </c>
      <c r="B31" s="141" t="s">
        <v>81</v>
      </c>
      <c r="C31" s="17"/>
      <c r="D31" s="17"/>
      <c r="E31" s="17"/>
      <c r="F31" s="142"/>
      <c r="G31" s="142"/>
    </row>
    <row r="32" spans="1:7" x14ac:dyDescent="0.2">
      <c r="A32" s="140" t="s">
        <v>301</v>
      </c>
      <c r="B32" s="17" t="s">
        <v>225</v>
      </c>
      <c r="C32" s="17" t="s">
        <v>61</v>
      </c>
      <c r="D32" s="17" t="s">
        <v>60</v>
      </c>
      <c r="E32" s="17"/>
      <c r="F32" s="142"/>
      <c r="G32" s="142">
        <v>15000000</v>
      </c>
    </row>
    <row r="33" spans="1:8" x14ac:dyDescent="0.2">
      <c r="A33" s="140" t="s">
        <v>302</v>
      </c>
      <c r="B33" s="17" t="s">
        <v>490</v>
      </c>
      <c r="C33" s="17" t="s">
        <v>61</v>
      </c>
      <c r="D33" s="17" t="s">
        <v>60</v>
      </c>
      <c r="E33" s="17"/>
      <c r="F33" s="142"/>
      <c r="G33" s="142">
        <v>5000000</v>
      </c>
    </row>
    <row r="34" spans="1:8" x14ac:dyDescent="0.2">
      <c r="A34" s="140" t="s">
        <v>303</v>
      </c>
      <c r="B34" s="17" t="s">
        <v>226</v>
      </c>
      <c r="C34" s="17" t="s">
        <v>61</v>
      </c>
      <c r="D34" s="17" t="s">
        <v>60</v>
      </c>
      <c r="E34" s="17"/>
      <c r="F34" s="142"/>
      <c r="G34" s="142">
        <v>10000000</v>
      </c>
    </row>
    <row r="35" spans="1:8" s="14" customFormat="1" x14ac:dyDescent="0.2">
      <c r="A35" s="152" t="s">
        <v>44</v>
      </c>
      <c r="B35" s="153" t="s">
        <v>41</v>
      </c>
      <c r="C35" s="154" t="s">
        <v>58</v>
      </c>
      <c r="D35" s="154" t="s">
        <v>58</v>
      </c>
      <c r="E35" s="154"/>
      <c r="F35" s="157"/>
      <c r="G35" s="157"/>
    </row>
    <row r="36" spans="1:8" x14ac:dyDescent="0.2">
      <c r="A36" s="137" t="s">
        <v>491</v>
      </c>
      <c r="B36" s="48" t="s">
        <v>133</v>
      </c>
      <c r="C36" s="48" t="s">
        <v>61</v>
      </c>
      <c r="D36" s="48" t="s">
        <v>60</v>
      </c>
      <c r="E36" s="48"/>
      <c r="F36" s="139"/>
      <c r="G36" s="139">
        <v>63266831.304162428</v>
      </c>
      <c r="H36" s="87"/>
    </row>
    <row r="37" spans="1:8" x14ac:dyDescent="0.2">
      <c r="A37" s="137" t="s">
        <v>492</v>
      </c>
      <c r="B37" s="48" t="s">
        <v>489</v>
      </c>
      <c r="C37" s="48" t="s">
        <v>61</v>
      </c>
      <c r="D37" s="48" t="s">
        <v>60</v>
      </c>
      <c r="E37" s="48"/>
      <c r="F37" s="139"/>
      <c r="G37" s="139">
        <v>2380762.3839631658</v>
      </c>
      <c r="H37" s="87"/>
    </row>
    <row r="38" spans="1:8" x14ac:dyDescent="0.2">
      <c r="A38" s="137" t="s">
        <v>493</v>
      </c>
      <c r="B38" s="48" t="s">
        <v>134</v>
      </c>
      <c r="C38" s="48" t="s">
        <v>61</v>
      </c>
      <c r="D38" s="48" t="s">
        <v>60</v>
      </c>
      <c r="E38" s="48"/>
      <c r="F38" s="139"/>
      <c r="G38" s="139">
        <v>11961306.852764826</v>
      </c>
      <c r="H38" s="87"/>
    </row>
    <row r="39" spans="1:8" x14ac:dyDescent="0.2">
      <c r="A39" s="137" t="s">
        <v>494</v>
      </c>
      <c r="B39" s="48" t="s">
        <v>495</v>
      </c>
      <c r="C39" s="48" t="s">
        <v>61</v>
      </c>
      <c r="D39" s="48" t="s">
        <v>60</v>
      </c>
      <c r="E39" s="48"/>
      <c r="F39" s="139"/>
      <c r="G39" s="139">
        <v>6625147.7091096267</v>
      </c>
      <c r="H39" s="87"/>
    </row>
    <row r="40" spans="1:8" x14ac:dyDescent="0.2">
      <c r="A40" s="137" t="s">
        <v>496</v>
      </c>
      <c r="B40" s="48" t="s">
        <v>498</v>
      </c>
      <c r="C40" s="48" t="s">
        <v>61</v>
      </c>
      <c r="D40" s="48" t="s">
        <v>60</v>
      </c>
      <c r="E40" s="48"/>
      <c r="F40" s="139"/>
      <c r="G40" s="139">
        <v>0</v>
      </c>
      <c r="H40" s="87"/>
    </row>
    <row r="41" spans="1:8" x14ac:dyDescent="0.2">
      <c r="A41" s="137" t="s">
        <v>497</v>
      </c>
      <c r="B41" s="48" t="s">
        <v>499</v>
      </c>
      <c r="C41" s="48" t="s">
        <v>61</v>
      </c>
      <c r="D41" s="48" t="s">
        <v>60</v>
      </c>
      <c r="E41" s="48"/>
      <c r="F41" s="139"/>
      <c r="G41" s="139">
        <v>0</v>
      </c>
      <c r="H41" s="87"/>
    </row>
    <row r="42" spans="1:8" x14ac:dyDescent="0.2">
      <c r="A42" s="137" t="s">
        <v>45</v>
      </c>
      <c r="B42" s="48" t="s">
        <v>536</v>
      </c>
      <c r="C42" s="48" t="s">
        <v>61</v>
      </c>
      <c r="D42" s="48" t="s">
        <v>60</v>
      </c>
      <c r="E42" s="48"/>
      <c r="F42" s="139"/>
      <c r="G42" s="139">
        <v>6826712.5</v>
      </c>
    </row>
    <row r="43" spans="1:8" x14ac:dyDescent="0.2">
      <c r="A43" s="137" t="s">
        <v>71</v>
      </c>
      <c r="B43" s="48" t="s">
        <v>538</v>
      </c>
      <c r="C43" s="48" t="s">
        <v>61</v>
      </c>
      <c r="D43" s="48" t="s">
        <v>60</v>
      </c>
      <c r="E43" s="48"/>
      <c r="F43" s="139"/>
      <c r="G43" s="139">
        <v>11326113.75</v>
      </c>
    </row>
    <row r="44" spans="1:8" x14ac:dyDescent="0.2">
      <c r="A44" s="137" t="s">
        <v>120</v>
      </c>
      <c r="B44" s="48" t="s">
        <v>223</v>
      </c>
      <c r="C44" s="48" t="s">
        <v>61</v>
      </c>
      <c r="D44" s="48" t="s">
        <v>60</v>
      </c>
      <c r="E44" s="48"/>
      <c r="F44" s="139"/>
      <c r="G44" s="139">
        <v>1887685.625</v>
      </c>
    </row>
    <row r="45" spans="1:8" s="14" customFormat="1" x14ac:dyDescent="0.2">
      <c r="A45" s="156" t="s">
        <v>46</v>
      </c>
      <c r="B45" s="158" t="s">
        <v>472</v>
      </c>
      <c r="C45" s="159"/>
      <c r="D45" s="159"/>
      <c r="E45" s="159"/>
      <c r="F45" s="157"/>
      <c r="G45" s="157"/>
    </row>
    <row r="46" spans="1:8" x14ac:dyDescent="0.2">
      <c r="A46" s="144" t="s">
        <v>47</v>
      </c>
      <c r="B46" s="145" t="s">
        <v>189</v>
      </c>
      <c r="C46" s="145" t="s">
        <v>61</v>
      </c>
      <c r="D46" s="145" t="s">
        <v>62</v>
      </c>
      <c r="E46" s="145"/>
      <c r="F46" s="142"/>
      <c r="G46" s="142"/>
    </row>
    <row r="47" spans="1:8" x14ac:dyDescent="0.2">
      <c r="A47" s="144" t="s">
        <v>48</v>
      </c>
      <c r="B47" s="145" t="s">
        <v>83</v>
      </c>
      <c r="C47" s="145" t="s">
        <v>61</v>
      </c>
      <c r="D47" s="145" t="s">
        <v>62</v>
      </c>
      <c r="E47" s="145"/>
      <c r="F47" s="142"/>
      <c r="G47" s="142"/>
    </row>
    <row r="48" spans="1:8" x14ac:dyDescent="0.2">
      <c r="A48" s="144" t="s">
        <v>49</v>
      </c>
      <c r="B48" s="145" t="s">
        <v>481</v>
      </c>
      <c r="C48" s="145" t="s">
        <v>61</v>
      </c>
      <c r="D48" s="145" t="s">
        <v>62</v>
      </c>
      <c r="E48" s="145"/>
      <c r="F48" s="142"/>
      <c r="G48" s="142"/>
    </row>
    <row r="49" spans="1:7" x14ac:dyDescent="0.2">
      <c r="A49" s="144" t="s">
        <v>304</v>
      </c>
      <c r="B49" s="145" t="s">
        <v>480</v>
      </c>
      <c r="C49" s="145" t="s">
        <v>61</v>
      </c>
      <c r="D49" s="145" t="s">
        <v>62</v>
      </c>
      <c r="E49" s="145"/>
      <c r="F49" s="142"/>
      <c r="G49" s="142"/>
    </row>
    <row r="50" spans="1:7" x14ac:dyDescent="0.2">
      <c r="A50" s="144" t="s">
        <v>305</v>
      </c>
      <c r="B50" s="145" t="s">
        <v>451</v>
      </c>
      <c r="C50" s="145" t="s">
        <v>61</v>
      </c>
      <c r="D50" s="145" t="s">
        <v>62</v>
      </c>
      <c r="E50" s="145"/>
      <c r="F50" s="142"/>
      <c r="G50" s="142"/>
    </row>
    <row r="51" spans="1:7" x14ac:dyDescent="0.2">
      <c r="A51" s="144" t="s">
        <v>450</v>
      </c>
      <c r="B51" s="145" t="s">
        <v>473</v>
      </c>
      <c r="C51" s="145" t="s">
        <v>61</v>
      </c>
      <c r="D51" s="145" t="s">
        <v>62</v>
      </c>
      <c r="E51" s="145"/>
      <c r="F51" s="142"/>
      <c r="G51" s="142"/>
    </row>
    <row r="52" spans="1:7" s="14" customFormat="1" x14ac:dyDescent="0.2">
      <c r="A52" s="156" t="s">
        <v>50</v>
      </c>
      <c r="B52" s="158" t="s">
        <v>177</v>
      </c>
      <c r="C52" s="159"/>
      <c r="D52" s="159"/>
      <c r="E52" s="159"/>
      <c r="F52" s="157"/>
      <c r="G52" s="157"/>
    </row>
    <row r="53" spans="1:7" x14ac:dyDescent="0.2">
      <c r="A53" s="143" t="s">
        <v>91</v>
      </c>
      <c r="B53" s="146" t="s">
        <v>178</v>
      </c>
      <c r="C53" s="147" t="s">
        <v>59</v>
      </c>
      <c r="D53" s="147" t="s">
        <v>62</v>
      </c>
      <c r="E53" s="147"/>
      <c r="F53" s="139"/>
      <c r="G53" s="139"/>
    </row>
    <row r="54" spans="1:7" x14ac:dyDescent="0.2">
      <c r="A54" s="143" t="s">
        <v>453</v>
      </c>
      <c r="B54" s="147" t="s">
        <v>455</v>
      </c>
      <c r="C54" s="147" t="s">
        <v>59</v>
      </c>
      <c r="D54" s="147" t="s">
        <v>62</v>
      </c>
      <c r="E54" s="147"/>
      <c r="F54" s="139"/>
      <c r="G54" s="139"/>
    </row>
    <row r="55" spans="1:7" x14ac:dyDescent="0.2">
      <c r="A55" s="143" t="s">
        <v>454</v>
      </c>
      <c r="B55" s="147" t="s">
        <v>456</v>
      </c>
      <c r="C55" s="147" t="s">
        <v>59</v>
      </c>
      <c r="D55" s="147" t="s">
        <v>62</v>
      </c>
      <c r="E55" s="147"/>
      <c r="F55" s="139"/>
      <c r="G55" s="139"/>
    </row>
    <row r="56" spans="1:7" x14ac:dyDescent="0.2">
      <c r="A56" s="143" t="s">
        <v>92</v>
      </c>
      <c r="B56" s="146" t="s">
        <v>179</v>
      </c>
      <c r="C56" s="147" t="s">
        <v>59</v>
      </c>
      <c r="D56" s="147" t="s">
        <v>62</v>
      </c>
      <c r="E56" s="147"/>
      <c r="F56" s="139"/>
      <c r="G56" s="139"/>
    </row>
    <row r="57" spans="1:7" x14ac:dyDescent="0.2">
      <c r="A57" s="143" t="s">
        <v>93</v>
      </c>
      <c r="B57" s="146" t="s">
        <v>180</v>
      </c>
      <c r="C57" s="147"/>
      <c r="D57" s="147"/>
      <c r="E57" s="147"/>
      <c r="F57" s="139"/>
      <c r="G57" s="139"/>
    </row>
    <row r="58" spans="1:7" x14ac:dyDescent="0.2">
      <c r="A58" s="143" t="s">
        <v>306</v>
      </c>
      <c r="B58" s="147" t="s">
        <v>467</v>
      </c>
      <c r="C58" s="147" t="s">
        <v>59</v>
      </c>
      <c r="D58" s="147" t="s">
        <v>62</v>
      </c>
      <c r="E58" s="147"/>
      <c r="F58" s="139"/>
      <c r="G58" s="139"/>
    </row>
    <row r="59" spans="1:7" x14ac:dyDescent="0.2">
      <c r="A59" s="143" t="s">
        <v>307</v>
      </c>
      <c r="B59" s="147" t="s">
        <v>469</v>
      </c>
      <c r="C59" s="147" t="s">
        <v>59</v>
      </c>
      <c r="D59" s="147" t="s">
        <v>62</v>
      </c>
      <c r="E59" s="147"/>
      <c r="F59" s="139"/>
      <c r="G59" s="139"/>
    </row>
    <row r="60" spans="1:7" x14ac:dyDescent="0.2">
      <c r="A60" s="143" t="s">
        <v>308</v>
      </c>
      <c r="B60" s="148" t="s">
        <v>181</v>
      </c>
      <c r="C60" s="147" t="s">
        <v>59</v>
      </c>
      <c r="D60" s="147" t="s">
        <v>62</v>
      </c>
      <c r="E60" s="147"/>
      <c r="F60" s="139"/>
      <c r="G60" s="139"/>
    </row>
    <row r="61" spans="1:7" x14ac:dyDescent="0.2">
      <c r="A61" s="143" t="s">
        <v>309</v>
      </c>
      <c r="B61" s="148" t="s">
        <v>483</v>
      </c>
      <c r="C61" s="147" t="s">
        <v>59</v>
      </c>
      <c r="D61" s="147" t="s">
        <v>62</v>
      </c>
      <c r="E61" s="147"/>
      <c r="F61" s="139"/>
      <c r="G61" s="139"/>
    </row>
    <row r="62" spans="1:7" x14ac:dyDescent="0.2">
      <c r="A62" s="143" t="s">
        <v>310</v>
      </c>
      <c r="B62" s="148" t="s">
        <v>192</v>
      </c>
      <c r="C62" s="147" t="s">
        <v>59</v>
      </c>
      <c r="D62" s="147" t="s">
        <v>62</v>
      </c>
      <c r="E62" s="147"/>
      <c r="F62" s="139"/>
      <c r="G62" s="139"/>
    </row>
    <row r="63" spans="1:7" x14ac:dyDescent="0.2">
      <c r="A63" s="143" t="s">
        <v>311</v>
      </c>
      <c r="B63" s="148" t="s">
        <v>85</v>
      </c>
      <c r="C63" s="147" t="s">
        <v>59</v>
      </c>
      <c r="D63" s="147" t="s">
        <v>62</v>
      </c>
      <c r="E63" s="147"/>
      <c r="F63" s="139"/>
      <c r="G63" s="139"/>
    </row>
    <row r="64" spans="1:7" x14ac:dyDescent="0.2">
      <c r="A64" s="143" t="s">
        <v>312</v>
      </c>
      <c r="B64" s="148" t="s">
        <v>84</v>
      </c>
      <c r="C64" s="147" t="s">
        <v>59</v>
      </c>
      <c r="D64" s="147" t="s">
        <v>62</v>
      </c>
      <c r="E64" s="147"/>
      <c r="F64" s="139"/>
      <c r="G64" s="139"/>
    </row>
    <row r="65" spans="1:7" x14ac:dyDescent="0.2">
      <c r="A65" s="143" t="s">
        <v>468</v>
      </c>
      <c r="B65" s="148" t="s">
        <v>182</v>
      </c>
      <c r="C65" s="147" t="s">
        <v>59</v>
      </c>
      <c r="D65" s="147" t="s">
        <v>62</v>
      </c>
      <c r="E65" s="147"/>
      <c r="F65" s="139"/>
      <c r="G65" s="139"/>
    </row>
    <row r="66" spans="1:7" s="14" customFormat="1" x14ac:dyDescent="0.2">
      <c r="A66" s="156" t="s">
        <v>51</v>
      </c>
      <c r="B66" s="158" t="s">
        <v>193</v>
      </c>
      <c r="C66" s="159"/>
      <c r="D66" s="159"/>
      <c r="E66" s="159"/>
      <c r="F66" s="157"/>
      <c r="G66" s="157"/>
    </row>
    <row r="67" spans="1:7" x14ac:dyDescent="0.2">
      <c r="A67" s="144" t="s">
        <v>52</v>
      </c>
      <c r="B67" s="145" t="s">
        <v>187</v>
      </c>
      <c r="C67" s="145" t="s">
        <v>59</v>
      </c>
      <c r="D67" s="145" t="s">
        <v>62</v>
      </c>
      <c r="E67" s="145"/>
      <c r="F67" s="142"/>
      <c r="G67" s="142"/>
    </row>
    <row r="68" spans="1:7" x14ac:dyDescent="0.2">
      <c r="A68" s="144" t="s">
        <v>53</v>
      </c>
      <c r="B68" s="145" t="s">
        <v>188</v>
      </c>
      <c r="C68" s="145" t="s">
        <v>59</v>
      </c>
      <c r="D68" s="145" t="s">
        <v>62</v>
      </c>
      <c r="E68" s="145"/>
      <c r="F68" s="142"/>
      <c r="G68" s="142"/>
    </row>
    <row r="69" spans="1:7" s="14" customFormat="1" x14ac:dyDescent="0.2">
      <c r="A69" s="160" t="s">
        <v>125</v>
      </c>
      <c r="B69" s="158" t="s">
        <v>198</v>
      </c>
      <c r="C69" s="159"/>
      <c r="D69" s="159"/>
      <c r="E69" s="159"/>
      <c r="F69" s="157"/>
      <c r="G69" s="157"/>
    </row>
    <row r="70" spans="1:7" x14ac:dyDescent="0.2">
      <c r="A70" s="143" t="s">
        <v>126</v>
      </c>
      <c r="B70" s="147" t="s">
        <v>194</v>
      </c>
      <c r="C70" s="147" t="s">
        <v>59</v>
      </c>
      <c r="D70" s="147" t="s">
        <v>62</v>
      </c>
      <c r="E70" s="147"/>
      <c r="F70" s="139"/>
      <c r="G70" s="139"/>
    </row>
    <row r="71" spans="1:7" x14ac:dyDescent="0.2">
      <c r="A71" s="143" t="s">
        <v>127</v>
      </c>
      <c r="B71" s="147" t="s">
        <v>87</v>
      </c>
      <c r="C71" s="147" t="s">
        <v>59</v>
      </c>
      <c r="D71" s="147" t="s">
        <v>62</v>
      </c>
      <c r="E71" s="147"/>
      <c r="F71" s="139"/>
      <c r="G71" s="139"/>
    </row>
    <row r="72" spans="1:7" x14ac:dyDescent="0.2">
      <c r="A72" s="143" t="s">
        <v>195</v>
      </c>
      <c r="B72" s="147" t="s">
        <v>86</v>
      </c>
      <c r="C72" s="147" t="s">
        <v>59</v>
      </c>
      <c r="D72" s="147" t="s">
        <v>62</v>
      </c>
      <c r="E72" s="147"/>
      <c r="F72" s="139"/>
      <c r="G72" s="139"/>
    </row>
    <row r="73" spans="1:7" x14ac:dyDescent="0.2">
      <c r="A73" s="143" t="s">
        <v>196</v>
      </c>
      <c r="B73" s="147" t="s">
        <v>190</v>
      </c>
      <c r="C73" s="147" t="s">
        <v>59</v>
      </c>
      <c r="D73" s="147" t="s">
        <v>62</v>
      </c>
      <c r="E73" s="147"/>
      <c r="F73" s="139"/>
      <c r="G73" s="139"/>
    </row>
    <row r="74" spans="1:7" x14ac:dyDescent="0.2">
      <c r="A74" s="143" t="s">
        <v>197</v>
      </c>
      <c r="B74" s="147" t="s">
        <v>482</v>
      </c>
      <c r="C74" s="147" t="s">
        <v>59</v>
      </c>
      <c r="D74" s="147" t="s">
        <v>62</v>
      </c>
      <c r="E74" s="147"/>
      <c r="F74" s="139"/>
      <c r="G74" s="139"/>
    </row>
    <row r="75" spans="1:7" x14ac:dyDescent="0.2">
      <c r="A75" s="143" t="s">
        <v>224</v>
      </c>
      <c r="B75" s="147" t="s">
        <v>191</v>
      </c>
      <c r="C75" s="147" t="s">
        <v>59</v>
      </c>
      <c r="D75" s="147" t="s">
        <v>62</v>
      </c>
      <c r="E75" s="147"/>
      <c r="F75" s="139"/>
      <c r="G75" s="139"/>
    </row>
    <row r="76" spans="1:7" x14ac:dyDescent="0.2">
      <c r="A76" s="143" t="s">
        <v>233</v>
      </c>
      <c r="B76" s="147" t="s">
        <v>227</v>
      </c>
      <c r="C76" s="147" t="s">
        <v>59</v>
      </c>
      <c r="D76" s="147" t="s">
        <v>62</v>
      </c>
      <c r="E76" s="147"/>
      <c r="F76" s="139"/>
      <c r="G76" s="139"/>
    </row>
    <row r="77" spans="1:7" x14ac:dyDescent="0.2">
      <c r="A77" s="143" t="s">
        <v>313</v>
      </c>
      <c r="B77" s="147" t="s">
        <v>199</v>
      </c>
      <c r="C77" s="147" t="s">
        <v>59</v>
      </c>
      <c r="D77" s="147" t="s">
        <v>62</v>
      </c>
      <c r="E77" s="147"/>
      <c r="F77" s="139"/>
      <c r="G77" s="139"/>
    </row>
    <row r="78" spans="1:7" s="14" customFormat="1" x14ac:dyDescent="0.2">
      <c r="A78" s="156" t="s">
        <v>314</v>
      </c>
      <c r="B78" s="153" t="s">
        <v>122</v>
      </c>
      <c r="C78" s="154"/>
      <c r="D78" s="154"/>
      <c r="E78" s="154"/>
      <c r="F78" s="157"/>
      <c r="G78" s="157"/>
    </row>
    <row r="79" spans="1:7" x14ac:dyDescent="0.2">
      <c r="A79" s="143" t="s">
        <v>315</v>
      </c>
      <c r="B79" s="147" t="s">
        <v>535</v>
      </c>
      <c r="C79" s="48" t="s">
        <v>59</v>
      </c>
      <c r="D79" s="48"/>
      <c r="E79" s="48"/>
      <c r="F79" s="139"/>
      <c r="G79" s="139"/>
    </row>
    <row r="80" spans="1:7" x14ac:dyDescent="0.2">
      <c r="A80" s="143" t="s">
        <v>316</v>
      </c>
      <c r="B80" s="147" t="s">
        <v>223</v>
      </c>
      <c r="C80" s="48" t="s">
        <v>59</v>
      </c>
      <c r="D80" s="48"/>
      <c r="E80" s="48"/>
      <c r="F80" s="139"/>
      <c r="G80" s="139"/>
    </row>
    <row r="81" spans="1:7" x14ac:dyDescent="0.2">
      <c r="A81" s="143" t="s">
        <v>317</v>
      </c>
      <c r="B81" s="147" t="s">
        <v>536</v>
      </c>
      <c r="C81" s="48" t="s">
        <v>59</v>
      </c>
      <c r="D81" s="48"/>
      <c r="E81" s="48"/>
      <c r="F81" s="139"/>
      <c r="G81" s="139"/>
    </row>
    <row r="82" spans="1:7" x14ac:dyDescent="0.2">
      <c r="A82" s="143" t="s">
        <v>318</v>
      </c>
      <c r="B82" s="147" t="s">
        <v>537</v>
      </c>
      <c r="C82" s="48" t="s">
        <v>59</v>
      </c>
      <c r="D82" s="48"/>
      <c r="E82" s="48"/>
      <c r="F82" s="139"/>
      <c r="G82" s="139"/>
    </row>
    <row r="83" spans="1:7" x14ac:dyDescent="0.2">
      <c r="A83" s="143" t="s">
        <v>319</v>
      </c>
      <c r="B83" s="147" t="s">
        <v>234</v>
      </c>
      <c r="C83" s="48" t="s">
        <v>59</v>
      </c>
      <c r="D83" s="48"/>
      <c r="E83" s="48"/>
      <c r="F83" s="139"/>
      <c r="G83" s="139"/>
    </row>
    <row r="84" spans="1:7" x14ac:dyDescent="0.2">
      <c r="A84" s="143" t="s">
        <v>320</v>
      </c>
      <c r="B84" s="147" t="s">
        <v>128</v>
      </c>
      <c r="C84" s="48" t="s">
        <v>61</v>
      </c>
      <c r="D84" s="48"/>
      <c r="E84" s="48"/>
      <c r="F84" s="139"/>
      <c r="G84" s="139"/>
    </row>
    <row r="85" spans="1:7" ht="20.25" customHeight="1" x14ac:dyDescent="0.2">
      <c r="A85" s="161"/>
      <c r="B85" s="162"/>
      <c r="C85" s="162"/>
      <c r="D85" s="162"/>
      <c r="E85" s="162"/>
      <c r="F85" s="163">
        <f>SUM(F7:F84)</f>
        <v>134274560.125</v>
      </c>
      <c r="G85" s="163">
        <f>SUM(G7:G84)</f>
        <v>134274560.12500006</v>
      </c>
    </row>
    <row r="86" spans="1:7" x14ac:dyDescent="0.2">
      <c r="A86" s="149"/>
      <c r="E86" s="14"/>
      <c r="F86" s="87"/>
      <c r="G86" s="87">
        <f>F85-G85</f>
        <v>0</v>
      </c>
    </row>
    <row r="87" spans="1:7" x14ac:dyDescent="0.2">
      <c r="A87" s="150"/>
      <c r="F87" s="87"/>
      <c r="G87" s="87"/>
    </row>
    <row r="88" spans="1:7" x14ac:dyDescent="0.2">
      <c r="F88" s="87"/>
      <c r="G88" s="87"/>
    </row>
    <row r="89" spans="1:7" x14ac:dyDescent="0.2">
      <c r="G89" s="87"/>
    </row>
    <row r="90" spans="1:7" x14ac:dyDescent="0.2">
      <c r="G90" s="87"/>
    </row>
  </sheetData>
  <mergeCells count="8">
    <mergeCell ref="A1:G1"/>
    <mergeCell ref="A2:G2"/>
    <mergeCell ref="F3:G3"/>
    <mergeCell ref="C3:C4"/>
    <mergeCell ref="D3:D4"/>
    <mergeCell ref="B3:B4"/>
    <mergeCell ref="A3:A4"/>
    <mergeCell ref="E3:E4"/>
  </mergeCells>
  <phoneticPr fontId="2" type="noConversion"/>
  <pageMargins left="1.1811023622047245" right="0.74803149606299213" top="0.78740157480314965" bottom="0.78740157480314965" header="0.51181102362204722" footer="0.51181102362204722"/>
  <pageSetup paperSize="9" scale="68" fitToWidth="0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FF0000"/>
  </sheetPr>
  <dimension ref="A1:N50"/>
  <sheetViews>
    <sheetView topLeftCell="A10" workbookViewId="0">
      <selection activeCell="A14" sqref="A14"/>
    </sheetView>
  </sheetViews>
  <sheetFormatPr defaultColWidth="0" defaultRowHeight="12.75" zeroHeight="1" x14ac:dyDescent="0.2"/>
  <cols>
    <col min="1" max="14" width="9.140625" customWidth="1"/>
    <col min="15" max="16384" width="9.140625" hidden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9"/>
  <sheetViews>
    <sheetView showGridLines="0" zoomScaleNormal="100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I58" sqref="I58"/>
    </sheetView>
  </sheetViews>
  <sheetFormatPr defaultRowHeight="12.75" x14ac:dyDescent="0.2"/>
  <cols>
    <col min="1" max="1" width="7" style="103" customWidth="1"/>
    <col min="2" max="2" width="20" style="103" customWidth="1"/>
    <col min="3" max="3" width="9.140625" style="103" customWidth="1"/>
    <col min="4" max="4" width="9.7109375" style="103" customWidth="1"/>
    <col min="5" max="10" width="7.42578125" style="103" customWidth="1"/>
    <col min="11" max="12" width="11.28515625" style="103" customWidth="1"/>
    <col min="13" max="13" width="13.42578125" style="103" bestFit="1" customWidth="1"/>
    <col min="14" max="14" width="11" style="103" bestFit="1" customWidth="1"/>
    <col min="15" max="16384" width="9.140625" style="103"/>
  </cols>
  <sheetData>
    <row r="1" spans="1:13" ht="24" customHeight="1" x14ac:dyDescent="0.25">
      <c r="A1" s="698" t="s">
        <v>129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</row>
    <row r="2" spans="1:13" ht="24" customHeight="1" x14ac:dyDescent="0.2">
      <c r="A2" s="699" t="s">
        <v>285</v>
      </c>
      <c r="B2" s="699"/>
      <c r="C2" s="699"/>
      <c r="D2" s="699"/>
      <c r="E2" s="699"/>
      <c r="F2" s="699"/>
      <c r="G2" s="699"/>
      <c r="H2" s="699"/>
      <c r="I2" s="699"/>
      <c r="J2" s="699"/>
      <c r="K2" s="699"/>
      <c r="L2" s="699"/>
    </row>
    <row r="3" spans="1:13" ht="6" customHeight="1" x14ac:dyDescent="0.2">
      <c r="H3" s="305"/>
      <c r="I3" s="305"/>
      <c r="J3" s="305"/>
    </row>
    <row r="4" spans="1:13" s="119" customFormat="1" ht="17.25" customHeight="1" x14ac:dyDescent="0.2">
      <c r="A4" s="640" t="s">
        <v>0</v>
      </c>
      <c r="B4" s="641" t="s">
        <v>1</v>
      </c>
      <c r="C4" s="642" t="s">
        <v>332</v>
      </c>
      <c r="D4" s="642"/>
      <c r="E4" s="697" t="s">
        <v>330</v>
      </c>
      <c r="F4" s="697"/>
      <c r="G4" s="697"/>
      <c r="H4" s="697" t="s">
        <v>335</v>
      </c>
      <c r="I4" s="697"/>
      <c r="J4" s="697"/>
      <c r="K4" s="696" t="s">
        <v>331</v>
      </c>
      <c r="L4" s="696"/>
    </row>
    <row r="5" spans="1:13" s="119" customFormat="1" ht="17.25" customHeight="1" x14ac:dyDescent="0.2">
      <c r="A5" s="640"/>
      <c r="B5" s="641"/>
      <c r="C5" s="642"/>
      <c r="D5" s="642"/>
      <c r="E5" s="184" t="s">
        <v>99</v>
      </c>
      <c r="F5" s="184" t="s">
        <v>322</v>
      </c>
      <c r="G5" s="184" t="s">
        <v>105</v>
      </c>
      <c r="H5" s="184" t="s">
        <v>99</v>
      </c>
      <c r="I5" s="184" t="s">
        <v>322</v>
      </c>
      <c r="J5" s="184" t="s">
        <v>105</v>
      </c>
      <c r="K5" s="453" t="s">
        <v>333</v>
      </c>
      <c r="L5" s="453" t="s">
        <v>334</v>
      </c>
    </row>
    <row r="6" spans="1:13" ht="14.25" customHeight="1" x14ac:dyDescent="0.2">
      <c r="A6" s="447" t="s">
        <v>372</v>
      </c>
      <c r="B6" s="454" t="s">
        <v>240</v>
      </c>
      <c r="C6" s="455"/>
      <c r="D6" s="456"/>
      <c r="E6" s="454"/>
      <c r="F6" s="454"/>
      <c r="G6" s="454"/>
      <c r="H6" s="454"/>
      <c r="I6" s="454"/>
      <c r="J6" s="454"/>
      <c r="K6" s="457"/>
      <c r="L6" s="454"/>
    </row>
    <row r="7" spans="1:13" ht="14.25" customHeight="1" x14ac:dyDescent="0.2">
      <c r="A7" s="417" t="s">
        <v>371</v>
      </c>
      <c r="B7" s="418" t="s">
        <v>241</v>
      </c>
      <c r="C7" s="419">
        <v>6400</v>
      </c>
      <c r="D7" s="420" t="s">
        <v>281</v>
      </c>
      <c r="E7" s="421">
        <v>12</v>
      </c>
      <c r="F7" s="421">
        <v>50</v>
      </c>
      <c r="G7" s="421">
        <f t="shared" ref="G7:G25" si="0">E7+F7</f>
        <v>62</v>
      </c>
      <c r="H7" s="421">
        <v>20</v>
      </c>
      <c r="I7" s="421">
        <f>20*6</f>
        <v>120</v>
      </c>
      <c r="J7" s="421">
        <f>H7+I7</f>
        <v>140</v>
      </c>
      <c r="K7" s="422">
        <f t="shared" ref="K7:K24" si="1">G7*C7</f>
        <v>396800</v>
      </c>
      <c r="L7" s="429">
        <f t="shared" ref="L7:L24" si="2">C7*J7</f>
        <v>896000</v>
      </c>
      <c r="M7" s="103">
        <v>12</v>
      </c>
    </row>
    <row r="8" spans="1:13" ht="14.25" customHeight="1" x14ac:dyDescent="0.2">
      <c r="A8" s="307" t="s">
        <v>373</v>
      </c>
      <c r="B8" s="309" t="s">
        <v>242</v>
      </c>
      <c r="C8" s="311">
        <v>120000</v>
      </c>
      <c r="D8" s="312" t="s">
        <v>281</v>
      </c>
      <c r="E8" s="315">
        <v>0.1</v>
      </c>
      <c r="F8" s="315">
        <v>5</v>
      </c>
      <c r="G8" s="315">
        <f t="shared" si="0"/>
        <v>5.0999999999999996</v>
      </c>
      <c r="H8" s="315">
        <v>0.56000000000000005</v>
      </c>
      <c r="I8" s="315"/>
      <c r="J8" s="421">
        <f>H8+I8</f>
        <v>0.56000000000000005</v>
      </c>
      <c r="K8" s="317">
        <f t="shared" si="1"/>
        <v>612000</v>
      </c>
      <c r="L8" s="430">
        <f t="shared" si="2"/>
        <v>67200</v>
      </c>
    </row>
    <row r="9" spans="1:13" ht="14.25" customHeight="1" x14ac:dyDescent="0.2">
      <c r="A9" s="423" t="s">
        <v>374</v>
      </c>
      <c r="B9" s="418" t="s">
        <v>243</v>
      </c>
      <c r="C9" s="419">
        <v>12000</v>
      </c>
      <c r="D9" s="420" t="s">
        <v>281</v>
      </c>
      <c r="E9" s="421">
        <v>5</v>
      </c>
      <c r="F9" s="421"/>
      <c r="G9" s="421">
        <f t="shared" si="0"/>
        <v>5</v>
      </c>
      <c r="H9" s="421">
        <v>2.5</v>
      </c>
      <c r="I9" s="421"/>
      <c r="J9" s="421">
        <f>H9+I9</f>
        <v>2.5</v>
      </c>
      <c r="K9" s="422">
        <f t="shared" si="1"/>
        <v>60000</v>
      </c>
      <c r="L9" s="429">
        <f t="shared" si="2"/>
        <v>30000</v>
      </c>
    </row>
    <row r="10" spans="1:13" ht="14.25" customHeight="1" x14ac:dyDescent="0.2">
      <c r="A10" s="423" t="s">
        <v>375</v>
      </c>
      <c r="B10" s="418" t="s">
        <v>244</v>
      </c>
      <c r="C10" s="419">
        <v>4000</v>
      </c>
      <c r="D10" s="420" t="s">
        <v>323</v>
      </c>
      <c r="E10" s="421">
        <v>22</v>
      </c>
      <c r="F10" s="421"/>
      <c r="G10" s="421">
        <f t="shared" si="0"/>
        <v>22</v>
      </c>
      <c r="H10" s="421"/>
      <c r="I10" s="421"/>
      <c r="J10" s="421">
        <f t="shared" ref="J10:J25" si="3">H10+I10</f>
        <v>0</v>
      </c>
      <c r="K10" s="422">
        <f t="shared" si="1"/>
        <v>88000</v>
      </c>
      <c r="L10" s="429">
        <f t="shared" si="2"/>
        <v>0</v>
      </c>
    </row>
    <row r="11" spans="1:13" ht="14.25" customHeight="1" x14ac:dyDescent="0.2">
      <c r="A11" s="307" t="s">
        <v>376</v>
      </c>
      <c r="B11" s="309" t="s">
        <v>245</v>
      </c>
      <c r="C11" s="311">
        <v>9000</v>
      </c>
      <c r="D11" s="312" t="s">
        <v>324</v>
      </c>
      <c r="E11" s="315">
        <v>40</v>
      </c>
      <c r="F11" s="315">
        <v>48</v>
      </c>
      <c r="G11" s="315">
        <f t="shared" si="0"/>
        <v>88</v>
      </c>
      <c r="H11" s="315">
        <v>14</v>
      </c>
      <c r="I11" s="315"/>
      <c r="J11" s="421">
        <f t="shared" si="3"/>
        <v>14</v>
      </c>
      <c r="K11" s="317">
        <f t="shared" si="1"/>
        <v>792000</v>
      </c>
      <c r="L11" s="430">
        <f t="shared" si="2"/>
        <v>126000</v>
      </c>
      <c r="M11" s="103">
        <v>1</v>
      </c>
    </row>
    <row r="12" spans="1:13" ht="14.25" customHeight="1" x14ac:dyDescent="0.2">
      <c r="A12" s="423" t="s">
        <v>377</v>
      </c>
      <c r="B12" s="418" t="s">
        <v>246</v>
      </c>
      <c r="C12" s="419">
        <v>1312.5</v>
      </c>
      <c r="D12" s="420" t="s">
        <v>325</v>
      </c>
      <c r="E12" s="421"/>
      <c r="F12" s="421"/>
      <c r="G12" s="421">
        <f t="shared" si="0"/>
        <v>0</v>
      </c>
      <c r="H12" s="421">
        <v>27</v>
      </c>
      <c r="I12" s="421"/>
      <c r="J12" s="421">
        <f t="shared" si="3"/>
        <v>27</v>
      </c>
      <c r="K12" s="422">
        <f t="shared" si="1"/>
        <v>0</v>
      </c>
      <c r="L12" s="429">
        <f t="shared" si="2"/>
        <v>35437.5</v>
      </c>
    </row>
    <row r="13" spans="1:13" ht="14.25" customHeight="1" x14ac:dyDescent="0.2">
      <c r="A13" s="307" t="s">
        <v>378</v>
      </c>
      <c r="B13" s="309" t="s">
        <v>247</v>
      </c>
      <c r="C13" s="311">
        <v>5000</v>
      </c>
      <c r="D13" s="312" t="s">
        <v>281</v>
      </c>
      <c r="E13" s="315"/>
      <c r="F13" s="315"/>
      <c r="G13" s="315">
        <f t="shared" si="0"/>
        <v>0</v>
      </c>
      <c r="H13" s="315"/>
      <c r="I13" s="315"/>
      <c r="J13" s="421">
        <f t="shared" si="3"/>
        <v>0</v>
      </c>
      <c r="K13" s="317">
        <f t="shared" si="1"/>
        <v>0</v>
      </c>
      <c r="L13" s="430">
        <f t="shared" si="2"/>
        <v>0</v>
      </c>
    </row>
    <row r="14" spans="1:13" ht="14.25" customHeight="1" x14ac:dyDescent="0.2">
      <c r="A14" s="423" t="s">
        <v>379</v>
      </c>
      <c r="B14" s="418" t="s">
        <v>248</v>
      </c>
      <c r="C14" s="419">
        <v>11000</v>
      </c>
      <c r="D14" s="420" t="s">
        <v>323</v>
      </c>
      <c r="E14" s="421">
        <v>5</v>
      </c>
      <c r="F14" s="421"/>
      <c r="G14" s="421">
        <f t="shared" si="0"/>
        <v>5</v>
      </c>
      <c r="H14" s="421">
        <v>9</v>
      </c>
      <c r="I14" s="421"/>
      <c r="J14" s="421">
        <f t="shared" si="3"/>
        <v>9</v>
      </c>
      <c r="K14" s="422">
        <f t="shared" si="1"/>
        <v>55000</v>
      </c>
      <c r="L14" s="429">
        <f t="shared" si="2"/>
        <v>99000</v>
      </c>
      <c r="M14" s="103">
        <v>8</v>
      </c>
    </row>
    <row r="15" spans="1:13" ht="14.25" customHeight="1" x14ac:dyDescent="0.2">
      <c r="A15" s="307" t="s">
        <v>380</v>
      </c>
      <c r="B15" s="309" t="s">
        <v>200</v>
      </c>
      <c r="C15" s="311">
        <v>5000</v>
      </c>
      <c r="D15" s="312" t="s">
        <v>326</v>
      </c>
      <c r="E15" s="315"/>
      <c r="F15" s="315"/>
      <c r="G15" s="315">
        <f t="shared" si="0"/>
        <v>0</v>
      </c>
      <c r="H15" s="315"/>
      <c r="I15" s="315"/>
      <c r="J15" s="421">
        <f t="shared" si="3"/>
        <v>0</v>
      </c>
      <c r="K15" s="317">
        <f t="shared" si="1"/>
        <v>0</v>
      </c>
      <c r="L15" s="430">
        <f t="shared" si="2"/>
        <v>0</v>
      </c>
    </row>
    <row r="16" spans="1:13" ht="14.25" customHeight="1" x14ac:dyDescent="0.2">
      <c r="A16" s="423" t="s">
        <v>381</v>
      </c>
      <c r="B16" s="418" t="s">
        <v>249</v>
      </c>
      <c r="C16" s="419">
        <v>20000</v>
      </c>
      <c r="D16" s="420" t="s">
        <v>327</v>
      </c>
      <c r="E16" s="421"/>
      <c r="F16" s="421"/>
      <c r="G16" s="421">
        <f t="shared" si="0"/>
        <v>0</v>
      </c>
      <c r="H16" s="421"/>
      <c r="I16" s="421"/>
      <c r="J16" s="421">
        <f t="shared" si="3"/>
        <v>0</v>
      </c>
      <c r="K16" s="422">
        <f t="shared" si="1"/>
        <v>0</v>
      </c>
      <c r="L16" s="429">
        <f t="shared" si="2"/>
        <v>0</v>
      </c>
    </row>
    <row r="17" spans="1:14" ht="14.25" customHeight="1" x14ac:dyDescent="0.2">
      <c r="A17" s="353" t="s">
        <v>382</v>
      </c>
      <c r="B17" s="309" t="s">
        <v>250</v>
      </c>
      <c r="C17" s="311">
        <v>20000</v>
      </c>
      <c r="D17" s="312" t="s">
        <v>281</v>
      </c>
      <c r="E17" s="315"/>
      <c r="F17" s="315"/>
      <c r="G17" s="315">
        <f t="shared" si="0"/>
        <v>0</v>
      </c>
      <c r="H17" s="315"/>
      <c r="I17" s="315"/>
      <c r="J17" s="421">
        <f t="shared" si="3"/>
        <v>0</v>
      </c>
      <c r="K17" s="317">
        <f t="shared" si="1"/>
        <v>0</v>
      </c>
      <c r="L17" s="430">
        <f t="shared" si="2"/>
        <v>0</v>
      </c>
    </row>
    <row r="18" spans="1:14" ht="14.25" customHeight="1" x14ac:dyDescent="0.2">
      <c r="A18" s="423" t="s">
        <v>383</v>
      </c>
      <c r="B18" s="418" t="s">
        <v>251</v>
      </c>
      <c r="C18" s="419">
        <v>18000</v>
      </c>
      <c r="D18" s="420" t="s">
        <v>281</v>
      </c>
      <c r="E18" s="421">
        <v>33</v>
      </c>
      <c r="F18" s="421">
        <v>200</v>
      </c>
      <c r="G18" s="421">
        <f t="shared" si="0"/>
        <v>233</v>
      </c>
      <c r="H18" s="421">
        <v>32.5</v>
      </c>
      <c r="I18" s="421">
        <f>9*20</f>
        <v>180</v>
      </c>
      <c r="J18" s="421">
        <f t="shared" si="3"/>
        <v>212.5</v>
      </c>
      <c r="K18" s="422">
        <f t="shared" si="1"/>
        <v>4194000</v>
      </c>
      <c r="L18" s="429">
        <f t="shared" si="2"/>
        <v>3825000</v>
      </c>
      <c r="M18" s="103">
        <v>15</v>
      </c>
    </row>
    <row r="19" spans="1:14" ht="14.25" customHeight="1" x14ac:dyDescent="0.2">
      <c r="A19" s="307" t="s">
        <v>384</v>
      </c>
      <c r="B19" s="309" t="s">
        <v>252</v>
      </c>
      <c r="C19" s="311">
        <v>15000</v>
      </c>
      <c r="D19" s="312" t="s">
        <v>281</v>
      </c>
      <c r="E19" s="315">
        <v>0</v>
      </c>
      <c r="F19" s="315">
        <v>40</v>
      </c>
      <c r="G19" s="315">
        <f t="shared" si="0"/>
        <v>40</v>
      </c>
      <c r="H19" s="315">
        <v>1.5</v>
      </c>
      <c r="I19" s="421">
        <v>10</v>
      </c>
      <c r="J19" s="421">
        <f t="shared" si="3"/>
        <v>11.5</v>
      </c>
      <c r="K19" s="317">
        <f t="shared" si="1"/>
        <v>600000</v>
      </c>
      <c r="L19" s="430">
        <f t="shared" si="2"/>
        <v>172500</v>
      </c>
    </row>
    <row r="20" spans="1:14" ht="14.25" customHeight="1" x14ac:dyDescent="0.2">
      <c r="A20" s="423" t="s">
        <v>385</v>
      </c>
      <c r="B20" s="418" t="s">
        <v>529</v>
      </c>
      <c r="C20" s="419">
        <v>12000</v>
      </c>
      <c r="D20" s="420" t="s">
        <v>281</v>
      </c>
      <c r="E20" s="421">
        <v>1</v>
      </c>
      <c r="F20" s="421"/>
      <c r="G20" s="421">
        <f t="shared" si="0"/>
        <v>1</v>
      </c>
      <c r="H20" s="421">
        <v>2.2000000000000002</v>
      </c>
      <c r="I20" s="421">
        <v>20</v>
      </c>
      <c r="J20" s="421">
        <f t="shared" si="3"/>
        <v>22.2</v>
      </c>
      <c r="K20" s="422">
        <f t="shared" si="1"/>
        <v>12000</v>
      </c>
      <c r="L20" s="429">
        <f t="shared" si="2"/>
        <v>266400</v>
      </c>
      <c r="M20" s="103">
        <v>2</v>
      </c>
    </row>
    <row r="21" spans="1:14" ht="14.25" customHeight="1" x14ac:dyDescent="0.2">
      <c r="A21" s="307" t="s">
        <v>386</v>
      </c>
      <c r="B21" s="309" t="s">
        <v>254</v>
      </c>
      <c r="C21" s="311">
        <v>14000</v>
      </c>
      <c r="D21" s="312" t="s">
        <v>281</v>
      </c>
      <c r="E21" s="315">
        <v>1</v>
      </c>
      <c r="F21" s="315">
        <v>10</v>
      </c>
      <c r="G21" s="315">
        <f t="shared" si="0"/>
        <v>11</v>
      </c>
      <c r="H21" s="315">
        <v>4.5</v>
      </c>
      <c r="I21" s="315">
        <v>20</v>
      </c>
      <c r="J21" s="421">
        <f t="shared" si="3"/>
        <v>24.5</v>
      </c>
      <c r="K21" s="317">
        <f t="shared" si="1"/>
        <v>154000</v>
      </c>
      <c r="L21" s="430">
        <f t="shared" si="2"/>
        <v>343000</v>
      </c>
      <c r="M21" s="103">
        <v>1</v>
      </c>
      <c r="N21" s="89"/>
    </row>
    <row r="22" spans="1:14" ht="14.25" customHeight="1" x14ac:dyDescent="0.2">
      <c r="A22" s="423" t="s">
        <v>387</v>
      </c>
      <c r="B22" s="418" t="s">
        <v>255</v>
      </c>
      <c r="C22" s="419">
        <v>6250</v>
      </c>
      <c r="D22" s="420" t="s">
        <v>328</v>
      </c>
      <c r="E22" s="421">
        <v>78</v>
      </c>
      <c r="F22" s="421">
        <f>6*12</f>
        <v>72</v>
      </c>
      <c r="G22" s="421">
        <f t="shared" si="0"/>
        <v>150</v>
      </c>
      <c r="H22" s="421">
        <v>23</v>
      </c>
      <c r="I22" s="421"/>
      <c r="J22" s="421">
        <f t="shared" si="3"/>
        <v>23</v>
      </c>
      <c r="K22" s="422">
        <f t="shared" si="1"/>
        <v>937500</v>
      </c>
      <c r="L22" s="429">
        <f t="shared" si="2"/>
        <v>143750</v>
      </c>
      <c r="M22" s="103">
        <v>2</v>
      </c>
    </row>
    <row r="23" spans="1:14" ht="14.25" customHeight="1" x14ac:dyDescent="0.2">
      <c r="A23" s="307" t="s">
        <v>388</v>
      </c>
      <c r="B23" s="309" t="s">
        <v>256</v>
      </c>
      <c r="C23" s="311">
        <v>6250</v>
      </c>
      <c r="D23" s="312" t="s">
        <v>328</v>
      </c>
      <c r="E23" s="315">
        <v>36</v>
      </c>
      <c r="F23" s="315"/>
      <c r="G23" s="315">
        <f t="shared" si="0"/>
        <v>36</v>
      </c>
      <c r="H23" s="315"/>
      <c r="I23" s="315"/>
      <c r="J23" s="421">
        <f t="shared" si="3"/>
        <v>0</v>
      </c>
      <c r="K23" s="317">
        <f t="shared" si="1"/>
        <v>225000</v>
      </c>
      <c r="L23" s="430">
        <f t="shared" si="2"/>
        <v>0</v>
      </c>
    </row>
    <row r="24" spans="1:14" ht="14.25" customHeight="1" x14ac:dyDescent="0.2">
      <c r="A24" s="423" t="s">
        <v>389</v>
      </c>
      <c r="B24" s="418" t="s">
        <v>257</v>
      </c>
      <c r="C24" s="419">
        <v>6250</v>
      </c>
      <c r="D24" s="420" t="s">
        <v>328</v>
      </c>
      <c r="E24" s="421">
        <v>12</v>
      </c>
      <c r="F24" s="421"/>
      <c r="G24" s="421">
        <f t="shared" si="0"/>
        <v>12</v>
      </c>
      <c r="H24" s="421"/>
      <c r="I24" s="421"/>
      <c r="J24" s="421">
        <f t="shared" si="3"/>
        <v>0</v>
      </c>
      <c r="K24" s="422">
        <f t="shared" si="1"/>
        <v>75000</v>
      </c>
      <c r="L24" s="429">
        <f t="shared" si="2"/>
        <v>0</v>
      </c>
    </row>
    <row r="25" spans="1:14" ht="14.25" customHeight="1" x14ac:dyDescent="0.2">
      <c r="A25" s="423" t="s">
        <v>608</v>
      </c>
      <c r="B25" s="418" t="s">
        <v>609</v>
      </c>
      <c r="C25" s="419">
        <v>6250</v>
      </c>
      <c r="D25" s="420" t="s">
        <v>328</v>
      </c>
      <c r="E25" s="421"/>
      <c r="F25" s="421"/>
      <c r="G25" s="421">
        <f t="shared" si="0"/>
        <v>0</v>
      </c>
      <c r="H25" s="421"/>
      <c r="I25" s="421">
        <v>24</v>
      </c>
      <c r="J25" s="421">
        <f t="shared" si="3"/>
        <v>24</v>
      </c>
      <c r="K25" s="422">
        <f t="shared" ref="K25" si="4">G25*C25</f>
        <v>0</v>
      </c>
      <c r="L25" s="429">
        <f t="shared" ref="L25" si="5">C25*J25</f>
        <v>150000</v>
      </c>
    </row>
    <row r="26" spans="1:14" ht="14.25" customHeight="1" x14ac:dyDescent="0.2">
      <c r="A26" s="487"/>
      <c r="B26" s="440"/>
      <c r="C26" s="441"/>
      <c r="D26" s="442"/>
      <c r="E26" s="443"/>
      <c r="F26" s="443"/>
      <c r="G26" s="443"/>
      <c r="H26" s="443"/>
      <c r="I26" s="443"/>
      <c r="J26" s="443"/>
      <c r="K26" s="444"/>
      <c r="L26" s="445"/>
    </row>
    <row r="27" spans="1:14" ht="14.25" customHeight="1" x14ac:dyDescent="0.2">
      <c r="A27" s="307"/>
      <c r="B27" s="309" t="s">
        <v>457</v>
      </c>
      <c r="C27" s="311">
        <v>87500</v>
      </c>
      <c r="D27" s="312" t="s">
        <v>281</v>
      </c>
      <c r="E27" s="421"/>
      <c r="F27" s="421"/>
      <c r="G27" s="421">
        <f>E27+F27</f>
        <v>0</v>
      </c>
      <c r="H27" s="421"/>
      <c r="I27" s="421"/>
      <c r="J27" s="421">
        <f>H27+I27</f>
        <v>0</v>
      </c>
      <c r="K27" s="422">
        <f>C27*G27</f>
        <v>0</v>
      </c>
      <c r="L27" s="429">
        <f>C27*J27</f>
        <v>0</v>
      </c>
    </row>
    <row r="28" spans="1:14" ht="14.25" customHeight="1" x14ac:dyDescent="0.2">
      <c r="A28" s="423"/>
      <c r="B28" s="418" t="s">
        <v>458</v>
      </c>
      <c r="C28" s="419">
        <v>100000</v>
      </c>
      <c r="D28" s="420" t="s">
        <v>281</v>
      </c>
      <c r="E28" s="421"/>
      <c r="F28" s="421"/>
      <c r="G28" s="421">
        <f t="shared" ref="G28:G36" si="6">E28+F28</f>
        <v>0</v>
      </c>
      <c r="H28" s="421"/>
      <c r="I28" s="421"/>
      <c r="J28" s="421">
        <f t="shared" ref="J28:J36" si="7">H28+I28</f>
        <v>0</v>
      </c>
      <c r="K28" s="422">
        <f t="shared" ref="K28:K36" si="8">C28*G28</f>
        <v>0</v>
      </c>
      <c r="L28" s="429">
        <f t="shared" ref="L28:L36" si="9">C28*J28</f>
        <v>0</v>
      </c>
    </row>
    <row r="29" spans="1:14" ht="14.25" customHeight="1" x14ac:dyDescent="0.2">
      <c r="A29" s="353"/>
      <c r="B29" s="309" t="s">
        <v>457</v>
      </c>
      <c r="C29" s="311">
        <v>24500</v>
      </c>
      <c r="D29" s="312" t="s">
        <v>460</v>
      </c>
      <c r="E29" s="421"/>
      <c r="F29" s="421"/>
      <c r="G29" s="421">
        <f t="shared" si="6"/>
        <v>0</v>
      </c>
      <c r="H29" s="421"/>
      <c r="I29" s="421"/>
      <c r="J29" s="421">
        <f t="shared" si="7"/>
        <v>0</v>
      </c>
      <c r="K29" s="422">
        <f t="shared" si="8"/>
        <v>0</v>
      </c>
      <c r="L29" s="429">
        <f t="shared" si="9"/>
        <v>0</v>
      </c>
    </row>
    <row r="30" spans="1:14" ht="14.25" customHeight="1" x14ac:dyDescent="0.2">
      <c r="A30" s="423"/>
      <c r="B30" s="418" t="s">
        <v>458</v>
      </c>
      <c r="C30" s="419">
        <v>35000</v>
      </c>
      <c r="D30" s="420" t="s">
        <v>460</v>
      </c>
      <c r="E30" s="421"/>
      <c r="F30" s="421"/>
      <c r="G30" s="421">
        <f t="shared" si="6"/>
        <v>0</v>
      </c>
      <c r="H30" s="421"/>
      <c r="I30" s="421"/>
      <c r="J30" s="421">
        <f t="shared" si="7"/>
        <v>0</v>
      </c>
      <c r="K30" s="422">
        <f t="shared" si="8"/>
        <v>0</v>
      </c>
      <c r="L30" s="429">
        <f t="shared" si="9"/>
        <v>0</v>
      </c>
    </row>
    <row r="31" spans="1:14" ht="14.25" customHeight="1" x14ac:dyDescent="0.2">
      <c r="A31" s="307"/>
      <c r="B31" s="309" t="s">
        <v>457</v>
      </c>
      <c r="C31" s="311">
        <v>21000</v>
      </c>
      <c r="D31" s="312" t="s">
        <v>461</v>
      </c>
      <c r="E31" s="421"/>
      <c r="F31" s="421"/>
      <c r="G31" s="421">
        <f t="shared" si="6"/>
        <v>0</v>
      </c>
      <c r="H31" s="421"/>
      <c r="I31" s="421"/>
      <c r="J31" s="421">
        <f t="shared" si="7"/>
        <v>0</v>
      </c>
      <c r="K31" s="422">
        <f t="shared" si="8"/>
        <v>0</v>
      </c>
      <c r="L31" s="429">
        <f t="shared" si="9"/>
        <v>0</v>
      </c>
    </row>
    <row r="32" spans="1:14" ht="14.25" customHeight="1" x14ac:dyDescent="0.2">
      <c r="A32" s="423"/>
      <c r="B32" s="418" t="s">
        <v>458</v>
      </c>
      <c r="C32" s="419">
        <v>31500</v>
      </c>
      <c r="D32" s="420" t="s">
        <v>461</v>
      </c>
      <c r="E32" s="421"/>
      <c r="F32" s="421"/>
      <c r="G32" s="421">
        <f t="shared" si="6"/>
        <v>0</v>
      </c>
      <c r="H32" s="421"/>
      <c r="I32" s="421"/>
      <c r="J32" s="421">
        <f t="shared" si="7"/>
        <v>0</v>
      </c>
      <c r="K32" s="422">
        <f t="shared" si="8"/>
        <v>0</v>
      </c>
      <c r="L32" s="429">
        <f t="shared" si="9"/>
        <v>0</v>
      </c>
    </row>
    <row r="33" spans="1:13" ht="14.25" customHeight="1" x14ac:dyDescent="0.2">
      <c r="A33" s="307"/>
      <c r="B33" s="309" t="s">
        <v>459</v>
      </c>
      <c r="C33" s="311">
        <v>24500</v>
      </c>
      <c r="D33" s="312" t="s">
        <v>462</v>
      </c>
      <c r="E33" s="421"/>
      <c r="F33" s="421"/>
      <c r="G33" s="421">
        <f t="shared" si="6"/>
        <v>0</v>
      </c>
      <c r="H33" s="421"/>
      <c r="I33" s="421"/>
      <c r="J33" s="421">
        <f t="shared" si="7"/>
        <v>0</v>
      </c>
      <c r="K33" s="422">
        <f t="shared" si="8"/>
        <v>0</v>
      </c>
      <c r="L33" s="429">
        <f t="shared" si="9"/>
        <v>0</v>
      </c>
    </row>
    <row r="34" spans="1:13" ht="14.25" customHeight="1" x14ac:dyDescent="0.2">
      <c r="A34" s="423"/>
      <c r="B34" s="418"/>
      <c r="C34" s="419"/>
      <c r="D34" s="420"/>
      <c r="E34" s="421"/>
      <c r="F34" s="421"/>
      <c r="G34" s="421">
        <f t="shared" si="6"/>
        <v>0</v>
      </c>
      <c r="H34" s="421"/>
      <c r="I34" s="421"/>
      <c r="J34" s="421">
        <f t="shared" si="7"/>
        <v>0</v>
      </c>
      <c r="K34" s="422">
        <f t="shared" si="8"/>
        <v>0</v>
      </c>
      <c r="L34" s="429">
        <f t="shared" si="9"/>
        <v>0</v>
      </c>
      <c r="M34" s="695" t="s">
        <v>419</v>
      </c>
    </row>
    <row r="35" spans="1:13" ht="14.25" customHeight="1" x14ac:dyDescent="0.2">
      <c r="A35" s="307"/>
      <c r="B35" s="309"/>
      <c r="C35" s="311"/>
      <c r="D35" s="312"/>
      <c r="E35" s="421"/>
      <c r="F35" s="421"/>
      <c r="G35" s="421">
        <f t="shared" si="6"/>
        <v>0</v>
      </c>
      <c r="H35" s="421"/>
      <c r="I35" s="421"/>
      <c r="J35" s="421">
        <f t="shared" si="7"/>
        <v>0</v>
      </c>
      <c r="K35" s="422">
        <f t="shared" si="8"/>
        <v>0</v>
      </c>
      <c r="L35" s="429">
        <f t="shared" si="9"/>
        <v>0</v>
      </c>
      <c r="M35" s="695"/>
    </row>
    <row r="36" spans="1:13" ht="14.25" customHeight="1" x14ac:dyDescent="0.2">
      <c r="A36" s="423"/>
      <c r="B36" s="418"/>
      <c r="C36" s="419"/>
      <c r="D36" s="420"/>
      <c r="E36" s="421"/>
      <c r="F36" s="421"/>
      <c r="G36" s="421">
        <f t="shared" si="6"/>
        <v>0</v>
      </c>
      <c r="H36" s="421"/>
      <c r="I36" s="421"/>
      <c r="J36" s="421">
        <f t="shared" si="7"/>
        <v>0</v>
      </c>
      <c r="K36" s="422">
        <f t="shared" si="8"/>
        <v>0</v>
      </c>
      <c r="L36" s="429">
        <f t="shared" si="9"/>
        <v>0</v>
      </c>
      <c r="M36" s="695"/>
    </row>
    <row r="37" spans="1:13" ht="14.25" customHeight="1" x14ac:dyDescent="0.2">
      <c r="A37" s="447" t="s">
        <v>390</v>
      </c>
      <c r="B37" s="448" t="s">
        <v>258</v>
      </c>
      <c r="C37" s="449"/>
      <c r="D37" s="450"/>
      <c r="E37" s="451"/>
      <c r="F37" s="451"/>
      <c r="G37" s="451"/>
      <c r="H37" s="451"/>
      <c r="I37" s="451"/>
      <c r="J37" s="451"/>
      <c r="K37" s="452">
        <f>SUM(K27:K36)</f>
        <v>0</v>
      </c>
      <c r="L37" s="452">
        <f>SUM(L27:L36)</f>
        <v>0</v>
      </c>
      <c r="M37" s="439">
        <f>L37-K37</f>
        <v>0</v>
      </c>
    </row>
    <row r="38" spans="1:13" ht="14.25" customHeight="1" x14ac:dyDescent="0.2">
      <c r="A38" s="424" t="s">
        <v>391</v>
      </c>
      <c r="B38" s="39" t="s">
        <v>275</v>
      </c>
      <c r="C38" s="425">
        <v>9000</v>
      </c>
      <c r="D38" s="426" t="s">
        <v>329</v>
      </c>
      <c r="E38" s="427">
        <v>6.5</v>
      </c>
      <c r="F38" s="427"/>
      <c r="G38" s="427">
        <f t="shared" ref="G38:G47" si="10">E38+F38</f>
        <v>6.5</v>
      </c>
      <c r="H38" s="427">
        <v>5.5</v>
      </c>
      <c r="I38" s="427"/>
      <c r="J38" s="427">
        <f>H38+I38</f>
        <v>5.5</v>
      </c>
      <c r="K38" s="428">
        <f t="shared" ref="K38:K47" si="11">G38*C38</f>
        <v>58500</v>
      </c>
      <c r="L38" s="431">
        <f t="shared" ref="L38:L47" si="12">C38*J38</f>
        <v>49500</v>
      </c>
      <c r="M38" s="475"/>
    </row>
    <row r="39" spans="1:13" ht="14.25" customHeight="1" x14ac:dyDescent="0.2">
      <c r="A39" s="308" t="s">
        <v>392</v>
      </c>
      <c r="B39" s="310" t="s">
        <v>259</v>
      </c>
      <c r="C39" s="313">
        <v>14000</v>
      </c>
      <c r="D39" s="314" t="s">
        <v>329</v>
      </c>
      <c r="E39" s="316">
        <v>11</v>
      </c>
      <c r="F39" s="316"/>
      <c r="G39" s="316">
        <f t="shared" si="10"/>
        <v>11</v>
      </c>
      <c r="H39" s="427">
        <v>3.5</v>
      </c>
      <c r="I39" s="316"/>
      <c r="J39" s="427">
        <f t="shared" ref="J39:J47" si="13">H39+I39</f>
        <v>3.5</v>
      </c>
      <c r="K39" s="318">
        <f t="shared" si="11"/>
        <v>154000</v>
      </c>
      <c r="L39" s="432">
        <f t="shared" si="12"/>
        <v>49000</v>
      </c>
    </row>
    <row r="40" spans="1:13" ht="14.25" customHeight="1" x14ac:dyDescent="0.2">
      <c r="A40" s="424" t="s">
        <v>393</v>
      </c>
      <c r="B40" s="39" t="s">
        <v>260</v>
      </c>
      <c r="C40" s="425">
        <v>20000</v>
      </c>
      <c r="D40" s="426" t="s">
        <v>329</v>
      </c>
      <c r="E40" s="427">
        <v>0.5</v>
      </c>
      <c r="F40" s="427"/>
      <c r="G40" s="427">
        <f t="shared" si="10"/>
        <v>0.5</v>
      </c>
      <c r="H40" s="427"/>
      <c r="I40" s="427"/>
      <c r="J40" s="427">
        <f t="shared" si="13"/>
        <v>0</v>
      </c>
      <c r="K40" s="428">
        <f t="shared" si="11"/>
        <v>10000</v>
      </c>
      <c r="L40" s="431">
        <f t="shared" si="12"/>
        <v>0</v>
      </c>
    </row>
    <row r="41" spans="1:13" ht="14.25" customHeight="1" x14ac:dyDescent="0.2">
      <c r="A41" s="308" t="s">
        <v>394</v>
      </c>
      <c r="B41" s="310" t="s">
        <v>261</v>
      </c>
      <c r="C41" s="313">
        <v>21500</v>
      </c>
      <c r="D41" s="314" t="s">
        <v>280</v>
      </c>
      <c r="E41" s="316">
        <v>0.5</v>
      </c>
      <c r="F41" s="316"/>
      <c r="G41" s="316">
        <f t="shared" si="10"/>
        <v>0.5</v>
      </c>
      <c r="H41" s="427">
        <v>6</v>
      </c>
      <c r="I41" s="316">
        <v>15</v>
      </c>
      <c r="J41" s="427">
        <f t="shared" si="13"/>
        <v>21</v>
      </c>
      <c r="K41" s="318">
        <f t="shared" si="11"/>
        <v>10750</v>
      </c>
      <c r="L41" s="432">
        <f t="shared" si="12"/>
        <v>451500</v>
      </c>
    </row>
    <row r="42" spans="1:13" ht="14.25" customHeight="1" x14ac:dyDescent="0.2">
      <c r="A42" s="424" t="s">
        <v>395</v>
      </c>
      <c r="B42" s="39" t="s">
        <v>610</v>
      </c>
      <c r="C42" s="425">
        <v>26000</v>
      </c>
      <c r="D42" s="426" t="s">
        <v>280</v>
      </c>
      <c r="E42" s="427">
        <v>1.5</v>
      </c>
      <c r="F42" s="427"/>
      <c r="G42" s="427">
        <f t="shared" si="10"/>
        <v>1.5</v>
      </c>
      <c r="H42" s="427">
        <v>2</v>
      </c>
      <c r="I42" s="427">
        <v>1</v>
      </c>
      <c r="J42" s="427">
        <f t="shared" si="13"/>
        <v>3</v>
      </c>
      <c r="K42" s="428">
        <f t="shared" si="11"/>
        <v>39000</v>
      </c>
      <c r="L42" s="431">
        <f t="shared" si="12"/>
        <v>78000</v>
      </c>
    </row>
    <row r="43" spans="1:13" ht="14.25" customHeight="1" x14ac:dyDescent="0.2">
      <c r="A43" s="308" t="s">
        <v>396</v>
      </c>
      <c r="B43" s="310" t="s">
        <v>263</v>
      </c>
      <c r="C43" s="313">
        <v>21000</v>
      </c>
      <c r="D43" s="314" t="s">
        <v>280</v>
      </c>
      <c r="E43" s="316">
        <v>3</v>
      </c>
      <c r="F43" s="316"/>
      <c r="G43" s="316">
        <f t="shared" si="10"/>
        <v>3</v>
      </c>
      <c r="H43" s="427">
        <v>5</v>
      </c>
      <c r="I43" s="316"/>
      <c r="J43" s="427">
        <f t="shared" si="13"/>
        <v>5</v>
      </c>
      <c r="K43" s="318">
        <f t="shared" si="11"/>
        <v>63000</v>
      </c>
      <c r="L43" s="432">
        <f t="shared" si="12"/>
        <v>105000</v>
      </c>
    </row>
    <row r="44" spans="1:13" ht="14.25" customHeight="1" x14ac:dyDescent="0.2">
      <c r="A44" s="424" t="s">
        <v>397</v>
      </c>
      <c r="B44" s="39" t="s">
        <v>264</v>
      </c>
      <c r="C44" s="425">
        <v>21000</v>
      </c>
      <c r="D44" s="426" t="s">
        <v>280</v>
      </c>
      <c r="E44" s="427">
        <v>2.5</v>
      </c>
      <c r="F44" s="427"/>
      <c r="G44" s="427">
        <f t="shared" si="10"/>
        <v>2.5</v>
      </c>
      <c r="H44" s="427">
        <v>2.5</v>
      </c>
      <c r="I44" s="427">
        <v>3</v>
      </c>
      <c r="J44" s="427">
        <f t="shared" si="13"/>
        <v>5.5</v>
      </c>
      <c r="K44" s="428">
        <f t="shared" si="11"/>
        <v>52500</v>
      </c>
      <c r="L44" s="431">
        <f t="shared" si="12"/>
        <v>115500</v>
      </c>
    </row>
    <row r="45" spans="1:13" ht="14.25" customHeight="1" x14ac:dyDescent="0.2">
      <c r="A45" s="308" t="s">
        <v>398</v>
      </c>
      <c r="B45" s="310" t="s">
        <v>265</v>
      </c>
      <c r="C45" s="313">
        <v>15000</v>
      </c>
      <c r="D45" s="314" t="s">
        <v>329</v>
      </c>
      <c r="E45" s="316"/>
      <c r="F45" s="316"/>
      <c r="G45" s="316">
        <f t="shared" si="10"/>
        <v>0</v>
      </c>
      <c r="H45" s="316">
        <v>2.5</v>
      </c>
      <c r="I45" s="316"/>
      <c r="J45" s="427">
        <f t="shared" si="13"/>
        <v>2.5</v>
      </c>
      <c r="K45" s="318">
        <f t="shared" si="11"/>
        <v>0</v>
      </c>
      <c r="L45" s="432">
        <f t="shared" si="12"/>
        <v>37500</v>
      </c>
    </row>
    <row r="46" spans="1:13" ht="14.25" customHeight="1" x14ac:dyDescent="0.2">
      <c r="A46" s="424" t="s">
        <v>399</v>
      </c>
      <c r="B46" s="39" t="s">
        <v>266</v>
      </c>
      <c r="C46" s="425">
        <v>15000</v>
      </c>
      <c r="D46" s="426" t="s">
        <v>329</v>
      </c>
      <c r="E46" s="427">
        <v>1.5</v>
      </c>
      <c r="F46" s="427"/>
      <c r="G46" s="427">
        <f t="shared" si="10"/>
        <v>1.5</v>
      </c>
      <c r="H46" s="427"/>
      <c r="I46" s="427"/>
      <c r="J46" s="427">
        <f t="shared" si="13"/>
        <v>0</v>
      </c>
      <c r="K46" s="428">
        <f t="shared" si="11"/>
        <v>22500</v>
      </c>
      <c r="L46" s="431">
        <f t="shared" si="12"/>
        <v>0</v>
      </c>
    </row>
    <row r="47" spans="1:13" ht="14.25" customHeight="1" x14ac:dyDescent="0.2">
      <c r="A47" s="308" t="s">
        <v>400</v>
      </c>
      <c r="B47" s="310" t="s">
        <v>267</v>
      </c>
      <c r="C47" s="313">
        <v>24000</v>
      </c>
      <c r="D47" s="314" t="s">
        <v>282</v>
      </c>
      <c r="E47" s="316"/>
      <c r="F47" s="316"/>
      <c r="G47" s="316">
        <f t="shared" si="10"/>
        <v>0</v>
      </c>
      <c r="H47" s="316"/>
      <c r="I47" s="316"/>
      <c r="J47" s="427">
        <f t="shared" si="13"/>
        <v>0</v>
      </c>
      <c r="K47" s="318">
        <f t="shared" si="11"/>
        <v>0</v>
      </c>
      <c r="L47" s="432">
        <f t="shared" si="12"/>
        <v>0</v>
      </c>
    </row>
    <row r="48" spans="1:13" ht="14.25" customHeight="1" x14ac:dyDescent="0.2">
      <c r="A48" s="436" t="s">
        <v>401</v>
      </c>
      <c r="B48" s="440" t="s">
        <v>268</v>
      </c>
      <c r="C48" s="441"/>
      <c r="D48" s="442"/>
      <c r="E48" s="443"/>
      <c r="F48" s="443"/>
      <c r="G48" s="443"/>
      <c r="H48" s="443"/>
      <c r="I48" s="443"/>
      <c r="J48" s="443"/>
      <c r="K48" s="446"/>
      <c r="L48" s="445"/>
    </row>
    <row r="49" spans="1:16" ht="14.25" customHeight="1" x14ac:dyDescent="0.2">
      <c r="A49" s="423" t="s">
        <v>402</v>
      </c>
      <c r="B49" s="418" t="s">
        <v>269</v>
      </c>
      <c r="C49" s="419">
        <v>45000</v>
      </c>
      <c r="D49" s="420" t="s">
        <v>329</v>
      </c>
      <c r="E49" s="421">
        <v>4</v>
      </c>
      <c r="F49" s="421">
        <v>5</v>
      </c>
      <c r="G49" s="421">
        <f t="shared" ref="G49:G54" si="14">E49+F49</f>
        <v>9</v>
      </c>
      <c r="H49" s="421">
        <v>2</v>
      </c>
      <c r="I49" s="421"/>
      <c r="J49" s="421">
        <f>H49+I49</f>
        <v>2</v>
      </c>
      <c r="K49" s="422">
        <f t="shared" ref="K49:K54" si="15">G49*C49</f>
        <v>405000</v>
      </c>
      <c r="L49" s="429">
        <f t="shared" ref="L49:L54" si="16">C49*J49</f>
        <v>90000</v>
      </c>
    </row>
    <row r="50" spans="1:16" ht="14.25" customHeight="1" x14ac:dyDescent="0.2">
      <c r="A50" s="552" t="s">
        <v>403</v>
      </c>
      <c r="B50" s="309" t="s">
        <v>528</v>
      </c>
      <c r="C50" s="311">
        <v>44000</v>
      </c>
      <c r="D50" s="312" t="s">
        <v>329</v>
      </c>
      <c r="E50" s="315">
        <v>0.5</v>
      </c>
      <c r="F50" s="315">
        <v>10</v>
      </c>
      <c r="G50" s="421">
        <f t="shared" si="14"/>
        <v>10.5</v>
      </c>
      <c r="H50" s="315">
        <v>2.5</v>
      </c>
      <c r="I50" s="315"/>
      <c r="J50" s="421">
        <f>H50+I50</f>
        <v>2.5</v>
      </c>
      <c r="K50" s="422">
        <f t="shared" si="15"/>
        <v>462000</v>
      </c>
      <c r="L50" s="429">
        <f t="shared" si="16"/>
        <v>110000</v>
      </c>
    </row>
    <row r="51" spans="1:16" ht="14.25" customHeight="1" x14ac:dyDescent="0.2">
      <c r="A51" s="307" t="s">
        <v>404</v>
      </c>
      <c r="B51" s="418" t="s">
        <v>270</v>
      </c>
      <c r="C51" s="419">
        <v>50000</v>
      </c>
      <c r="D51" s="420" t="s">
        <v>329</v>
      </c>
      <c r="E51" s="421"/>
      <c r="F51" s="421"/>
      <c r="G51" s="421">
        <f t="shared" si="14"/>
        <v>0</v>
      </c>
      <c r="H51" s="421"/>
      <c r="I51" s="421"/>
      <c r="J51" s="421">
        <f>H51+I51</f>
        <v>0</v>
      </c>
      <c r="K51" s="422">
        <f t="shared" si="15"/>
        <v>0</v>
      </c>
      <c r="L51" s="429">
        <f t="shared" si="16"/>
        <v>0</v>
      </c>
    </row>
    <row r="52" spans="1:16" ht="14.25" customHeight="1" x14ac:dyDescent="0.2">
      <c r="A52" s="423" t="s">
        <v>405</v>
      </c>
      <c r="B52" s="309" t="s">
        <v>271</v>
      </c>
      <c r="C52" s="311">
        <v>21000</v>
      </c>
      <c r="D52" s="312" t="s">
        <v>283</v>
      </c>
      <c r="E52" s="315"/>
      <c r="F52" s="315"/>
      <c r="G52" s="315">
        <f t="shared" si="14"/>
        <v>0</v>
      </c>
      <c r="H52" s="315"/>
      <c r="I52" s="315"/>
      <c r="J52" s="421">
        <f t="shared" ref="J52:J53" si="17">H52+I52</f>
        <v>0</v>
      </c>
      <c r="K52" s="317">
        <f t="shared" si="15"/>
        <v>0</v>
      </c>
      <c r="L52" s="430">
        <f t="shared" si="16"/>
        <v>0</v>
      </c>
      <c r="M52" s="695" t="s">
        <v>419</v>
      </c>
    </row>
    <row r="53" spans="1:16" ht="14.25" customHeight="1" x14ac:dyDescent="0.2">
      <c r="A53" s="423" t="s">
        <v>527</v>
      </c>
      <c r="B53" s="418" t="s">
        <v>272</v>
      </c>
      <c r="C53" s="419">
        <v>14000</v>
      </c>
      <c r="D53" s="420" t="s">
        <v>283</v>
      </c>
      <c r="E53" s="421"/>
      <c r="F53" s="421"/>
      <c r="G53" s="421">
        <f t="shared" si="14"/>
        <v>0</v>
      </c>
      <c r="H53" s="421"/>
      <c r="I53" s="421"/>
      <c r="J53" s="421">
        <f t="shared" si="17"/>
        <v>0</v>
      </c>
      <c r="K53" s="422">
        <f t="shared" si="15"/>
        <v>0</v>
      </c>
      <c r="L53" s="429">
        <f t="shared" si="16"/>
        <v>0</v>
      </c>
      <c r="M53" s="695"/>
    </row>
    <row r="54" spans="1:16" ht="14.25" customHeight="1" x14ac:dyDescent="0.2">
      <c r="A54" s="307"/>
      <c r="B54" s="309" t="s">
        <v>474</v>
      </c>
      <c r="C54" s="311">
        <v>10000</v>
      </c>
      <c r="D54" s="312" t="s">
        <v>475</v>
      </c>
      <c r="E54" s="421"/>
      <c r="F54" s="421"/>
      <c r="G54" s="421">
        <f t="shared" si="14"/>
        <v>0</v>
      </c>
      <c r="H54" s="421"/>
      <c r="I54" s="421"/>
      <c r="J54" s="421">
        <f t="shared" ref="J54" si="18">H54+I54</f>
        <v>0</v>
      </c>
      <c r="K54" s="422">
        <f t="shared" si="15"/>
        <v>0</v>
      </c>
      <c r="L54" s="429">
        <f t="shared" si="16"/>
        <v>0</v>
      </c>
      <c r="M54" s="695"/>
    </row>
    <row r="55" spans="1:16" ht="14.25" customHeight="1" x14ac:dyDescent="0.2">
      <c r="A55" s="436" t="s">
        <v>169</v>
      </c>
      <c r="B55" s="440" t="s">
        <v>273</v>
      </c>
      <c r="C55" s="441"/>
      <c r="D55" s="442"/>
      <c r="E55" s="443"/>
      <c r="F55" s="443"/>
      <c r="G55" s="443"/>
      <c r="H55" s="443"/>
      <c r="I55" s="443"/>
      <c r="J55" s="443"/>
      <c r="K55" s="444">
        <f>SUM(K7:K26)</f>
        <v>8201300</v>
      </c>
      <c r="L55" s="444">
        <f>SUM(L7:L24)</f>
        <v>6004287.5</v>
      </c>
      <c r="M55" s="439">
        <f>L55-K55</f>
        <v>-2197012.5</v>
      </c>
      <c r="N55" s="111"/>
      <c r="P55" s="111"/>
    </row>
    <row r="56" spans="1:16" ht="14.25" customHeight="1" x14ac:dyDescent="0.2">
      <c r="A56" s="436" t="s">
        <v>406</v>
      </c>
      <c r="B56" s="440" t="s">
        <v>274</v>
      </c>
      <c r="C56" s="441"/>
      <c r="D56" s="442"/>
      <c r="E56" s="443"/>
      <c r="F56" s="443"/>
      <c r="G56" s="443"/>
      <c r="H56" s="443"/>
      <c r="I56" s="443"/>
      <c r="J56" s="443"/>
      <c r="K56" s="444">
        <f>SUM(K38:K47)+SUM(K49:K53)</f>
        <v>1277250</v>
      </c>
      <c r="L56" s="445">
        <f>SUM(L38:L47)+SUM(L49:L53)</f>
        <v>1086000</v>
      </c>
      <c r="M56" s="439">
        <f>L56-K56</f>
        <v>-191250</v>
      </c>
      <c r="N56" s="111"/>
      <c r="P56" s="111"/>
    </row>
    <row r="57" spans="1:16" x14ac:dyDescent="0.2">
      <c r="K57" s="111"/>
      <c r="L57" s="111"/>
    </row>
    <row r="58" spans="1:16" x14ac:dyDescent="0.2">
      <c r="K58" s="111"/>
      <c r="L58" s="111"/>
      <c r="N58" s="111"/>
    </row>
    <row r="59" spans="1:16" x14ac:dyDescent="0.2">
      <c r="K59" s="111"/>
    </row>
  </sheetData>
  <mergeCells count="10">
    <mergeCell ref="M52:M54"/>
    <mergeCell ref="K4:L4"/>
    <mergeCell ref="C4:D5"/>
    <mergeCell ref="H4:J4"/>
    <mergeCell ref="A1:L1"/>
    <mergeCell ref="A2:L2"/>
    <mergeCell ref="E4:G4"/>
    <mergeCell ref="A4:A5"/>
    <mergeCell ref="B4:B5"/>
    <mergeCell ref="M34:M36"/>
  </mergeCells>
  <pageMargins left="0.7" right="0.7" top="0.75" bottom="0.75" header="0.3" footer="0.3"/>
  <ignoredErrors>
    <ignoredError sqref="L37" formula="1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J45"/>
  <sheetViews>
    <sheetView showGridLines="0" zoomScale="110" zoomScaleNormal="110" workbookViewId="0">
      <selection activeCell="B28" sqref="B28"/>
    </sheetView>
  </sheetViews>
  <sheetFormatPr defaultRowHeight="11.25" x14ac:dyDescent="0.2"/>
  <cols>
    <col min="1" max="1" width="9.140625" style="319"/>
    <col min="2" max="2" width="9.85546875" style="319" customWidth="1"/>
    <col min="3" max="3" width="6" style="320" customWidth="1"/>
    <col min="4" max="4" width="16.5703125" style="319" customWidth="1"/>
    <col min="5" max="5" width="6.5703125" style="319" customWidth="1"/>
    <col min="6" max="6" width="9" style="319" customWidth="1"/>
    <col min="7" max="7" width="11" style="319" customWidth="1"/>
    <col min="8" max="8" width="6.140625" style="320" customWidth="1"/>
    <col min="9" max="9" width="17.5703125" style="319" bestFit="1" customWidth="1"/>
    <col min="10" max="10" width="11.140625" style="319" customWidth="1"/>
    <col min="11" max="16384" width="9.140625" style="319"/>
  </cols>
  <sheetData>
    <row r="1" spans="2:10" ht="12.75" x14ac:dyDescent="0.2">
      <c r="B1" s="700" t="str">
        <f>'Neraca Awal'!A2</f>
        <v>NERACA AWAL</v>
      </c>
      <c r="C1" s="700"/>
      <c r="D1" s="700"/>
      <c r="E1" s="700"/>
      <c r="F1" s="700"/>
      <c r="G1" s="700"/>
      <c r="H1" s="700"/>
      <c r="I1" s="700"/>
      <c r="J1" s="700"/>
    </row>
    <row r="2" spans="2:10" ht="12.75" x14ac:dyDescent="0.2">
      <c r="B2" s="700" t="s">
        <v>4</v>
      </c>
      <c r="C2" s="700"/>
      <c r="D2" s="700"/>
      <c r="E2" s="700"/>
      <c r="F2" s="700"/>
      <c r="G2" s="700"/>
      <c r="H2" s="700"/>
      <c r="I2" s="700"/>
      <c r="J2" s="700"/>
    </row>
    <row r="3" spans="2:10" ht="12.75" x14ac:dyDescent="0.2">
      <c r="B3" s="700" t="str">
        <f>'Main Menu'!I14</f>
        <v>1 Desember 2017</v>
      </c>
      <c r="C3" s="700"/>
      <c r="D3" s="700"/>
      <c r="E3" s="700"/>
      <c r="F3" s="700"/>
      <c r="G3" s="700"/>
      <c r="H3" s="700"/>
      <c r="I3" s="700"/>
      <c r="J3" s="700"/>
    </row>
    <row r="4" spans="2:10" ht="12.75" x14ac:dyDescent="0.2">
      <c r="B4" s="700" t="str">
        <f>'Main Menu'!I15</f>
        <v>31 Desember 2017</v>
      </c>
      <c r="C4" s="700"/>
      <c r="D4" s="700"/>
      <c r="E4" s="700"/>
      <c r="F4" s="700"/>
      <c r="G4" s="700"/>
      <c r="H4" s="700"/>
      <c r="I4" s="700"/>
      <c r="J4" s="700"/>
    </row>
    <row r="5" spans="2:10" ht="6.75" customHeight="1" x14ac:dyDescent="0.2">
      <c r="B5" s="2"/>
      <c r="C5" s="2"/>
      <c r="D5" s="2"/>
      <c r="E5" s="2"/>
      <c r="F5" s="2"/>
      <c r="G5" s="2"/>
      <c r="H5" s="2"/>
      <c r="I5" s="2"/>
      <c r="J5" s="2"/>
    </row>
    <row r="6" spans="2:10" x14ac:dyDescent="0.2">
      <c r="B6" s="1"/>
      <c r="C6" s="5"/>
      <c r="D6" s="1"/>
      <c r="E6" s="1"/>
      <c r="F6" s="1"/>
      <c r="G6" s="3" t="s">
        <v>5</v>
      </c>
      <c r="H6" s="701" t="str">
        <f>IF(G45=J45,"PENCATATAN TRANSAKSI DITERIMA","SALDO TIDAK IMBANG, SILAKAN CEK LAGI")</f>
        <v>PENCATATAN TRANSAKSI DITERIMA</v>
      </c>
      <c r="I6" s="701"/>
      <c r="J6" s="701"/>
    </row>
    <row r="7" spans="2:10" ht="4.5" customHeight="1" x14ac:dyDescent="0.2">
      <c r="B7" s="4"/>
      <c r="C7" s="5"/>
      <c r="D7" s="1"/>
      <c r="E7" s="1"/>
      <c r="F7" s="1"/>
      <c r="G7" s="6"/>
      <c r="H7" s="5"/>
      <c r="I7" s="1"/>
      <c r="J7" s="6"/>
    </row>
    <row r="8" spans="2:10" ht="16.5" customHeight="1" x14ac:dyDescent="0.2">
      <c r="B8" s="708" t="s">
        <v>6</v>
      </c>
      <c r="C8" s="709" t="s">
        <v>0</v>
      </c>
      <c r="D8" s="702" t="s">
        <v>1</v>
      </c>
      <c r="E8" s="704" t="s">
        <v>336</v>
      </c>
      <c r="F8" s="705"/>
      <c r="G8" s="703" t="s">
        <v>8</v>
      </c>
      <c r="H8" s="709" t="s">
        <v>0</v>
      </c>
      <c r="I8" s="702" t="s">
        <v>1</v>
      </c>
      <c r="J8" s="703" t="s">
        <v>9</v>
      </c>
    </row>
    <row r="9" spans="2:10" ht="16.5" customHeight="1" x14ac:dyDescent="0.2">
      <c r="B9" s="708"/>
      <c r="C9" s="710"/>
      <c r="D9" s="702"/>
      <c r="E9" s="706"/>
      <c r="F9" s="707"/>
      <c r="G9" s="703"/>
      <c r="H9" s="710"/>
      <c r="I9" s="702"/>
      <c r="J9" s="703"/>
    </row>
    <row r="10" spans="2:10" x14ac:dyDescent="0.2">
      <c r="B10" s="337"/>
      <c r="C10" s="338" t="s">
        <v>321</v>
      </c>
      <c r="D10" s="333" t="str">
        <f t="shared" ref="D10:D44" si="0">IF(C10="","",VLOOKUP(C10,Bahan,2))</f>
        <v>Telur</v>
      </c>
      <c r="E10" s="339">
        <v>1</v>
      </c>
      <c r="F10" s="340" t="str">
        <f t="shared" ref="F10:F44" si="1">IF(C10="","",VLOOKUP(C10,Bahan,4))</f>
        <v>pcs</v>
      </c>
      <c r="G10" s="341"/>
      <c r="H10" s="338" t="s">
        <v>338</v>
      </c>
      <c r="I10" s="333" t="str">
        <f t="shared" ref="I10:I44" si="2">IF(H10="","",VLOOKUP(H10,Bahan,2))</f>
        <v>Yasmin Gelas</v>
      </c>
      <c r="J10" s="342" t="str">
        <f>IF(G10="","",G10)</f>
        <v/>
      </c>
    </row>
    <row r="11" spans="2:10" x14ac:dyDescent="0.2">
      <c r="B11" s="337"/>
      <c r="C11" s="338"/>
      <c r="D11" s="333" t="str">
        <f t="shared" si="0"/>
        <v/>
      </c>
      <c r="E11" s="343"/>
      <c r="F11" s="344" t="str">
        <f t="shared" si="1"/>
        <v/>
      </c>
      <c r="G11" s="341"/>
      <c r="H11" s="338"/>
      <c r="I11" s="333" t="str">
        <f t="shared" si="2"/>
        <v/>
      </c>
      <c r="J11" s="342" t="str">
        <f t="shared" ref="J11:J43" si="3">IF(G11="","",G11)</f>
        <v/>
      </c>
    </row>
    <row r="12" spans="2:10" x14ac:dyDescent="0.2">
      <c r="B12" s="337"/>
      <c r="C12" s="338"/>
      <c r="D12" s="333" t="str">
        <f t="shared" si="0"/>
        <v/>
      </c>
      <c r="E12" s="339"/>
      <c r="F12" s="345" t="str">
        <f t="shared" si="1"/>
        <v/>
      </c>
      <c r="G12" s="341"/>
      <c r="H12" s="338"/>
      <c r="I12" s="333" t="str">
        <f t="shared" si="2"/>
        <v/>
      </c>
      <c r="J12" s="342" t="str">
        <f t="shared" si="3"/>
        <v/>
      </c>
    </row>
    <row r="13" spans="2:10" x14ac:dyDescent="0.2">
      <c r="B13" s="337"/>
      <c r="C13" s="338"/>
      <c r="D13" s="333" t="str">
        <f t="shared" si="0"/>
        <v/>
      </c>
      <c r="E13" s="339"/>
      <c r="F13" s="345" t="str">
        <f t="shared" si="1"/>
        <v/>
      </c>
      <c r="G13" s="341"/>
      <c r="H13" s="338"/>
      <c r="I13" s="333" t="str">
        <f t="shared" si="2"/>
        <v/>
      </c>
      <c r="J13" s="342" t="str">
        <f t="shared" si="3"/>
        <v/>
      </c>
    </row>
    <row r="14" spans="2:10" x14ac:dyDescent="0.2">
      <c r="B14" s="337"/>
      <c r="C14" s="338"/>
      <c r="D14" s="333" t="str">
        <f t="shared" si="0"/>
        <v/>
      </c>
      <c r="E14" s="339"/>
      <c r="F14" s="345" t="str">
        <f t="shared" si="1"/>
        <v/>
      </c>
      <c r="G14" s="341"/>
      <c r="H14" s="338"/>
      <c r="I14" s="333" t="str">
        <f t="shared" si="2"/>
        <v/>
      </c>
      <c r="J14" s="342" t="str">
        <f t="shared" si="3"/>
        <v/>
      </c>
    </row>
    <row r="15" spans="2:10" x14ac:dyDescent="0.2">
      <c r="B15" s="337"/>
      <c r="C15" s="338"/>
      <c r="D15" s="333" t="str">
        <f t="shared" si="0"/>
        <v/>
      </c>
      <c r="E15" s="339"/>
      <c r="F15" s="345" t="str">
        <f t="shared" si="1"/>
        <v/>
      </c>
      <c r="G15" s="341"/>
      <c r="H15" s="338"/>
      <c r="I15" s="333" t="str">
        <f t="shared" si="2"/>
        <v/>
      </c>
      <c r="J15" s="342" t="str">
        <f t="shared" si="3"/>
        <v/>
      </c>
    </row>
    <row r="16" spans="2:10" x14ac:dyDescent="0.2">
      <c r="B16" s="337"/>
      <c r="C16" s="338"/>
      <c r="D16" s="333" t="str">
        <f t="shared" si="0"/>
        <v/>
      </c>
      <c r="E16" s="339"/>
      <c r="F16" s="345" t="str">
        <f t="shared" si="1"/>
        <v/>
      </c>
      <c r="G16" s="341"/>
      <c r="H16" s="338"/>
      <c r="I16" s="333" t="str">
        <f t="shared" si="2"/>
        <v/>
      </c>
      <c r="J16" s="342" t="str">
        <f t="shared" si="3"/>
        <v/>
      </c>
    </row>
    <row r="17" spans="2:10" x14ac:dyDescent="0.2">
      <c r="B17" s="337"/>
      <c r="C17" s="338"/>
      <c r="D17" s="333" t="str">
        <f t="shared" si="0"/>
        <v/>
      </c>
      <c r="E17" s="339"/>
      <c r="F17" s="345" t="str">
        <f t="shared" si="1"/>
        <v/>
      </c>
      <c r="G17" s="341"/>
      <c r="H17" s="338"/>
      <c r="I17" s="333" t="str">
        <f t="shared" si="2"/>
        <v/>
      </c>
      <c r="J17" s="342" t="str">
        <f t="shared" si="3"/>
        <v/>
      </c>
    </row>
    <row r="18" spans="2:10" x14ac:dyDescent="0.2">
      <c r="B18" s="337"/>
      <c r="C18" s="338"/>
      <c r="D18" s="333" t="str">
        <f t="shared" si="0"/>
        <v/>
      </c>
      <c r="E18" s="339"/>
      <c r="F18" s="345" t="str">
        <f t="shared" si="1"/>
        <v/>
      </c>
      <c r="G18" s="341"/>
      <c r="H18" s="338"/>
      <c r="I18" s="333" t="str">
        <f t="shared" si="2"/>
        <v/>
      </c>
      <c r="J18" s="342" t="str">
        <f t="shared" si="3"/>
        <v/>
      </c>
    </row>
    <row r="19" spans="2:10" x14ac:dyDescent="0.2">
      <c r="B19" s="337"/>
      <c r="C19" s="338"/>
      <c r="D19" s="333" t="str">
        <f t="shared" si="0"/>
        <v/>
      </c>
      <c r="E19" s="339"/>
      <c r="F19" s="345" t="str">
        <f t="shared" si="1"/>
        <v/>
      </c>
      <c r="G19" s="341"/>
      <c r="H19" s="338"/>
      <c r="I19" s="333" t="str">
        <f t="shared" si="2"/>
        <v/>
      </c>
      <c r="J19" s="342" t="str">
        <f t="shared" si="3"/>
        <v/>
      </c>
    </row>
    <row r="20" spans="2:10" x14ac:dyDescent="0.2">
      <c r="B20" s="337"/>
      <c r="C20" s="338"/>
      <c r="D20" s="333" t="str">
        <f t="shared" si="0"/>
        <v/>
      </c>
      <c r="E20" s="339"/>
      <c r="F20" s="345" t="str">
        <f t="shared" si="1"/>
        <v/>
      </c>
      <c r="G20" s="341"/>
      <c r="H20" s="338"/>
      <c r="I20" s="333" t="str">
        <f t="shared" si="2"/>
        <v/>
      </c>
      <c r="J20" s="342" t="str">
        <f t="shared" si="3"/>
        <v/>
      </c>
    </row>
    <row r="21" spans="2:10" x14ac:dyDescent="0.2">
      <c r="B21" s="337"/>
      <c r="C21" s="338"/>
      <c r="D21" s="333" t="str">
        <f t="shared" si="0"/>
        <v/>
      </c>
      <c r="E21" s="339"/>
      <c r="F21" s="345" t="str">
        <f t="shared" si="1"/>
        <v/>
      </c>
      <c r="G21" s="341"/>
      <c r="H21" s="338"/>
      <c r="I21" s="333" t="str">
        <f t="shared" si="2"/>
        <v/>
      </c>
      <c r="J21" s="342" t="str">
        <f t="shared" si="3"/>
        <v/>
      </c>
    </row>
    <row r="22" spans="2:10" x14ac:dyDescent="0.2">
      <c r="B22" s="337"/>
      <c r="C22" s="338"/>
      <c r="D22" s="333" t="str">
        <f t="shared" si="0"/>
        <v/>
      </c>
      <c r="E22" s="339"/>
      <c r="F22" s="345" t="str">
        <f t="shared" si="1"/>
        <v/>
      </c>
      <c r="G22" s="341"/>
      <c r="H22" s="338"/>
      <c r="I22" s="333" t="str">
        <f t="shared" si="2"/>
        <v/>
      </c>
      <c r="J22" s="342" t="str">
        <f t="shared" si="3"/>
        <v/>
      </c>
    </row>
    <row r="23" spans="2:10" x14ac:dyDescent="0.2">
      <c r="B23" s="337"/>
      <c r="C23" s="338"/>
      <c r="D23" s="333" t="str">
        <f t="shared" si="0"/>
        <v/>
      </c>
      <c r="E23" s="339"/>
      <c r="F23" s="345" t="str">
        <f t="shared" si="1"/>
        <v/>
      </c>
      <c r="G23" s="341"/>
      <c r="H23" s="338"/>
      <c r="I23" s="333" t="str">
        <f t="shared" si="2"/>
        <v/>
      </c>
      <c r="J23" s="342" t="str">
        <f t="shared" si="3"/>
        <v/>
      </c>
    </row>
    <row r="24" spans="2:10" x14ac:dyDescent="0.2">
      <c r="B24" s="337"/>
      <c r="C24" s="338"/>
      <c r="D24" s="333" t="str">
        <f t="shared" si="0"/>
        <v/>
      </c>
      <c r="E24" s="339"/>
      <c r="F24" s="345" t="str">
        <f t="shared" si="1"/>
        <v/>
      </c>
      <c r="G24" s="341"/>
      <c r="H24" s="338"/>
      <c r="I24" s="333" t="str">
        <f t="shared" si="2"/>
        <v/>
      </c>
      <c r="J24" s="342" t="str">
        <f t="shared" si="3"/>
        <v/>
      </c>
    </row>
    <row r="25" spans="2:10" x14ac:dyDescent="0.2">
      <c r="B25" s="337"/>
      <c r="C25" s="338"/>
      <c r="D25" s="333" t="str">
        <f t="shared" si="0"/>
        <v/>
      </c>
      <c r="E25" s="339"/>
      <c r="F25" s="345" t="str">
        <f t="shared" si="1"/>
        <v/>
      </c>
      <c r="G25" s="341"/>
      <c r="H25" s="338"/>
      <c r="I25" s="333" t="str">
        <f t="shared" si="2"/>
        <v/>
      </c>
      <c r="J25" s="342" t="str">
        <f t="shared" si="3"/>
        <v/>
      </c>
    </row>
    <row r="26" spans="2:10" x14ac:dyDescent="0.2">
      <c r="B26" s="337"/>
      <c r="C26" s="338"/>
      <c r="D26" s="333" t="str">
        <f t="shared" si="0"/>
        <v/>
      </c>
      <c r="E26" s="339"/>
      <c r="F26" s="345" t="str">
        <f t="shared" si="1"/>
        <v/>
      </c>
      <c r="G26" s="341"/>
      <c r="H26" s="338"/>
      <c r="I26" s="333" t="str">
        <f t="shared" si="2"/>
        <v/>
      </c>
      <c r="J26" s="342" t="str">
        <f t="shared" si="3"/>
        <v/>
      </c>
    </row>
    <row r="27" spans="2:10" x14ac:dyDescent="0.2">
      <c r="B27" s="337"/>
      <c r="C27" s="338"/>
      <c r="D27" s="333" t="str">
        <f t="shared" si="0"/>
        <v/>
      </c>
      <c r="E27" s="339"/>
      <c r="F27" s="345" t="str">
        <f t="shared" si="1"/>
        <v/>
      </c>
      <c r="G27" s="341"/>
      <c r="H27" s="338"/>
      <c r="I27" s="333" t="str">
        <f t="shared" si="2"/>
        <v/>
      </c>
      <c r="J27" s="342" t="str">
        <f t="shared" si="3"/>
        <v/>
      </c>
    </row>
    <row r="28" spans="2:10" x14ac:dyDescent="0.2">
      <c r="B28" s="337"/>
      <c r="C28" s="338"/>
      <c r="D28" s="333" t="str">
        <f t="shared" si="0"/>
        <v/>
      </c>
      <c r="E28" s="339"/>
      <c r="F28" s="345" t="str">
        <f t="shared" si="1"/>
        <v/>
      </c>
      <c r="G28" s="341"/>
      <c r="H28" s="338"/>
      <c r="I28" s="333" t="str">
        <f t="shared" si="2"/>
        <v/>
      </c>
      <c r="J28" s="342" t="str">
        <f t="shared" si="3"/>
        <v/>
      </c>
    </row>
    <row r="29" spans="2:10" x14ac:dyDescent="0.2">
      <c r="B29" s="337"/>
      <c r="C29" s="338"/>
      <c r="D29" s="333" t="str">
        <f t="shared" si="0"/>
        <v/>
      </c>
      <c r="E29" s="339"/>
      <c r="F29" s="345" t="str">
        <f t="shared" si="1"/>
        <v/>
      </c>
      <c r="G29" s="341"/>
      <c r="H29" s="338"/>
      <c r="I29" s="333" t="str">
        <f t="shared" si="2"/>
        <v/>
      </c>
      <c r="J29" s="342" t="str">
        <f t="shared" si="3"/>
        <v/>
      </c>
    </row>
    <row r="30" spans="2:10" x14ac:dyDescent="0.2">
      <c r="B30" s="337"/>
      <c r="C30" s="338"/>
      <c r="D30" s="333" t="str">
        <f t="shared" si="0"/>
        <v/>
      </c>
      <c r="E30" s="339"/>
      <c r="F30" s="345" t="str">
        <f t="shared" si="1"/>
        <v/>
      </c>
      <c r="G30" s="341"/>
      <c r="H30" s="338"/>
      <c r="I30" s="333" t="str">
        <f t="shared" si="2"/>
        <v/>
      </c>
      <c r="J30" s="342" t="str">
        <f t="shared" si="3"/>
        <v/>
      </c>
    </row>
    <row r="31" spans="2:10" x14ac:dyDescent="0.2">
      <c r="B31" s="337"/>
      <c r="C31" s="338"/>
      <c r="D31" s="333" t="str">
        <f t="shared" si="0"/>
        <v/>
      </c>
      <c r="E31" s="339"/>
      <c r="F31" s="345" t="str">
        <f t="shared" si="1"/>
        <v/>
      </c>
      <c r="G31" s="341"/>
      <c r="H31" s="338"/>
      <c r="I31" s="333" t="str">
        <f t="shared" si="2"/>
        <v/>
      </c>
      <c r="J31" s="342" t="str">
        <f t="shared" si="3"/>
        <v/>
      </c>
    </row>
    <row r="32" spans="2:10" x14ac:dyDescent="0.2">
      <c r="B32" s="337"/>
      <c r="C32" s="338"/>
      <c r="D32" s="333" t="str">
        <f t="shared" si="0"/>
        <v/>
      </c>
      <c r="E32" s="339"/>
      <c r="F32" s="345" t="str">
        <f t="shared" si="1"/>
        <v/>
      </c>
      <c r="G32" s="341"/>
      <c r="H32" s="338"/>
      <c r="I32" s="333" t="str">
        <f t="shared" si="2"/>
        <v/>
      </c>
      <c r="J32" s="342" t="str">
        <f t="shared" si="3"/>
        <v/>
      </c>
    </row>
    <row r="33" spans="2:10" x14ac:dyDescent="0.2">
      <c r="B33" s="337"/>
      <c r="C33" s="338"/>
      <c r="D33" s="333" t="str">
        <f t="shared" si="0"/>
        <v/>
      </c>
      <c r="E33" s="339"/>
      <c r="F33" s="345" t="str">
        <f t="shared" si="1"/>
        <v/>
      </c>
      <c r="G33" s="341"/>
      <c r="H33" s="338"/>
      <c r="I33" s="333" t="str">
        <f t="shared" si="2"/>
        <v/>
      </c>
      <c r="J33" s="342" t="str">
        <f t="shared" si="3"/>
        <v/>
      </c>
    </row>
    <row r="34" spans="2:10" x14ac:dyDescent="0.2">
      <c r="B34" s="337"/>
      <c r="C34" s="338"/>
      <c r="D34" s="333" t="str">
        <f t="shared" si="0"/>
        <v/>
      </c>
      <c r="E34" s="339"/>
      <c r="F34" s="345" t="str">
        <f t="shared" si="1"/>
        <v/>
      </c>
      <c r="G34" s="341"/>
      <c r="H34" s="338"/>
      <c r="I34" s="333" t="str">
        <f t="shared" si="2"/>
        <v/>
      </c>
      <c r="J34" s="342" t="str">
        <f t="shared" si="3"/>
        <v/>
      </c>
    </row>
    <row r="35" spans="2:10" x14ac:dyDescent="0.2">
      <c r="B35" s="337"/>
      <c r="C35" s="338"/>
      <c r="D35" s="333" t="str">
        <f t="shared" si="0"/>
        <v/>
      </c>
      <c r="E35" s="339"/>
      <c r="F35" s="345" t="str">
        <f t="shared" si="1"/>
        <v/>
      </c>
      <c r="G35" s="341"/>
      <c r="H35" s="338"/>
      <c r="I35" s="333" t="str">
        <f t="shared" si="2"/>
        <v/>
      </c>
      <c r="J35" s="342" t="str">
        <f t="shared" si="3"/>
        <v/>
      </c>
    </row>
    <row r="36" spans="2:10" x14ac:dyDescent="0.2">
      <c r="B36" s="337"/>
      <c r="C36" s="338"/>
      <c r="D36" s="333" t="str">
        <f t="shared" si="0"/>
        <v/>
      </c>
      <c r="E36" s="339"/>
      <c r="F36" s="345" t="str">
        <f t="shared" si="1"/>
        <v/>
      </c>
      <c r="G36" s="341"/>
      <c r="H36" s="338"/>
      <c r="I36" s="333" t="str">
        <f t="shared" si="2"/>
        <v/>
      </c>
      <c r="J36" s="342" t="str">
        <f t="shared" si="3"/>
        <v/>
      </c>
    </row>
    <row r="37" spans="2:10" x14ac:dyDescent="0.2">
      <c r="B37" s="337"/>
      <c r="C37" s="338"/>
      <c r="D37" s="333" t="str">
        <f t="shared" si="0"/>
        <v/>
      </c>
      <c r="E37" s="339"/>
      <c r="F37" s="345" t="str">
        <f t="shared" si="1"/>
        <v/>
      </c>
      <c r="G37" s="341"/>
      <c r="H37" s="338"/>
      <c r="I37" s="333" t="str">
        <f t="shared" si="2"/>
        <v/>
      </c>
      <c r="J37" s="342" t="str">
        <f t="shared" si="3"/>
        <v/>
      </c>
    </row>
    <row r="38" spans="2:10" x14ac:dyDescent="0.2">
      <c r="B38" s="337"/>
      <c r="C38" s="338"/>
      <c r="D38" s="333" t="str">
        <f t="shared" si="0"/>
        <v/>
      </c>
      <c r="E38" s="339"/>
      <c r="F38" s="345" t="str">
        <f t="shared" si="1"/>
        <v/>
      </c>
      <c r="G38" s="341"/>
      <c r="H38" s="338"/>
      <c r="I38" s="333" t="str">
        <f t="shared" si="2"/>
        <v/>
      </c>
      <c r="J38" s="342" t="str">
        <f t="shared" si="3"/>
        <v/>
      </c>
    </row>
    <row r="39" spans="2:10" x14ac:dyDescent="0.2">
      <c r="B39" s="337"/>
      <c r="C39" s="338"/>
      <c r="D39" s="333" t="str">
        <f t="shared" si="0"/>
        <v/>
      </c>
      <c r="E39" s="339"/>
      <c r="F39" s="345" t="str">
        <f t="shared" si="1"/>
        <v/>
      </c>
      <c r="G39" s="341"/>
      <c r="H39" s="338"/>
      <c r="I39" s="333" t="str">
        <f t="shared" si="2"/>
        <v/>
      </c>
      <c r="J39" s="342" t="str">
        <f t="shared" si="3"/>
        <v/>
      </c>
    </row>
    <row r="40" spans="2:10" x14ac:dyDescent="0.2">
      <c r="B40" s="337"/>
      <c r="C40" s="338"/>
      <c r="D40" s="333" t="str">
        <f t="shared" si="0"/>
        <v/>
      </c>
      <c r="E40" s="339"/>
      <c r="F40" s="345" t="str">
        <f t="shared" si="1"/>
        <v/>
      </c>
      <c r="G40" s="341"/>
      <c r="H40" s="338"/>
      <c r="I40" s="333" t="str">
        <f t="shared" si="2"/>
        <v/>
      </c>
      <c r="J40" s="342" t="str">
        <f t="shared" si="3"/>
        <v/>
      </c>
    </row>
    <row r="41" spans="2:10" x14ac:dyDescent="0.2">
      <c r="B41" s="337"/>
      <c r="C41" s="338"/>
      <c r="D41" s="333" t="str">
        <f t="shared" si="0"/>
        <v/>
      </c>
      <c r="E41" s="339"/>
      <c r="F41" s="345" t="str">
        <f t="shared" si="1"/>
        <v/>
      </c>
      <c r="G41" s="341"/>
      <c r="H41" s="338"/>
      <c r="I41" s="333" t="str">
        <f t="shared" si="2"/>
        <v/>
      </c>
      <c r="J41" s="342" t="str">
        <f t="shared" si="3"/>
        <v/>
      </c>
    </row>
    <row r="42" spans="2:10" x14ac:dyDescent="0.2">
      <c r="B42" s="337"/>
      <c r="C42" s="338"/>
      <c r="D42" s="333" t="str">
        <f t="shared" si="0"/>
        <v/>
      </c>
      <c r="E42" s="339"/>
      <c r="F42" s="345" t="str">
        <f t="shared" si="1"/>
        <v/>
      </c>
      <c r="G42" s="341"/>
      <c r="H42" s="338"/>
      <c r="I42" s="333" t="str">
        <f t="shared" si="2"/>
        <v/>
      </c>
      <c r="J42" s="342" t="str">
        <f t="shared" si="3"/>
        <v/>
      </c>
    </row>
    <row r="43" spans="2:10" x14ac:dyDescent="0.2">
      <c r="B43" s="337"/>
      <c r="C43" s="338"/>
      <c r="D43" s="333" t="str">
        <f t="shared" si="0"/>
        <v/>
      </c>
      <c r="E43" s="339"/>
      <c r="F43" s="345" t="str">
        <f t="shared" si="1"/>
        <v/>
      </c>
      <c r="G43" s="341"/>
      <c r="H43" s="338"/>
      <c r="I43" s="333" t="str">
        <f t="shared" si="2"/>
        <v/>
      </c>
      <c r="J43" s="342" t="str">
        <f t="shared" si="3"/>
        <v/>
      </c>
    </row>
    <row r="44" spans="2:10" x14ac:dyDescent="0.2">
      <c r="B44" s="337"/>
      <c r="C44" s="338"/>
      <c r="D44" s="333" t="str">
        <f t="shared" si="0"/>
        <v/>
      </c>
      <c r="E44" s="347"/>
      <c r="F44" s="348" t="str">
        <f t="shared" si="1"/>
        <v/>
      </c>
      <c r="G44" s="341"/>
      <c r="H44" s="338"/>
      <c r="I44" s="333" t="str">
        <f t="shared" si="2"/>
        <v/>
      </c>
      <c r="J44" s="342" t="str">
        <f>IF(G44="","",G44)</f>
        <v/>
      </c>
    </row>
    <row r="45" spans="2:10" x14ac:dyDescent="0.2">
      <c r="B45" s="334"/>
      <c r="C45" s="335"/>
      <c r="D45" s="346"/>
      <c r="E45" s="346"/>
      <c r="F45" s="336"/>
      <c r="G45" s="336"/>
      <c r="H45" s="335"/>
      <c r="I45" s="334"/>
      <c r="J45" s="334"/>
    </row>
  </sheetData>
  <mergeCells count="13">
    <mergeCell ref="I8:I9"/>
    <mergeCell ref="J8:J9"/>
    <mergeCell ref="E8:F9"/>
    <mergeCell ref="B8:B9"/>
    <mergeCell ref="C8:C9"/>
    <mergeCell ref="D8:D9"/>
    <mergeCell ref="G8:G9"/>
    <mergeCell ref="H8:H9"/>
    <mergeCell ref="B1:J1"/>
    <mergeCell ref="B2:J2"/>
    <mergeCell ref="B3:J3"/>
    <mergeCell ref="B4:J4"/>
    <mergeCell ref="H6:J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I8"/>
  <sheetViews>
    <sheetView zoomScale="110" zoomScaleNormal="110" workbookViewId="0">
      <selection activeCell="G27" sqref="G27"/>
    </sheetView>
  </sheetViews>
  <sheetFormatPr defaultRowHeight="12" x14ac:dyDescent="0.2"/>
  <cols>
    <col min="1" max="1" width="6.5703125" style="349" customWidth="1"/>
    <col min="2" max="2" width="29" style="349" customWidth="1"/>
    <col min="3" max="9" width="11" style="349" customWidth="1"/>
    <col min="10" max="16384" width="9.140625" style="349"/>
  </cols>
  <sheetData>
    <row r="2" spans="1:9" ht="15" x14ac:dyDescent="0.25">
      <c r="A2" s="711" t="str">
        <f>'Jurnal Trans Klausa'!B1</f>
        <v>KLAUSA CAKE</v>
      </c>
      <c r="B2" s="711"/>
      <c r="C2" s="711"/>
      <c r="D2" s="711"/>
      <c r="E2" s="711"/>
      <c r="F2" s="711"/>
      <c r="G2" s="711"/>
      <c r="H2" s="711"/>
      <c r="I2" s="711"/>
    </row>
    <row r="3" spans="1:9" ht="15" x14ac:dyDescent="0.2">
      <c r="A3" s="592" t="s">
        <v>74</v>
      </c>
      <c r="B3" s="592"/>
      <c r="C3" s="592"/>
      <c r="D3" s="592"/>
      <c r="E3" s="592"/>
      <c r="F3" s="592"/>
      <c r="G3" s="592"/>
      <c r="H3" s="592"/>
      <c r="I3" s="592"/>
    </row>
    <row r="4" spans="1:9" x14ac:dyDescent="0.2">
      <c r="A4" s="593" t="str">
        <f>'Main Menu'!I14</f>
        <v>1 Desember 2017</v>
      </c>
      <c r="B4" s="593"/>
      <c r="C4" s="593"/>
      <c r="D4" s="593"/>
      <c r="E4" s="593"/>
      <c r="F4" s="593"/>
      <c r="G4" s="593"/>
      <c r="H4" s="593"/>
      <c r="I4" s="593"/>
    </row>
    <row r="5" spans="1:9" x14ac:dyDescent="0.2">
      <c r="A5" s="593" t="str">
        <f>'Main Menu'!I15</f>
        <v>31 Desember 2017</v>
      </c>
      <c r="B5" s="593"/>
      <c r="C5" s="593"/>
      <c r="D5" s="593"/>
      <c r="E5" s="593"/>
      <c r="F5" s="593"/>
      <c r="G5" s="593"/>
      <c r="H5" s="593"/>
      <c r="I5" s="593"/>
    </row>
    <row r="6" spans="1:9" ht="5.25" customHeight="1" x14ac:dyDescent="0.2">
      <c r="A6" s="7"/>
      <c r="B6" s="11"/>
      <c r="C6" s="11"/>
      <c r="D6" s="12"/>
      <c r="E6" s="12"/>
      <c r="F6" s="12"/>
      <c r="G6" s="12"/>
      <c r="H6" s="12"/>
      <c r="I6" s="12"/>
    </row>
    <row r="7" spans="1:9" ht="15.75" customHeight="1" x14ac:dyDescent="0.2">
      <c r="A7" s="712" t="s">
        <v>64</v>
      </c>
      <c r="B7" s="603" t="s">
        <v>10</v>
      </c>
      <c r="C7" s="350"/>
      <c r="D7" s="350"/>
      <c r="E7" s="350"/>
      <c r="F7" s="350"/>
      <c r="G7" s="350"/>
      <c r="H7" s="350"/>
      <c r="I7" s="350"/>
    </row>
    <row r="8" spans="1:9" ht="15.75" customHeight="1" x14ac:dyDescent="0.2">
      <c r="A8" s="712"/>
      <c r="B8" s="603"/>
      <c r="C8" s="350"/>
      <c r="D8" s="350"/>
      <c r="E8" s="350"/>
      <c r="F8" s="350"/>
      <c r="G8" s="350"/>
      <c r="H8" s="350"/>
      <c r="I8" s="350"/>
    </row>
  </sheetData>
  <mergeCells count="6">
    <mergeCell ref="A2:I2"/>
    <mergeCell ref="A3:I3"/>
    <mergeCell ref="A4:I4"/>
    <mergeCell ref="A5:I5"/>
    <mergeCell ref="A7:A8"/>
    <mergeCell ref="B7:B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FF0000"/>
  </sheetPr>
  <dimension ref="A1:N58"/>
  <sheetViews>
    <sheetView topLeftCell="A8" workbookViewId="0">
      <selection activeCell="A59" sqref="A59:XFD1048576"/>
    </sheetView>
  </sheetViews>
  <sheetFormatPr defaultColWidth="0" defaultRowHeight="12.75" zeroHeight="1" x14ac:dyDescent="0.2"/>
  <cols>
    <col min="1" max="14" width="9.140625" customWidth="1"/>
    <col min="15" max="16384" width="9.140625" hidden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S56"/>
  <sheetViews>
    <sheetView showGridLines="0" workbookViewId="0">
      <pane ySplit="4" topLeftCell="A23" activePane="bottomLeft" state="frozen"/>
      <selection pane="bottomLeft" activeCell="D26" sqref="D26"/>
    </sheetView>
  </sheetViews>
  <sheetFormatPr defaultRowHeight="12.75" x14ac:dyDescent="0.2"/>
  <cols>
    <col min="1" max="1" width="4.5703125" style="492" customWidth="1"/>
    <col min="2" max="2" width="13" style="503" customWidth="1"/>
    <col min="3" max="3" width="8.5703125" style="492" customWidth="1"/>
    <col min="4" max="4" width="8.42578125" style="535" customWidth="1"/>
    <col min="5" max="9" width="8.140625" style="535" customWidth="1"/>
    <col min="10" max="10" width="1.5703125" style="535" customWidth="1"/>
    <col min="11" max="16" width="10.140625" style="535" customWidth="1"/>
    <col min="17" max="17" width="11.7109375" style="489" customWidth="1"/>
    <col min="18" max="18" width="11.7109375" style="492" customWidth="1"/>
    <col min="19" max="19" width="11.140625" style="492" customWidth="1"/>
    <col min="20" max="16384" width="9.140625" style="492"/>
  </cols>
  <sheetData>
    <row r="2" spans="2:18" ht="20.25" customHeight="1" x14ac:dyDescent="0.2">
      <c r="B2" s="377"/>
      <c r="C2" s="488"/>
      <c r="D2" s="713" t="s">
        <v>236</v>
      </c>
      <c r="E2" s="713"/>
      <c r="F2" s="713"/>
      <c r="G2" s="533"/>
      <c r="H2" s="566"/>
      <c r="I2" s="533"/>
      <c r="J2" s="497"/>
      <c r="K2" s="713" t="s">
        <v>171</v>
      </c>
      <c r="L2" s="713"/>
      <c r="M2" s="713"/>
      <c r="N2" s="713"/>
      <c r="O2" s="566"/>
      <c r="P2" s="533"/>
    </row>
    <row r="3" spans="2:18" s="497" customFormat="1" ht="21" customHeight="1" x14ac:dyDescent="0.2">
      <c r="B3" s="493" t="s">
        <v>235</v>
      </c>
      <c r="C3" s="493" t="s">
        <v>160</v>
      </c>
      <c r="D3" s="493" t="s">
        <v>159</v>
      </c>
      <c r="E3" s="493" t="s">
        <v>452</v>
      </c>
      <c r="F3" s="493" t="s">
        <v>511</v>
      </c>
      <c r="G3" s="493" t="s">
        <v>522</v>
      </c>
      <c r="H3" s="493" t="s">
        <v>544</v>
      </c>
      <c r="I3" s="493" t="s">
        <v>543</v>
      </c>
      <c r="J3" s="494"/>
      <c r="K3" s="495" t="str">
        <f>D3</f>
        <v>Jannah</v>
      </c>
      <c r="L3" s="495" t="str">
        <f t="shared" ref="L3:P3" si="0">E3</f>
        <v>Febi</v>
      </c>
      <c r="M3" s="495" t="str">
        <f t="shared" si="0"/>
        <v>Siti</v>
      </c>
      <c r="N3" s="495" t="str">
        <f t="shared" si="0"/>
        <v>Nur</v>
      </c>
      <c r="O3" s="495" t="str">
        <f t="shared" si="0"/>
        <v>Ruri</v>
      </c>
      <c r="P3" s="495" t="str">
        <f t="shared" si="0"/>
        <v>Sherli</v>
      </c>
      <c r="Q3" s="490"/>
    </row>
    <row r="4" spans="2:18" s="497" customFormat="1" ht="21" customHeight="1" x14ac:dyDescent="0.2">
      <c r="B4" s="493"/>
      <c r="C4" s="493"/>
      <c r="D4" s="493"/>
      <c r="E4" s="493"/>
      <c r="F4" s="493"/>
      <c r="G4" s="493"/>
      <c r="H4" s="493"/>
      <c r="I4" s="493"/>
      <c r="J4" s="494"/>
      <c r="K4" s="495"/>
      <c r="L4" s="496"/>
      <c r="M4" s="496"/>
      <c r="N4" s="496"/>
      <c r="O4" s="496"/>
      <c r="P4" s="496"/>
      <c r="Q4" s="490"/>
    </row>
    <row r="5" spans="2:18" x14ac:dyDescent="0.2">
      <c r="B5" s="498" t="s">
        <v>115</v>
      </c>
      <c r="C5" s="195" t="str">
        <f>'Main Menu'!M2</f>
        <v>-</v>
      </c>
      <c r="D5" s="541"/>
      <c r="E5" s="541"/>
      <c r="F5" s="541"/>
      <c r="G5" s="541"/>
      <c r="H5" s="541"/>
      <c r="I5" s="541"/>
      <c r="J5" s="546"/>
      <c r="K5" s="536"/>
      <c r="L5" s="538"/>
      <c r="M5" s="538"/>
      <c r="N5" s="538"/>
      <c r="O5" s="538"/>
      <c r="P5" s="538"/>
      <c r="Q5" s="489">
        <f>Penjualan!H6</f>
        <v>0</v>
      </c>
      <c r="R5" s="507">
        <f>Penjualan!W6</f>
        <v>0</v>
      </c>
    </row>
    <row r="6" spans="2:18" x14ac:dyDescent="0.2">
      <c r="B6" s="498" t="s">
        <v>109</v>
      </c>
      <c r="C6" s="195" t="str">
        <f>'Main Menu'!M3</f>
        <v>-</v>
      </c>
      <c r="D6" s="541"/>
      <c r="E6" s="541"/>
      <c r="F6" s="541"/>
      <c r="G6" s="541"/>
      <c r="H6" s="541"/>
      <c r="I6" s="541"/>
      <c r="J6" s="546"/>
      <c r="K6" s="536"/>
      <c r="L6" s="538"/>
      <c r="M6" s="538"/>
      <c r="N6" s="538"/>
      <c r="O6" s="538"/>
      <c r="P6" s="538"/>
      <c r="Q6" s="489">
        <f>Penjualan!H7</f>
        <v>0</v>
      </c>
      <c r="R6" s="507">
        <f>Penjualan!W7</f>
        <v>0</v>
      </c>
    </row>
    <row r="7" spans="2:18" x14ac:dyDescent="0.2">
      <c r="B7" s="498" t="s">
        <v>110</v>
      </c>
      <c r="C7" s="195" t="str">
        <f>'Main Menu'!M4</f>
        <v>-</v>
      </c>
      <c r="D7" s="541"/>
      <c r="E7" s="541"/>
      <c r="F7" s="541"/>
      <c r="G7" s="541"/>
      <c r="H7" s="541"/>
      <c r="I7" s="541"/>
      <c r="J7" s="546"/>
      <c r="K7" s="536"/>
      <c r="L7" s="538"/>
      <c r="M7" s="538"/>
      <c r="N7" s="538"/>
      <c r="O7" s="538"/>
      <c r="P7" s="538"/>
      <c r="Q7" s="489">
        <f>Penjualan!H8</f>
        <v>0</v>
      </c>
      <c r="R7" s="507">
        <f>Penjualan!W8</f>
        <v>0</v>
      </c>
    </row>
    <row r="8" spans="2:18" x14ac:dyDescent="0.2">
      <c r="B8" s="498" t="s">
        <v>111</v>
      </c>
      <c r="C8" s="195" t="str">
        <f>'Main Menu'!M5</f>
        <v>-</v>
      </c>
      <c r="D8" s="541"/>
      <c r="E8" s="541"/>
      <c r="F8" s="541"/>
      <c r="G8" s="541"/>
      <c r="H8" s="541"/>
      <c r="I8" s="541"/>
      <c r="J8" s="546"/>
      <c r="K8" s="536"/>
      <c r="L8" s="538"/>
      <c r="M8" s="538"/>
      <c r="N8" s="538"/>
      <c r="O8" s="538"/>
      <c r="P8" s="538"/>
      <c r="Q8" s="489">
        <f>Penjualan!H9</f>
        <v>0</v>
      </c>
      <c r="R8" s="507">
        <f>Penjualan!W9</f>
        <v>0</v>
      </c>
    </row>
    <row r="9" spans="2:18" x14ac:dyDescent="0.2">
      <c r="B9" s="498" t="s">
        <v>112</v>
      </c>
      <c r="C9" s="195" t="str">
        <f>'Main Menu'!M6</f>
        <v>-</v>
      </c>
      <c r="D9" s="541"/>
      <c r="E9" s="541"/>
      <c r="F9" s="541"/>
      <c r="G9" s="541"/>
      <c r="H9" s="541"/>
      <c r="I9" s="541"/>
      <c r="J9" s="546"/>
      <c r="K9" s="536"/>
      <c r="L9" s="538"/>
      <c r="M9" s="538"/>
      <c r="N9" s="538"/>
      <c r="O9" s="538"/>
      <c r="P9" s="538"/>
      <c r="Q9" s="489">
        <f>Penjualan!H10</f>
        <v>0</v>
      </c>
      <c r="R9" s="507">
        <f>Penjualan!W10</f>
        <v>0</v>
      </c>
    </row>
    <row r="10" spans="2:18" x14ac:dyDescent="0.2">
      <c r="B10" s="498" t="s">
        <v>161</v>
      </c>
      <c r="C10" s="195">
        <f>'Main Menu'!M7</f>
        <v>43070</v>
      </c>
      <c r="D10" s="541"/>
      <c r="E10" s="541"/>
      <c r="F10" s="541"/>
      <c r="G10" s="541"/>
      <c r="H10" s="541"/>
      <c r="I10" s="541"/>
      <c r="J10" s="546"/>
      <c r="K10" s="536"/>
      <c r="L10" s="538"/>
      <c r="M10" s="538"/>
      <c r="N10" s="538"/>
      <c r="O10" s="538"/>
      <c r="P10" s="538"/>
      <c r="Q10" s="489">
        <f>Penjualan!H11</f>
        <v>0</v>
      </c>
      <c r="R10" s="507">
        <f>Penjualan!W11</f>
        <v>0</v>
      </c>
    </row>
    <row r="11" spans="2:18" x14ac:dyDescent="0.2">
      <c r="B11" s="499" t="s">
        <v>114</v>
      </c>
      <c r="C11" s="166">
        <f>'Main Menu'!M8</f>
        <v>43071</v>
      </c>
      <c r="D11" s="542"/>
      <c r="E11" s="542"/>
      <c r="F11" s="542"/>
      <c r="G11" s="542">
        <v>1</v>
      </c>
      <c r="H11" s="542">
        <v>1</v>
      </c>
      <c r="I11" s="542">
        <v>1</v>
      </c>
      <c r="J11" s="546"/>
      <c r="K11" s="537"/>
      <c r="L11" s="539"/>
      <c r="M11" s="539"/>
      <c r="N11" s="539"/>
      <c r="O11" s="539"/>
      <c r="P11" s="539"/>
      <c r="Q11" s="489">
        <f>Penjualan!H12</f>
        <v>660000</v>
      </c>
      <c r="R11" s="507">
        <f>Penjualan!W12</f>
        <v>1175500</v>
      </c>
    </row>
    <row r="12" spans="2:18" x14ac:dyDescent="0.2">
      <c r="B12" s="498" t="s">
        <v>115</v>
      </c>
      <c r="C12" s="195">
        <f>'Main Menu'!M9</f>
        <v>43072</v>
      </c>
      <c r="D12" s="541">
        <v>1</v>
      </c>
      <c r="E12" s="541">
        <v>1</v>
      </c>
      <c r="F12" s="541">
        <v>1</v>
      </c>
      <c r="G12" s="541"/>
      <c r="H12" s="541"/>
      <c r="I12" s="541"/>
      <c r="J12" s="546"/>
      <c r="K12" s="541"/>
      <c r="L12" s="538"/>
      <c r="M12" s="538"/>
      <c r="N12" s="538"/>
      <c r="O12" s="538"/>
      <c r="P12" s="538"/>
      <c r="Q12" s="489">
        <f>Penjualan!H14</f>
        <v>995000</v>
      </c>
      <c r="R12" s="507">
        <f>Penjualan!W14</f>
        <v>960500</v>
      </c>
    </row>
    <row r="13" spans="2:18" x14ac:dyDescent="0.2">
      <c r="B13" s="498" t="s">
        <v>109</v>
      </c>
      <c r="C13" s="195">
        <f>'Main Menu'!M10</f>
        <v>43073</v>
      </c>
      <c r="D13" s="541">
        <v>1</v>
      </c>
      <c r="E13" s="541">
        <v>1</v>
      </c>
      <c r="F13" s="541">
        <v>1</v>
      </c>
      <c r="G13" s="541">
        <v>1</v>
      </c>
      <c r="H13" s="541">
        <v>1</v>
      </c>
      <c r="I13" s="541">
        <v>1</v>
      </c>
      <c r="J13" s="546"/>
      <c r="K13" s="536"/>
      <c r="L13" s="538"/>
      <c r="M13" s="538"/>
      <c r="N13" s="538"/>
      <c r="O13" s="538"/>
      <c r="P13" s="538"/>
      <c r="Q13" s="489">
        <f>Penjualan!H15</f>
        <v>1525000</v>
      </c>
      <c r="R13" s="507">
        <f>Penjualan!W15</f>
        <v>2092000</v>
      </c>
    </row>
    <row r="14" spans="2:18" x14ac:dyDescent="0.2">
      <c r="B14" s="498" t="s">
        <v>110</v>
      </c>
      <c r="C14" s="195">
        <f>'Main Menu'!M11</f>
        <v>43074</v>
      </c>
      <c r="D14" s="541">
        <v>1</v>
      </c>
      <c r="E14" s="541">
        <v>1</v>
      </c>
      <c r="F14" s="541">
        <v>1</v>
      </c>
      <c r="G14" s="541">
        <v>1</v>
      </c>
      <c r="H14" s="541">
        <v>1</v>
      </c>
      <c r="I14" s="541">
        <v>1</v>
      </c>
      <c r="J14" s="546"/>
      <c r="K14" s="536"/>
      <c r="L14" s="538"/>
      <c r="M14" s="538"/>
      <c r="N14" s="538">
        <v>0.5</v>
      </c>
      <c r="O14" s="538"/>
      <c r="P14" s="538">
        <v>2</v>
      </c>
      <c r="Q14" s="489">
        <f>Penjualan!H16</f>
        <v>1970000</v>
      </c>
      <c r="R14" s="507">
        <f>Penjualan!W16</f>
        <v>2566000</v>
      </c>
    </row>
    <row r="15" spans="2:18" x14ac:dyDescent="0.2">
      <c r="B15" s="498" t="s">
        <v>111</v>
      </c>
      <c r="C15" s="195">
        <f>'Main Menu'!M12</f>
        <v>43075</v>
      </c>
      <c r="D15" s="541">
        <v>1</v>
      </c>
      <c r="E15" s="541">
        <v>1</v>
      </c>
      <c r="F15" s="541">
        <v>1</v>
      </c>
      <c r="G15" s="541">
        <v>1</v>
      </c>
      <c r="H15" s="541">
        <v>1</v>
      </c>
      <c r="I15" s="541">
        <v>1</v>
      </c>
      <c r="J15" s="546"/>
      <c r="K15" s="536"/>
      <c r="L15" s="538"/>
      <c r="M15" s="538"/>
      <c r="N15" s="538"/>
      <c r="O15" s="538"/>
      <c r="P15" s="538"/>
      <c r="Q15" s="489">
        <f>Penjualan!H17</f>
        <v>1521000</v>
      </c>
      <c r="R15" s="507">
        <f>Penjualan!W17</f>
        <v>1930500</v>
      </c>
    </row>
    <row r="16" spans="2:18" x14ac:dyDescent="0.2">
      <c r="B16" s="498" t="s">
        <v>112</v>
      </c>
      <c r="C16" s="195">
        <f>'Main Menu'!M13</f>
        <v>43076</v>
      </c>
      <c r="D16" s="541">
        <v>1</v>
      </c>
      <c r="E16" s="541">
        <v>1</v>
      </c>
      <c r="F16" s="541">
        <v>1</v>
      </c>
      <c r="G16" s="541">
        <v>1</v>
      </c>
      <c r="H16" s="541">
        <v>1</v>
      </c>
      <c r="I16" s="541">
        <v>1</v>
      </c>
      <c r="J16" s="546"/>
      <c r="K16" s="536"/>
      <c r="L16" s="538"/>
      <c r="M16" s="538"/>
      <c r="N16" s="538"/>
      <c r="O16" s="538"/>
      <c r="P16" s="538"/>
      <c r="Q16" s="489">
        <f>Penjualan!H18</f>
        <v>1910500</v>
      </c>
      <c r="R16" s="507">
        <f>Penjualan!W18</f>
        <v>3792000</v>
      </c>
    </row>
    <row r="17" spans="2:18" x14ac:dyDescent="0.2">
      <c r="B17" s="498" t="s">
        <v>161</v>
      </c>
      <c r="C17" s="195">
        <f>'Main Menu'!M14</f>
        <v>43077</v>
      </c>
      <c r="D17" s="541">
        <v>1</v>
      </c>
      <c r="E17" s="541">
        <v>1</v>
      </c>
      <c r="F17" s="541">
        <v>1</v>
      </c>
      <c r="G17" s="541">
        <v>1</v>
      </c>
      <c r="H17" s="541">
        <v>1</v>
      </c>
      <c r="I17" s="541">
        <v>1</v>
      </c>
      <c r="J17" s="546"/>
      <c r="K17" s="536"/>
      <c r="L17" s="538"/>
      <c r="M17" s="538"/>
      <c r="N17" s="538"/>
      <c r="O17" s="538"/>
      <c r="P17" s="538"/>
      <c r="Q17" s="489">
        <f>Penjualan!H19</f>
        <v>1627500</v>
      </c>
      <c r="R17" s="507">
        <f>Penjualan!W19</f>
        <v>2289500</v>
      </c>
    </row>
    <row r="18" spans="2:18" x14ac:dyDescent="0.2">
      <c r="B18" s="499" t="s">
        <v>114</v>
      </c>
      <c r="C18" s="166">
        <f>'Main Menu'!M15</f>
        <v>43078</v>
      </c>
      <c r="D18" s="542"/>
      <c r="E18" s="542"/>
      <c r="F18" s="542"/>
      <c r="G18" s="542">
        <v>1</v>
      </c>
      <c r="H18" s="542">
        <v>1</v>
      </c>
      <c r="I18" s="542">
        <v>1</v>
      </c>
      <c r="J18" s="546"/>
      <c r="K18" s="537"/>
      <c r="L18" s="539"/>
      <c r="M18" s="539"/>
      <c r="N18" s="539"/>
      <c r="O18" s="539"/>
      <c r="P18" s="539"/>
      <c r="Q18" s="489">
        <f>Penjualan!H20</f>
        <v>599000</v>
      </c>
      <c r="R18" s="507">
        <f>Penjualan!W20</f>
        <v>693000</v>
      </c>
    </row>
    <row r="19" spans="2:18" x14ac:dyDescent="0.2">
      <c r="B19" s="498" t="s">
        <v>115</v>
      </c>
      <c r="C19" s="195">
        <f>'Main Menu'!M16</f>
        <v>43079</v>
      </c>
      <c r="D19" s="541">
        <v>1</v>
      </c>
      <c r="E19" s="541">
        <v>1</v>
      </c>
      <c r="F19" s="536">
        <v>0.5</v>
      </c>
      <c r="G19" s="541"/>
      <c r="H19" s="541"/>
      <c r="I19" s="541"/>
      <c r="J19" s="546"/>
      <c r="K19" s="536"/>
      <c r="L19" s="538"/>
      <c r="M19" s="538"/>
      <c r="N19" s="538"/>
      <c r="O19" s="538"/>
      <c r="P19" s="538"/>
      <c r="Q19" s="489">
        <f>Penjualan!H22</f>
        <v>797500</v>
      </c>
      <c r="R19" s="507">
        <f>Penjualan!X22</f>
        <v>799500</v>
      </c>
    </row>
    <row r="20" spans="2:18" x14ac:dyDescent="0.2">
      <c r="B20" s="498" t="s">
        <v>109</v>
      </c>
      <c r="C20" s="195">
        <f>'Main Menu'!M17</f>
        <v>43080</v>
      </c>
      <c r="D20" s="541">
        <v>1</v>
      </c>
      <c r="E20" s="541">
        <v>1</v>
      </c>
      <c r="F20" s="541"/>
      <c r="G20" s="541">
        <v>1</v>
      </c>
      <c r="H20" s="541">
        <v>1</v>
      </c>
      <c r="I20" s="541">
        <v>1</v>
      </c>
      <c r="J20" s="546"/>
      <c r="K20" s="536">
        <v>4.5</v>
      </c>
      <c r="L20" s="538"/>
      <c r="M20" s="538"/>
      <c r="N20" s="538"/>
      <c r="O20" s="538"/>
      <c r="P20" s="538"/>
      <c r="Q20" s="489">
        <f>Penjualan!H23</f>
        <v>1596000</v>
      </c>
      <c r="R20" s="507">
        <f>Penjualan!X23</f>
        <v>2628500</v>
      </c>
    </row>
    <row r="21" spans="2:18" x14ac:dyDescent="0.2">
      <c r="B21" s="498" t="s">
        <v>110</v>
      </c>
      <c r="C21" s="195">
        <f>'Main Menu'!M18</f>
        <v>43081</v>
      </c>
      <c r="D21" s="541">
        <v>1</v>
      </c>
      <c r="E21" s="541">
        <v>1</v>
      </c>
      <c r="F21" s="541">
        <v>1</v>
      </c>
      <c r="G21" s="541">
        <v>1</v>
      </c>
      <c r="H21" s="541">
        <v>1</v>
      </c>
      <c r="I21" s="541">
        <v>1</v>
      </c>
      <c r="J21" s="546"/>
      <c r="K21" s="536"/>
      <c r="L21" s="538"/>
      <c r="M21" s="538"/>
      <c r="N21" s="538"/>
      <c r="O21" s="538"/>
      <c r="P21" s="538"/>
      <c r="Q21" s="489">
        <f>Penjualan!H24</f>
        <v>1813000</v>
      </c>
      <c r="R21" s="507">
        <f>Penjualan!X24</f>
        <v>2270000</v>
      </c>
    </row>
    <row r="22" spans="2:18" x14ac:dyDescent="0.2">
      <c r="B22" s="498" t="s">
        <v>111</v>
      </c>
      <c r="C22" s="195">
        <f>'Main Menu'!M19</f>
        <v>43082</v>
      </c>
      <c r="D22" s="541">
        <v>1</v>
      </c>
      <c r="E22" s="541">
        <v>1</v>
      </c>
      <c r="F22" s="541">
        <v>1</v>
      </c>
      <c r="G22" s="541">
        <v>1</v>
      </c>
      <c r="H22" s="541">
        <v>1</v>
      </c>
      <c r="I22" s="541">
        <v>1</v>
      </c>
      <c r="J22" s="546"/>
      <c r="K22" s="536">
        <v>2</v>
      </c>
      <c r="L22" s="538">
        <v>2</v>
      </c>
      <c r="M22" s="538"/>
      <c r="N22" s="538"/>
      <c r="O22" s="538"/>
      <c r="P22" s="538">
        <v>1</v>
      </c>
      <c r="Q22" s="489">
        <f>Penjualan!H25</f>
        <v>3062000</v>
      </c>
      <c r="R22" s="507">
        <f>Penjualan!X25</f>
        <v>3384000</v>
      </c>
    </row>
    <row r="23" spans="2:18" x14ac:dyDescent="0.2">
      <c r="B23" s="498" t="s">
        <v>112</v>
      </c>
      <c r="C23" s="195">
        <f>'Main Menu'!M20</f>
        <v>43083</v>
      </c>
      <c r="D23" s="541">
        <v>1</v>
      </c>
      <c r="E23" s="541">
        <v>1</v>
      </c>
      <c r="F23" s="541">
        <v>1</v>
      </c>
      <c r="G23" s="541">
        <v>1</v>
      </c>
      <c r="H23" s="541">
        <v>1</v>
      </c>
      <c r="I23" s="541">
        <v>1</v>
      </c>
      <c r="J23" s="546"/>
      <c r="K23" s="536">
        <v>0.5</v>
      </c>
      <c r="L23" s="538"/>
      <c r="M23" s="538"/>
      <c r="N23" s="538"/>
      <c r="O23" s="538"/>
      <c r="P23" s="538"/>
      <c r="Q23" s="489">
        <f>Penjualan!H26</f>
        <v>1511500</v>
      </c>
      <c r="R23" s="507">
        <f>Penjualan!X26</f>
        <v>2614500</v>
      </c>
    </row>
    <row r="24" spans="2:18" x14ac:dyDescent="0.2">
      <c r="B24" s="498" t="s">
        <v>161</v>
      </c>
      <c r="C24" s="195">
        <f>'Main Menu'!M21</f>
        <v>43084</v>
      </c>
      <c r="D24" s="541">
        <v>1</v>
      </c>
      <c r="E24" s="541">
        <v>1</v>
      </c>
      <c r="F24" s="541">
        <v>1</v>
      </c>
      <c r="G24" s="541">
        <v>1</v>
      </c>
      <c r="H24" s="541">
        <v>1</v>
      </c>
      <c r="I24" s="541">
        <v>1</v>
      </c>
      <c r="J24" s="546"/>
      <c r="K24" s="536">
        <v>1</v>
      </c>
      <c r="L24" s="538"/>
      <c r="M24" s="538"/>
      <c r="N24" s="538"/>
      <c r="O24" s="538"/>
      <c r="P24" s="538"/>
      <c r="Q24" s="489">
        <f>Penjualan!H27</f>
        <v>1287500</v>
      </c>
      <c r="R24" s="507">
        <f>Penjualan!X27</f>
        <v>3563000</v>
      </c>
    </row>
    <row r="25" spans="2:18" x14ac:dyDescent="0.2">
      <c r="B25" s="499" t="s">
        <v>114</v>
      </c>
      <c r="C25" s="166">
        <f>'Main Menu'!M22</f>
        <v>43085</v>
      </c>
      <c r="D25" s="542"/>
      <c r="E25" s="542"/>
      <c r="F25" s="542"/>
      <c r="G25" s="542">
        <v>1</v>
      </c>
      <c r="H25" s="542">
        <v>1</v>
      </c>
      <c r="I25" s="542">
        <v>1</v>
      </c>
      <c r="J25" s="546"/>
      <c r="K25" s="537"/>
      <c r="L25" s="539"/>
      <c r="M25" s="539"/>
      <c r="N25" s="539"/>
      <c r="O25" s="539"/>
      <c r="P25" s="539"/>
      <c r="Q25" s="489">
        <f>Penjualan!H28</f>
        <v>630000</v>
      </c>
      <c r="R25" s="507">
        <f>Penjualan!X28</f>
        <v>589000</v>
      </c>
    </row>
    <row r="26" spans="2:18" x14ac:dyDescent="0.2">
      <c r="B26" s="498" t="s">
        <v>115</v>
      </c>
      <c r="C26" s="195">
        <f>'Main Menu'!M23</f>
        <v>43086</v>
      </c>
      <c r="D26" s="541"/>
      <c r="E26" s="541">
        <v>1</v>
      </c>
      <c r="F26" s="541">
        <v>1</v>
      </c>
      <c r="G26" s="541"/>
      <c r="H26" s="541"/>
      <c r="I26" s="541"/>
      <c r="J26" s="546"/>
      <c r="K26" s="536"/>
      <c r="L26" s="538"/>
      <c r="M26" s="538"/>
      <c r="N26" s="538"/>
      <c r="O26" s="538"/>
      <c r="P26" s="538"/>
      <c r="Q26" s="489">
        <f>Penjualan!H30</f>
        <v>600000</v>
      </c>
      <c r="R26" s="507">
        <f>Penjualan!X30</f>
        <v>811000</v>
      </c>
    </row>
    <row r="27" spans="2:18" x14ac:dyDescent="0.2">
      <c r="B27" s="498" t="s">
        <v>109</v>
      </c>
      <c r="C27" s="195">
        <f>'Main Menu'!M24</f>
        <v>43087</v>
      </c>
      <c r="D27" s="541">
        <v>1</v>
      </c>
      <c r="E27" s="541">
        <v>1</v>
      </c>
      <c r="F27" s="541">
        <v>1</v>
      </c>
      <c r="G27" s="541">
        <v>1</v>
      </c>
      <c r="H27" s="541">
        <v>1</v>
      </c>
      <c r="I27" s="541">
        <v>1</v>
      </c>
      <c r="J27" s="546"/>
      <c r="K27" s="536"/>
      <c r="L27" s="538"/>
      <c r="M27" s="538"/>
      <c r="N27" s="538"/>
      <c r="O27" s="538"/>
      <c r="P27" s="538"/>
      <c r="Q27" s="489">
        <f>Penjualan!H31</f>
        <v>1940000</v>
      </c>
      <c r="R27" s="507">
        <f>Penjualan!X31</f>
        <v>2223500</v>
      </c>
    </row>
    <row r="28" spans="2:18" x14ac:dyDescent="0.2">
      <c r="B28" s="498" t="s">
        <v>110</v>
      </c>
      <c r="C28" s="195">
        <f>'Main Menu'!M25</f>
        <v>43088</v>
      </c>
      <c r="D28" s="541">
        <v>1</v>
      </c>
      <c r="E28" s="541">
        <v>1</v>
      </c>
      <c r="F28" s="541">
        <v>1</v>
      </c>
      <c r="G28" s="541">
        <v>1</v>
      </c>
      <c r="H28" s="541">
        <v>1</v>
      </c>
      <c r="I28" s="541">
        <v>1</v>
      </c>
      <c r="J28" s="546"/>
      <c r="K28" s="536"/>
      <c r="L28" s="538"/>
      <c r="M28" s="538"/>
      <c r="N28" s="538"/>
      <c r="O28" s="538"/>
      <c r="P28" s="538"/>
      <c r="Q28" s="489">
        <f>Penjualan!H32</f>
        <v>1845000</v>
      </c>
      <c r="R28" s="507">
        <f>Penjualan!X32</f>
        <v>2195500</v>
      </c>
    </row>
    <row r="29" spans="2:18" x14ac:dyDescent="0.2">
      <c r="B29" s="498" t="s">
        <v>111</v>
      </c>
      <c r="C29" s="195">
        <f>'Main Menu'!M26</f>
        <v>43089</v>
      </c>
      <c r="D29" s="541">
        <v>1</v>
      </c>
      <c r="E29" s="541">
        <v>1</v>
      </c>
      <c r="F29" s="541">
        <v>1</v>
      </c>
      <c r="G29" s="541">
        <v>1</v>
      </c>
      <c r="H29" s="541">
        <v>1</v>
      </c>
      <c r="I29" s="541"/>
      <c r="J29" s="546"/>
      <c r="K29" s="536"/>
      <c r="L29" s="538"/>
      <c r="M29" s="538"/>
      <c r="N29" s="538"/>
      <c r="O29" s="538"/>
      <c r="P29" s="538"/>
      <c r="Q29" s="489">
        <f>Penjualan!H33</f>
        <v>1782500</v>
      </c>
      <c r="R29" s="507">
        <f>Penjualan!X33</f>
        <v>2320500</v>
      </c>
    </row>
    <row r="30" spans="2:18" x14ac:dyDescent="0.2">
      <c r="B30" s="498" t="s">
        <v>112</v>
      </c>
      <c r="C30" s="195">
        <f>'Main Menu'!M27</f>
        <v>43090</v>
      </c>
      <c r="D30" s="541">
        <v>1</v>
      </c>
      <c r="E30" s="541">
        <v>1</v>
      </c>
      <c r="F30" s="541">
        <v>1</v>
      </c>
      <c r="G30" s="541">
        <v>1</v>
      </c>
      <c r="H30" s="541">
        <v>1</v>
      </c>
      <c r="I30" s="541">
        <v>1</v>
      </c>
      <c r="J30" s="546"/>
      <c r="K30" s="536"/>
      <c r="L30" s="538"/>
      <c r="M30" s="538"/>
      <c r="N30" s="538"/>
      <c r="O30" s="538"/>
      <c r="P30" s="538"/>
      <c r="Q30" s="489">
        <f>Penjualan!H34</f>
        <v>1706000</v>
      </c>
      <c r="R30" s="507">
        <f>Penjualan!X34</f>
        <v>2966500</v>
      </c>
    </row>
    <row r="31" spans="2:18" x14ac:dyDescent="0.2">
      <c r="B31" s="498" t="s">
        <v>161</v>
      </c>
      <c r="C31" s="195">
        <f>'Main Menu'!M28</f>
        <v>43091</v>
      </c>
      <c r="D31" s="541">
        <v>1</v>
      </c>
      <c r="E31" s="541">
        <v>1</v>
      </c>
      <c r="F31" s="541">
        <v>1</v>
      </c>
      <c r="G31" s="541">
        <v>1</v>
      </c>
      <c r="H31" s="541">
        <v>1</v>
      </c>
      <c r="I31" s="541">
        <v>1</v>
      </c>
      <c r="J31" s="546"/>
      <c r="K31" s="536"/>
      <c r="L31" s="538"/>
      <c r="M31" s="538"/>
      <c r="N31" s="538"/>
      <c r="O31" s="538"/>
      <c r="P31" s="538"/>
      <c r="Q31" s="489">
        <f>Penjualan!H35</f>
        <v>1613000</v>
      </c>
      <c r="R31" s="507">
        <f>Penjualan!X35</f>
        <v>2053000</v>
      </c>
    </row>
    <row r="32" spans="2:18" x14ac:dyDescent="0.2">
      <c r="B32" s="499" t="s">
        <v>114</v>
      </c>
      <c r="C32" s="166">
        <f>'Main Menu'!M29</f>
        <v>43092</v>
      </c>
      <c r="D32" s="542">
        <v>1</v>
      </c>
      <c r="E32" s="542">
        <v>1</v>
      </c>
      <c r="F32" s="542">
        <v>1</v>
      </c>
      <c r="G32" s="542">
        <v>1</v>
      </c>
      <c r="H32" s="542">
        <v>1</v>
      </c>
      <c r="I32" s="542">
        <v>1</v>
      </c>
      <c r="J32" s="546"/>
      <c r="K32" s="537"/>
      <c r="L32" s="539"/>
      <c r="M32" s="539"/>
      <c r="N32" s="539"/>
      <c r="O32" s="539"/>
      <c r="P32" s="539"/>
      <c r="Q32" s="489">
        <f>Penjualan!H36</f>
        <v>0</v>
      </c>
      <c r="R32" s="507">
        <f>Penjualan!X36</f>
        <v>1640000</v>
      </c>
    </row>
    <row r="33" spans="2:18" x14ac:dyDescent="0.2">
      <c r="B33" s="498" t="s">
        <v>162</v>
      </c>
      <c r="C33" s="195">
        <f>'Main Menu'!M30</f>
        <v>43093</v>
      </c>
      <c r="D33" s="541"/>
      <c r="E33" s="541"/>
      <c r="F33" s="541"/>
      <c r="G33" s="541"/>
      <c r="H33" s="541"/>
      <c r="I33" s="541"/>
      <c r="J33" s="546"/>
      <c r="K33" s="536"/>
      <c r="L33" s="538"/>
      <c r="M33" s="538"/>
      <c r="N33" s="538"/>
      <c r="O33" s="538"/>
      <c r="P33" s="538"/>
      <c r="Q33" s="489">
        <f>Penjualan!H38</f>
        <v>0</v>
      </c>
      <c r="R33" s="507">
        <f>Penjualan!X38</f>
        <v>0</v>
      </c>
    </row>
    <row r="34" spans="2:18" x14ac:dyDescent="0.2">
      <c r="B34" s="498" t="s">
        <v>109</v>
      </c>
      <c r="C34" s="195">
        <f>'Main Menu'!M31</f>
        <v>43094</v>
      </c>
      <c r="D34" s="541"/>
      <c r="E34" s="541"/>
      <c r="F34" s="541"/>
      <c r="G34" s="541"/>
      <c r="H34" s="541"/>
      <c r="I34" s="541"/>
      <c r="J34" s="546"/>
      <c r="K34" s="536"/>
      <c r="L34" s="538"/>
      <c r="M34" s="538"/>
      <c r="N34" s="538"/>
      <c r="O34" s="538"/>
      <c r="P34" s="538"/>
      <c r="Q34" s="489">
        <f>Penjualan!H39</f>
        <v>0</v>
      </c>
      <c r="R34" s="507">
        <f>Penjualan!X39</f>
        <v>0</v>
      </c>
    </row>
    <row r="35" spans="2:18" x14ac:dyDescent="0.2">
      <c r="B35" s="498" t="s">
        <v>110</v>
      </c>
      <c r="C35" s="195">
        <f>'Main Menu'!M32</f>
        <v>43095</v>
      </c>
      <c r="D35" s="541"/>
      <c r="E35" s="541">
        <v>1</v>
      </c>
      <c r="F35" s="541">
        <v>1</v>
      </c>
      <c r="G35" s="541">
        <v>1</v>
      </c>
      <c r="H35" s="541">
        <v>1</v>
      </c>
      <c r="I35" s="541">
        <v>1</v>
      </c>
      <c r="J35" s="546"/>
      <c r="K35" s="536"/>
      <c r="L35" s="538"/>
      <c r="M35" s="538"/>
      <c r="N35" s="538"/>
      <c r="O35" s="538"/>
      <c r="P35" s="538"/>
      <c r="Q35" s="489">
        <f>Penjualan!H40</f>
        <v>405000</v>
      </c>
      <c r="R35" s="507">
        <f>Penjualan!X40</f>
        <v>627500</v>
      </c>
    </row>
    <row r="36" spans="2:18" x14ac:dyDescent="0.2">
      <c r="B36" s="498" t="s">
        <v>111</v>
      </c>
      <c r="C36" s="195">
        <f>'Main Menu'!M33</f>
        <v>43096</v>
      </c>
      <c r="D36" s="541">
        <v>1</v>
      </c>
      <c r="E36" s="541">
        <v>1</v>
      </c>
      <c r="F36" s="541">
        <v>1</v>
      </c>
      <c r="G36" s="541">
        <v>1</v>
      </c>
      <c r="H36" s="541">
        <v>1</v>
      </c>
      <c r="I36" s="541">
        <v>1</v>
      </c>
      <c r="J36" s="546"/>
      <c r="K36" s="536"/>
      <c r="L36" s="538"/>
      <c r="M36" s="538"/>
      <c r="N36" s="538"/>
      <c r="O36" s="538"/>
      <c r="P36" s="538"/>
      <c r="Q36" s="489">
        <f>Penjualan!H41</f>
        <v>422500</v>
      </c>
      <c r="R36" s="507">
        <f>Penjualan!X41</f>
        <v>1242000</v>
      </c>
    </row>
    <row r="37" spans="2:18" x14ac:dyDescent="0.2">
      <c r="B37" s="498" t="s">
        <v>112</v>
      </c>
      <c r="C37" s="195">
        <f>'Main Menu'!M34</f>
        <v>43097</v>
      </c>
      <c r="D37" s="541">
        <v>1</v>
      </c>
      <c r="E37" s="541">
        <v>1</v>
      </c>
      <c r="F37" s="541">
        <v>1</v>
      </c>
      <c r="G37" s="541">
        <v>1</v>
      </c>
      <c r="H37" s="536">
        <v>1</v>
      </c>
      <c r="I37" s="541">
        <v>1</v>
      </c>
      <c r="J37" s="546"/>
      <c r="K37" s="536"/>
      <c r="L37" s="538"/>
      <c r="M37" s="538"/>
      <c r="N37" s="538"/>
      <c r="O37" s="538"/>
      <c r="P37" s="538"/>
      <c r="Q37" s="489">
        <f>Penjualan!H42</f>
        <v>435000</v>
      </c>
      <c r="R37" s="507">
        <f>Penjualan!X42</f>
        <v>1156000</v>
      </c>
    </row>
    <row r="38" spans="2:18" x14ac:dyDescent="0.2">
      <c r="B38" s="498" t="s">
        <v>161</v>
      </c>
      <c r="C38" s="195">
        <f>'Main Menu'!M35</f>
        <v>43098</v>
      </c>
      <c r="D38" s="541">
        <v>1</v>
      </c>
      <c r="E38" s="541">
        <v>1</v>
      </c>
      <c r="F38" s="541">
        <v>1</v>
      </c>
      <c r="G38" s="541">
        <v>1</v>
      </c>
      <c r="H38" s="541">
        <v>1</v>
      </c>
      <c r="I38" s="541">
        <v>1</v>
      </c>
      <c r="J38" s="546"/>
      <c r="K38" s="536"/>
      <c r="L38" s="538"/>
      <c r="M38" s="538"/>
      <c r="N38" s="538"/>
      <c r="O38" s="538"/>
      <c r="P38" s="538"/>
      <c r="Q38" s="489">
        <f>Penjualan!H43</f>
        <v>205000</v>
      </c>
      <c r="R38" s="507">
        <f>Penjualan!X43</f>
        <v>371500</v>
      </c>
    </row>
    <row r="39" spans="2:18" x14ac:dyDescent="0.2">
      <c r="B39" s="499" t="s">
        <v>114</v>
      </c>
      <c r="C39" s="166">
        <f>'Main Menu'!M36</f>
        <v>43099</v>
      </c>
      <c r="D39" s="542"/>
      <c r="E39" s="542"/>
      <c r="F39" s="542"/>
      <c r="G39" s="542"/>
      <c r="H39" s="542"/>
      <c r="I39" s="542"/>
      <c r="J39" s="546"/>
      <c r="K39" s="537"/>
      <c r="L39" s="539"/>
      <c r="M39" s="539"/>
      <c r="N39" s="539"/>
      <c r="O39" s="539"/>
      <c r="P39" s="539"/>
      <c r="R39" s="507"/>
    </row>
    <row r="40" spans="2:18" x14ac:dyDescent="0.2">
      <c r="B40" s="498" t="s">
        <v>115</v>
      </c>
      <c r="C40" s="195">
        <f>'Main Menu'!M37</f>
        <v>43100</v>
      </c>
      <c r="D40" s="541"/>
      <c r="E40" s="541"/>
      <c r="F40" s="541"/>
      <c r="G40" s="541"/>
      <c r="H40" s="541"/>
      <c r="I40" s="541"/>
      <c r="J40" s="546"/>
      <c r="K40" s="536"/>
      <c r="L40" s="538"/>
      <c r="M40" s="538"/>
      <c r="N40" s="538"/>
      <c r="O40" s="538"/>
      <c r="P40" s="538"/>
      <c r="R40" s="507"/>
    </row>
    <row r="41" spans="2:18" x14ac:dyDescent="0.2">
      <c r="B41" s="498" t="s">
        <v>109</v>
      </c>
      <c r="C41" s="195" t="str">
        <f>'Main Menu'!M38</f>
        <v>-</v>
      </c>
      <c r="D41" s="543"/>
      <c r="E41" s="543"/>
      <c r="F41" s="543"/>
      <c r="G41" s="543"/>
      <c r="H41" s="543"/>
      <c r="I41" s="543"/>
      <c r="J41" s="545"/>
      <c r="K41" s="538"/>
      <c r="L41" s="538"/>
      <c r="M41" s="538"/>
      <c r="N41" s="538"/>
      <c r="O41" s="538"/>
      <c r="P41" s="538"/>
      <c r="R41" s="507"/>
    </row>
    <row r="42" spans="2:18" x14ac:dyDescent="0.2">
      <c r="B42" s="498" t="s">
        <v>110</v>
      </c>
      <c r="C42" s="195" t="str">
        <f>'Main Menu'!M39</f>
        <v>-</v>
      </c>
      <c r="D42" s="541"/>
      <c r="E42" s="541"/>
      <c r="F42" s="541"/>
      <c r="G42" s="541"/>
      <c r="H42" s="541"/>
      <c r="I42" s="541"/>
      <c r="J42" s="546"/>
      <c r="K42" s="536"/>
      <c r="L42" s="538"/>
      <c r="M42" s="538"/>
      <c r="N42" s="538"/>
      <c r="O42" s="538"/>
      <c r="P42" s="538"/>
      <c r="R42" s="507"/>
    </row>
    <row r="43" spans="2:18" x14ac:dyDescent="0.2">
      <c r="B43" s="498" t="s">
        <v>111</v>
      </c>
      <c r="C43" s="195" t="str">
        <f>'Main Menu'!M40</f>
        <v>-</v>
      </c>
      <c r="D43" s="543"/>
      <c r="E43" s="543"/>
      <c r="F43" s="543"/>
      <c r="G43" s="543"/>
      <c r="H43" s="543"/>
      <c r="I43" s="543"/>
      <c r="J43" s="545"/>
      <c r="K43" s="538"/>
      <c r="L43" s="538"/>
      <c r="M43" s="538"/>
      <c r="N43" s="538"/>
      <c r="O43" s="538"/>
      <c r="P43" s="538"/>
      <c r="R43" s="507"/>
    </row>
    <row r="44" spans="2:18" x14ac:dyDescent="0.2">
      <c r="B44" s="498" t="s">
        <v>112</v>
      </c>
      <c r="C44" s="195" t="str">
        <f>'Main Menu'!M41</f>
        <v>-</v>
      </c>
      <c r="D44" s="543"/>
      <c r="E44" s="543"/>
      <c r="F44" s="543"/>
      <c r="G44" s="543"/>
      <c r="H44" s="543"/>
      <c r="I44" s="543"/>
      <c r="J44" s="545"/>
      <c r="K44" s="538"/>
      <c r="L44" s="538"/>
      <c r="M44" s="538"/>
      <c r="N44" s="538"/>
      <c r="O44" s="538"/>
      <c r="P44" s="538"/>
      <c r="R44" s="507"/>
    </row>
    <row r="45" spans="2:18" x14ac:dyDescent="0.2">
      <c r="B45" s="498" t="s">
        <v>113</v>
      </c>
      <c r="C45" s="195" t="str">
        <f>'Main Menu'!M42</f>
        <v>-</v>
      </c>
      <c r="D45" s="543"/>
      <c r="E45" s="543"/>
      <c r="F45" s="543"/>
      <c r="G45" s="543"/>
      <c r="H45" s="543"/>
      <c r="I45" s="543"/>
      <c r="J45" s="545"/>
      <c r="K45" s="538"/>
      <c r="L45" s="538"/>
      <c r="M45" s="538"/>
      <c r="N45" s="538"/>
      <c r="O45" s="538"/>
      <c r="P45" s="538"/>
      <c r="R45" s="507"/>
    </row>
    <row r="46" spans="2:18" x14ac:dyDescent="0.2">
      <c r="B46" s="499" t="s">
        <v>114</v>
      </c>
      <c r="C46" s="166" t="str">
        <f>'Main Menu'!M43</f>
        <v>-</v>
      </c>
      <c r="D46" s="544"/>
      <c r="E46" s="544"/>
      <c r="F46" s="544"/>
      <c r="G46" s="544"/>
      <c r="H46" s="544"/>
      <c r="I46" s="544"/>
      <c r="J46" s="545"/>
      <c r="K46" s="539"/>
      <c r="L46" s="539"/>
      <c r="M46" s="539"/>
      <c r="N46" s="539"/>
      <c r="O46" s="539"/>
      <c r="P46" s="539"/>
      <c r="Q46" s="201"/>
      <c r="R46" s="507"/>
    </row>
    <row r="47" spans="2:18" x14ac:dyDescent="0.2">
      <c r="B47" s="377"/>
      <c r="C47" s="365"/>
      <c r="D47" s="545"/>
      <c r="E47" s="545"/>
      <c r="F47" s="545"/>
      <c r="G47" s="545"/>
      <c r="H47" s="545"/>
      <c r="I47" s="545"/>
      <c r="J47" s="545"/>
      <c r="K47" s="540"/>
      <c r="L47" s="540"/>
      <c r="M47" s="540"/>
      <c r="N47" s="540"/>
      <c r="O47" s="540"/>
      <c r="P47" s="540"/>
    </row>
    <row r="48" spans="2:18" x14ac:dyDescent="0.2">
      <c r="D48" s="542">
        <f>SUM(D5:D46)</f>
        <v>21</v>
      </c>
      <c r="E48" s="542">
        <f t="shared" ref="E48:I48" si="1">SUM(E5:E46)</f>
        <v>23</v>
      </c>
      <c r="F48" s="542">
        <f t="shared" si="1"/>
        <v>21.5</v>
      </c>
      <c r="G48" s="542">
        <f t="shared" si="1"/>
        <v>23</v>
      </c>
      <c r="H48" s="537">
        <f t="shared" si="1"/>
        <v>23</v>
      </c>
      <c r="I48" s="542">
        <f t="shared" si="1"/>
        <v>22</v>
      </c>
      <c r="J48" s="546"/>
      <c r="K48" s="537">
        <f>SUM(K5:K46)</f>
        <v>8</v>
      </c>
      <c r="L48" s="537">
        <f t="shared" ref="L48:P48" si="2">SUM(L5:L46)</f>
        <v>2</v>
      </c>
      <c r="M48" s="537">
        <f t="shared" si="2"/>
        <v>0</v>
      </c>
      <c r="N48" s="537">
        <f t="shared" si="2"/>
        <v>0.5</v>
      </c>
      <c r="O48" s="537">
        <f t="shared" si="2"/>
        <v>0</v>
      </c>
      <c r="P48" s="537">
        <f t="shared" si="2"/>
        <v>3</v>
      </c>
      <c r="Q48" s="201"/>
      <c r="R48" s="507"/>
    </row>
    <row r="49" spans="4:19" x14ac:dyDescent="0.2">
      <c r="D49" s="502"/>
      <c r="E49" s="502"/>
      <c r="F49" s="502"/>
      <c r="G49" s="502"/>
      <c r="H49" s="502"/>
      <c r="I49" s="502"/>
      <c r="J49" s="502"/>
      <c r="K49" s="500"/>
      <c r="L49" s="500"/>
      <c r="M49" s="500"/>
      <c r="N49" s="500"/>
      <c r="O49" s="500"/>
      <c r="P49" s="500"/>
    </row>
    <row r="50" spans="4:19" x14ac:dyDescent="0.2">
      <c r="D50" s="501"/>
      <c r="E50" s="501"/>
      <c r="F50" s="501"/>
      <c r="G50" s="501"/>
      <c r="H50" s="501"/>
      <c r="I50" s="501">
        <v>5000</v>
      </c>
      <c r="J50" s="501"/>
      <c r="K50" s="501">
        <f>K48*5000</f>
        <v>40000</v>
      </c>
      <c r="L50" s="501">
        <f t="shared" ref="L50:P50" si="3">L48*5000</f>
        <v>10000</v>
      </c>
      <c r="M50" s="501">
        <f t="shared" si="3"/>
        <v>0</v>
      </c>
      <c r="N50" s="501">
        <f t="shared" si="3"/>
        <v>2500</v>
      </c>
      <c r="O50" s="501"/>
      <c r="P50" s="501">
        <f t="shared" si="3"/>
        <v>15000</v>
      </c>
      <c r="R50" s="489"/>
      <c r="S50" s="507"/>
    </row>
    <row r="51" spans="4:19" x14ac:dyDescent="0.2">
      <c r="D51" s="501"/>
      <c r="E51" s="501"/>
      <c r="F51" s="501"/>
      <c r="G51" s="501"/>
      <c r="H51" s="501"/>
      <c r="I51" s="501">
        <v>6000</v>
      </c>
      <c r="J51" s="501"/>
      <c r="K51" s="501">
        <f>K48*6000</f>
        <v>48000</v>
      </c>
      <c r="L51" s="501">
        <f t="shared" ref="L51:P51" si="4">L48*6000</f>
        <v>12000</v>
      </c>
      <c r="M51" s="501">
        <f t="shared" si="4"/>
        <v>0</v>
      </c>
      <c r="N51" s="501">
        <f t="shared" si="4"/>
        <v>3000</v>
      </c>
      <c r="O51" s="501"/>
      <c r="P51" s="501">
        <f t="shared" si="4"/>
        <v>18000</v>
      </c>
      <c r="Q51" s="489">
        <f>SUM(K51:P51)</f>
        <v>81000</v>
      </c>
      <c r="R51" s="489"/>
      <c r="S51" s="507"/>
    </row>
    <row r="52" spans="4:19" x14ac:dyDescent="0.2">
      <c r="K52" s="501"/>
      <c r="L52" s="501"/>
      <c r="R52" s="489"/>
      <c r="S52" s="507"/>
    </row>
    <row r="53" spans="4:19" x14ac:dyDescent="0.2">
      <c r="K53" s="501"/>
      <c r="L53" s="501"/>
      <c r="S53" s="507"/>
    </row>
    <row r="54" spans="4:19" x14ac:dyDescent="0.2">
      <c r="K54" s="501"/>
      <c r="L54" s="501"/>
    </row>
    <row r="55" spans="4:19" x14ac:dyDescent="0.2">
      <c r="K55" s="501"/>
      <c r="L55" s="501"/>
    </row>
    <row r="56" spans="4:19" x14ac:dyDescent="0.2">
      <c r="K56" s="501"/>
      <c r="L56" s="501"/>
    </row>
  </sheetData>
  <mergeCells count="2">
    <mergeCell ref="K2:N2"/>
    <mergeCell ref="D2:F2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U49"/>
  <sheetViews>
    <sheetView showGridLines="0" zoomScale="90" zoomScaleNormal="90" workbookViewId="0">
      <selection activeCell="E7" sqref="E7:E13"/>
    </sheetView>
  </sheetViews>
  <sheetFormatPr defaultRowHeight="12.75" x14ac:dyDescent="0.2"/>
  <cols>
    <col min="1" max="1" width="7.85546875" customWidth="1"/>
    <col min="2" max="2" width="9.42578125" customWidth="1"/>
    <col min="3" max="3" width="8.85546875" customWidth="1"/>
    <col min="4" max="4" width="12.7109375" customWidth="1"/>
    <col min="5" max="9" width="9.140625" customWidth="1"/>
    <col min="10" max="10" width="13.85546875" customWidth="1"/>
    <col min="11" max="11" width="3" customWidth="1"/>
    <col min="12" max="12" width="7" customWidth="1"/>
    <col min="13" max="13" width="21.7109375" customWidth="1"/>
    <col min="14" max="15" width="10.5703125" customWidth="1"/>
    <col min="16" max="21" width="7.42578125" customWidth="1"/>
  </cols>
  <sheetData>
    <row r="1" spans="1:21" ht="24" customHeight="1" x14ac:dyDescent="0.3">
      <c r="A1" s="720" t="s">
        <v>339</v>
      </c>
      <c r="B1" s="720"/>
      <c r="C1" s="720"/>
      <c r="D1" s="720"/>
      <c r="E1" s="720"/>
      <c r="F1" s="720"/>
      <c r="G1" s="720"/>
      <c r="H1" s="720"/>
      <c r="I1" s="720"/>
      <c r="J1" s="720"/>
    </row>
    <row r="2" spans="1:21" ht="24" customHeight="1" x14ac:dyDescent="0.2">
      <c r="A2" s="721" t="s">
        <v>408</v>
      </c>
      <c r="B2" s="721"/>
      <c r="C2" s="721"/>
      <c r="D2" s="721"/>
      <c r="E2" s="721"/>
      <c r="F2" s="721"/>
      <c r="G2" s="721"/>
      <c r="H2" s="721"/>
      <c r="I2" s="721"/>
      <c r="J2" s="721"/>
    </row>
    <row r="3" spans="1:21" ht="24" customHeight="1" x14ac:dyDescent="0.2">
      <c r="A3" s="722" t="s">
        <v>409</v>
      </c>
      <c r="B3" s="722"/>
      <c r="C3" s="722"/>
      <c r="D3" s="722"/>
      <c r="E3" s="722"/>
      <c r="F3" s="722"/>
      <c r="G3" s="722"/>
      <c r="H3" s="722"/>
      <c r="I3" s="722"/>
      <c r="J3" s="722"/>
    </row>
    <row r="4" spans="1:21" x14ac:dyDescent="0.2">
      <c r="A4" s="363"/>
      <c r="B4" s="103"/>
      <c r="C4" s="351"/>
      <c r="D4" s="351"/>
      <c r="E4" s="103"/>
      <c r="F4" s="103"/>
      <c r="G4" s="103"/>
      <c r="H4" s="103"/>
      <c r="I4" s="103"/>
      <c r="J4" s="103"/>
    </row>
    <row r="5" spans="1:21" ht="21.75" customHeight="1" x14ac:dyDescent="0.2">
      <c r="A5" s="723" t="s">
        <v>340</v>
      </c>
      <c r="B5" s="724" t="s">
        <v>98</v>
      </c>
      <c r="C5" s="724"/>
      <c r="D5" s="725" t="s">
        <v>346</v>
      </c>
      <c r="E5" s="723" t="s">
        <v>341</v>
      </c>
      <c r="F5" s="726" t="s">
        <v>250</v>
      </c>
      <c r="G5" s="723" t="s">
        <v>342</v>
      </c>
      <c r="H5" s="723" t="s">
        <v>343</v>
      </c>
      <c r="I5" s="728" t="s">
        <v>344</v>
      </c>
      <c r="J5" s="723" t="s">
        <v>345</v>
      </c>
      <c r="L5" s="738" t="s">
        <v>0</v>
      </c>
      <c r="M5" s="739" t="s">
        <v>1</v>
      </c>
      <c r="N5" s="740" t="s">
        <v>332</v>
      </c>
      <c r="O5" s="740"/>
      <c r="P5" s="735" t="s">
        <v>407</v>
      </c>
      <c r="Q5" s="736"/>
      <c r="R5" s="736"/>
      <c r="S5" s="736"/>
      <c r="T5" s="736"/>
      <c r="U5" s="737"/>
    </row>
    <row r="6" spans="1:21" ht="21.75" customHeight="1" x14ac:dyDescent="0.2">
      <c r="A6" s="723"/>
      <c r="B6" s="725"/>
      <c r="C6" s="725"/>
      <c r="D6" s="729"/>
      <c r="E6" s="723"/>
      <c r="F6" s="727"/>
      <c r="G6" s="723"/>
      <c r="H6" s="723"/>
      <c r="I6" s="728"/>
      <c r="J6" s="723"/>
      <c r="L6" s="738"/>
      <c r="M6" s="739"/>
      <c r="N6" s="740"/>
      <c r="O6" s="740"/>
      <c r="P6" s="352">
        <v>1</v>
      </c>
      <c r="Q6" s="352">
        <v>2</v>
      </c>
      <c r="R6" s="352">
        <v>3</v>
      </c>
      <c r="S6" s="352">
        <v>4</v>
      </c>
      <c r="T6" s="352">
        <v>5</v>
      </c>
      <c r="U6" s="352">
        <v>6</v>
      </c>
    </row>
    <row r="7" spans="1:21" x14ac:dyDescent="0.2">
      <c r="A7" s="730">
        <v>1</v>
      </c>
      <c r="B7" s="366" t="s">
        <v>115</v>
      </c>
      <c r="C7" s="373" t="str">
        <f>'Main Menu'!N2</f>
        <v>-</v>
      </c>
      <c r="D7" s="375"/>
      <c r="E7" s="717"/>
      <c r="F7" s="717"/>
      <c r="G7" s="714"/>
      <c r="H7" s="714"/>
      <c r="I7" s="714"/>
      <c r="J7" s="733"/>
    </row>
    <row r="8" spans="1:21" x14ac:dyDescent="0.2">
      <c r="A8" s="730"/>
      <c r="B8" s="367" t="s">
        <v>109</v>
      </c>
      <c r="C8" s="374">
        <f>'Main Menu'!N3</f>
        <v>43101</v>
      </c>
      <c r="D8" s="365" t="s">
        <v>369</v>
      </c>
      <c r="E8" s="718"/>
      <c r="F8" s="718"/>
      <c r="G8" s="715"/>
      <c r="H8" s="715"/>
      <c r="I8" s="715"/>
      <c r="J8" s="733"/>
    </row>
    <row r="9" spans="1:21" x14ac:dyDescent="0.2">
      <c r="A9" s="730"/>
      <c r="B9" s="367" t="s">
        <v>110</v>
      </c>
      <c r="C9" s="374">
        <f>'Main Menu'!N4</f>
        <v>43102</v>
      </c>
      <c r="D9" s="365" t="s">
        <v>369</v>
      </c>
      <c r="E9" s="718"/>
      <c r="F9" s="718"/>
      <c r="G9" s="715"/>
      <c r="H9" s="715"/>
      <c r="I9" s="715"/>
      <c r="J9" s="733"/>
    </row>
    <row r="10" spans="1:21" x14ac:dyDescent="0.2">
      <c r="A10" s="730"/>
      <c r="B10" s="367" t="s">
        <v>111</v>
      </c>
      <c r="C10" s="374">
        <f>'Main Menu'!N5</f>
        <v>43103</v>
      </c>
      <c r="D10" s="365" t="s">
        <v>369</v>
      </c>
      <c r="E10" s="718"/>
      <c r="F10" s="718"/>
      <c r="G10" s="715"/>
      <c r="H10" s="715"/>
      <c r="I10" s="715"/>
      <c r="J10" s="733"/>
    </row>
    <row r="11" spans="1:21" x14ac:dyDescent="0.2">
      <c r="A11" s="730"/>
      <c r="B11" s="367" t="s">
        <v>112</v>
      </c>
      <c r="C11" s="374">
        <f>'Main Menu'!N6</f>
        <v>43104</v>
      </c>
      <c r="D11" s="365" t="s">
        <v>369</v>
      </c>
      <c r="E11" s="718"/>
      <c r="F11" s="718"/>
      <c r="G11" s="715"/>
      <c r="H11" s="715"/>
      <c r="I11" s="715"/>
      <c r="J11" s="733"/>
    </row>
    <row r="12" spans="1:21" x14ac:dyDescent="0.2">
      <c r="A12" s="730"/>
      <c r="B12" s="367" t="s">
        <v>113</v>
      </c>
      <c r="C12" s="374">
        <f>'Main Menu'!N7</f>
        <v>43105</v>
      </c>
      <c r="D12" s="365" t="s">
        <v>369</v>
      </c>
      <c r="E12" s="718"/>
      <c r="F12" s="718"/>
      <c r="G12" s="715"/>
      <c r="H12" s="715"/>
      <c r="I12" s="715"/>
      <c r="J12" s="733"/>
    </row>
    <row r="13" spans="1:21" x14ac:dyDescent="0.2">
      <c r="A13" s="730"/>
      <c r="B13" s="368" t="s">
        <v>114</v>
      </c>
      <c r="C13" s="374">
        <f>'Main Menu'!N8</f>
        <v>43106</v>
      </c>
      <c r="D13" s="365" t="s">
        <v>369</v>
      </c>
      <c r="E13" s="718"/>
      <c r="F13" s="719"/>
      <c r="G13" s="715"/>
      <c r="H13" s="715"/>
      <c r="I13" s="715"/>
      <c r="J13" s="734"/>
    </row>
    <row r="14" spans="1:21" x14ac:dyDescent="0.2">
      <c r="A14" s="731">
        <v>2</v>
      </c>
      <c r="B14" s="366" t="s">
        <v>115</v>
      </c>
      <c r="C14" s="373">
        <f>'Main Menu'!N9</f>
        <v>43107</v>
      </c>
      <c r="D14" s="375"/>
      <c r="E14" s="717"/>
      <c r="F14" s="717"/>
      <c r="G14" s="714"/>
      <c r="H14" s="714"/>
      <c r="I14" s="714"/>
      <c r="J14" s="732"/>
    </row>
    <row r="15" spans="1:21" x14ac:dyDescent="0.2">
      <c r="A15" s="731"/>
      <c r="B15" s="367" t="s">
        <v>109</v>
      </c>
      <c r="C15" s="374">
        <f>'Main Menu'!N10</f>
        <v>43108</v>
      </c>
      <c r="D15" s="365" t="s">
        <v>369</v>
      </c>
      <c r="E15" s="718"/>
      <c r="F15" s="718"/>
      <c r="G15" s="715"/>
      <c r="H15" s="715"/>
      <c r="I15" s="715"/>
      <c r="J15" s="733"/>
    </row>
    <row r="16" spans="1:21" x14ac:dyDescent="0.2">
      <c r="A16" s="731"/>
      <c r="B16" s="367" t="s">
        <v>110</v>
      </c>
      <c r="C16" s="374">
        <f>'Main Menu'!N11</f>
        <v>43109</v>
      </c>
      <c r="D16" s="365" t="s">
        <v>369</v>
      </c>
      <c r="E16" s="718"/>
      <c r="F16" s="718"/>
      <c r="G16" s="715"/>
      <c r="H16" s="715"/>
      <c r="I16" s="715"/>
      <c r="J16" s="733"/>
    </row>
    <row r="17" spans="1:10" x14ac:dyDescent="0.2">
      <c r="A17" s="731"/>
      <c r="B17" s="367" t="s">
        <v>111</v>
      </c>
      <c r="C17" s="374">
        <f>'Main Menu'!N12</f>
        <v>43110</v>
      </c>
      <c r="D17" s="365" t="s">
        <v>369</v>
      </c>
      <c r="E17" s="718"/>
      <c r="F17" s="718"/>
      <c r="G17" s="715"/>
      <c r="H17" s="715"/>
      <c r="I17" s="715"/>
      <c r="J17" s="733"/>
    </row>
    <row r="18" spans="1:10" x14ac:dyDescent="0.2">
      <c r="A18" s="731"/>
      <c r="B18" s="367" t="s">
        <v>112</v>
      </c>
      <c r="C18" s="374">
        <f>'Main Menu'!N13</f>
        <v>43111</v>
      </c>
      <c r="D18" s="365" t="s">
        <v>369</v>
      </c>
      <c r="E18" s="718"/>
      <c r="F18" s="718"/>
      <c r="G18" s="715"/>
      <c r="H18" s="715"/>
      <c r="I18" s="715"/>
      <c r="J18" s="733"/>
    </row>
    <row r="19" spans="1:10" ht="12.75" customHeight="1" x14ac:dyDescent="0.2">
      <c r="A19" s="731"/>
      <c r="B19" s="367" t="s">
        <v>113</v>
      </c>
      <c r="C19" s="374">
        <f>'Main Menu'!N14</f>
        <v>43112</v>
      </c>
      <c r="D19" s="365" t="s">
        <v>369</v>
      </c>
      <c r="E19" s="718"/>
      <c r="F19" s="718"/>
      <c r="G19" s="715"/>
      <c r="H19" s="715"/>
      <c r="I19" s="715"/>
      <c r="J19" s="733"/>
    </row>
    <row r="20" spans="1:10" x14ac:dyDescent="0.2">
      <c r="A20" s="731"/>
      <c r="B20" s="368" t="s">
        <v>114</v>
      </c>
      <c r="C20" s="364">
        <f>'Main Menu'!N15</f>
        <v>43113</v>
      </c>
      <c r="D20" s="376" t="s">
        <v>369</v>
      </c>
      <c r="E20" s="719"/>
      <c r="F20" s="719"/>
      <c r="G20" s="716"/>
      <c r="H20" s="716"/>
      <c r="I20" s="716"/>
      <c r="J20" s="734"/>
    </row>
    <row r="21" spans="1:10" x14ac:dyDescent="0.2">
      <c r="A21" s="731">
        <v>3</v>
      </c>
      <c r="B21" s="366" t="s">
        <v>115</v>
      </c>
      <c r="C21" s="373">
        <f>'Main Menu'!N16</f>
        <v>43114</v>
      </c>
      <c r="D21" s="375"/>
      <c r="E21" s="717"/>
      <c r="F21" s="717"/>
      <c r="G21" s="714"/>
      <c r="H21" s="714"/>
      <c r="I21" s="714"/>
      <c r="J21" s="732"/>
    </row>
    <row r="22" spans="1:10" x14ac:dyDescent="0.2">
      <c r="A22" s="731"/>
      <c r="B22" s="367" t="s">
        <v>109</v>
      </c>
      <c r="C22" s="374">
        <f>'Main Menu'!N17</f>
        <v>43115</v>
      </c>
      <c r="D22" s="365" t="s">
        <v>369</v>
      </c>
      <c r="E22" s="718"/>
      <c r="F22" s="718"/>
      <c r="G22" s="715"/>
      <c r="H22" s="715"/>
      <c r="I22" s="715"/>
      <c r="J22" s="733"/>
    </row>
    <row r="23" spans="1:10" x14ac:dyDescent="0.2">
      <c r="A23" s="731"/>
      <c r="B23" s="367" t="s">
        <v>110</v>
      </c>
      <c r="C23" s="374">
        <f>'Main Menu'!N18</f>
        <v>43116</v>
      </c>
      <c r="D23" s="365" t="s">
        <v>410</v>
      </c>
      <c r="E23" s="718"/>
      <c r="F23" s="718"/>
      <c r="G23" s="715"/>
      <c r="H23" s="715"/>
      <c r="I23" s="715"/>
      <c r="J23" s="733"/>
    </row>
    <row r="24" spans="1:10" x14ac:dyDescent="0.2">
      <c r="A24" s="731"/>
      <c r="B24" s="367" t="s">
        <v>111</v>
      </c>
      <c r="C24" s="374">
        <f>'Main Menu'!N19</f>
        <v>43117</v>
      </c>
      <c r="D24" s="365" t="s">
        <v>411</v>
      </c>
      <c r="E24" s="718"/>
      <c r="F24" s="718"/>
      <c r="G24" s="715"/>
      <c r="H24" s="715"/>
      <c r="I24" s="715"/>
      <c r="J24" s="733"/>
    </row>
    <row r="25" spans="1:10" x14ac:dyDescent="0.2">
      <c r="A25" s="731"/>
      <c r="B25" s="367" t="s">
        <v>112</v>
      </c>
      <c r="C25" s="374">
        <f>'Main Menu'!N20</f>
        <v>43118</v>
      </c>
      <c r="D25" s="365" t="s">
        <v>410</v>
      </c>
      <c r="E25" s="718"/>
      <c r="F25" s="718"/>
      <c r="G25" s="715"/>
      <c r="H25" s="715"/>
      <c r="I25" s="715"/>
      <c r="J25" s="733"/>
    </row>
    <row r="26" spans="1:10" x14ac:dyDescent="0.2">
      <c r="A26" s="731"/>
      <c r="B26" s="367" t="s">
        <v>113</v>
      </c>
      <c r="C26" s="374">
        <f>'Main Menu'!N21</f>
        <v>43119</v>
      </c>
      <c r="D26" s="365" t="s">
        <v>410</v>
      </c>
      <c r="E26" s="718"/>
      <c r="F26" s="718"/>
      <c r="G26" s="715"/>
      <c r="H26" s="715"/>
      <c r="I26" s="715"/>
      <c r="J26" s="733"/>
    </row>
    <row r="27" spans="1:10" x14ac:dyDescent="0.2">
      <c r="A27" s="731"/>
      <c r="B27" s="368" t="s">
        <v>114</v>
      </c>
      <c r="C27" s="364">
        <f>'Main Menu'!N22</f>
        <v>43120</v>
      </c>
      <c r="D27" s="376" t="s">
        <v>410</v>
      </c>
      <c r="E27" s="719"/>
      <c r="F27" s="719"/>
      <c r="G27" s="716"/>
      <c r="H27" s="716"/>
      <c r="I27" s="716"/>
      <c r="J27" s="734"/>
    </row>
    <row r="28" spans="1:10" x14ac:dyDescent="0.2">
      <c r="A28" s="731">
        <v>4</v>
      </c>
      <c r="B28" s="366" t="s">
        <v>115</v>
      </c>
      <c r="C28" s="373">
        <f>'Main Menu'!N23</f>
        <v>43121</v>
      </c>
      <c r="D28" s="375" t="s">
        <v>410</v>
      </c>
      <c r="E28" s="717"/>
      <c r="F28" s="717"/>
      <c r="G28" s="714"/>
      <c r="H28" s="714"/>
      <c r="I28" s="714"/>
      <c r="J28" s="732"/>
    </row>
    <row r="29" spans="1:10" x14ac:dyDescent="0.2">
      <c r="A29" s="731"/>
      <c r="B29" s="367" t="s">
        <v>109</v>
      </c>
      <c r="C29" s="374">
        <f>'Main Menu'!N24</f>
        <v>43122</v>
      </c>
      <c r="D29" s="365" t="s">
        <v>410</v>
      </c>
      <c r="E29" s="718"/>
      <c r="F29" s="718"/>
      <c r="G29" s="715"/>
      <c r="H29" s="715"/>
      <c r="I29" s="715"/>
      <c r="J29" s="733"/>
    </row>
    <row r="30" spans="1:10" x14ac:dyDescent="0.2">
      <c r="A30" s="731"/>
      <c r="B30" s="367" t="s">
        <v>110</v>
      </c>
      <c r="C30" s="374">
        <f>'Main Menu'!N25</f>
        <v>43123</v>
      </c>
      <c r="D30" s="365" t="s">
        <v>410</v>
      </c>
      <c r="E30" s="718"/>
      <c r="F30" s="718"/>
      <c r="G30" s="715"/>
      <c r="H30" s="715"/>
      <c r="I30" s="715"/>
      <c r="J30" s="733"/>
    </row>
    <row r="31" spans="1:10" x14ac:dyDescent="0.2">
      <c r="A31" s="731"/>
      <c r="B31" s="367" t="s">
        <v>111</v>
      </c>
      <c r="C31" s="374">
        <f>'Main Menu'!N26</f>
        <v>43124</v>
      </c>
      <c r="D31" s="365" t="s">
        <v>410</v>
      </c>
      <c r="E31" s="718"/>
      <c r="F31" s="718"/>
      <c r="G31" s="715"/>
      <c r="H31" s="715"/>
      <c r="I31" s="715"/>
      <c r="J31" s="733"/>
    </row>
    <row r="32" spans="1:10" x14ac:dyDescent="0.2">
      <c r="A32" s="731"/>
      <c r="B32" s="367" t="s">
        <v>112</v>
      </c>
      <c r="C32" s="374">
        <f>'Main Menu'!N27</f>
        <v>43125</v>
      </c>
      <c r="D32" s="365" t="s">
        <v>410</v>
      </c>
      <c r="E32" s="718"/>
      <c r="F32" s="718"/>
      <c r="G32" s="715"/>
      <c r="H32" s="715"/>
      <c r="I32" s="715"/>
      <c r="J32" s="733"/>
    </row>
    <row r="33" spans="1:10" x14ac:dyDescent="0.2">
      <c r="A33" s="731"/>
      <c r="B33" s="367" t="s">
        <v>113</v>
      </c>
      <c r="C33" s="374">
        <f>'Main Menu'!N28</f>
        <v>43126</v>
      </c>
      <c r="D33" s="365" t="s">
        <v>410</v>
      </c>
      <c r="E33" s="718"/>
      <c r="F33" s="718"/>
      <c r="G33" s="715"/>
      <c r="H33" s="715"/>
      <c r="I33" s="715"/>
      <c r="J33" s="733"/>
    </row>
    <row r="34" spans="1:10" x14ac:dyDescent="0.2">
      <c r="A34" s="731"/>
      <c r="B34" s="368" t="s">
        <v>114</v>
      </c>
      <c r="C34" s="364">
        <f>'Main Menu'!N29</f>
        <v>43127</v>
      </c>
      <c r="D34" s="376" t="s">
        <v>412</v>
      </c>
      <c r="E34" s="719"/>
      <c r="F34" s="719"/>
      <c r="G34" s="716"/>
      <c r="H34" s="716"/>
      <c r="I34" s="716"/>
      <c r="J34" s="734"/>
    </row>
    <row r="35" spans="1:10" x14ac:dyDescent="0.2">
      <c r="A35" s="731">
        <v>5</v>
      </c>
      <c r="B35" s="366" t="s">
        <v>115</v>
      </c>
      <c r="C35" s="373">
        <f>'Main Menu'!N30</f>
        <v>43128</v>
      </c>
      <c r="D35" s="375" t="s">
        <v>410</v>
      </c>
      <c r="E35" s="717"/>
      <c r="F35" s="717"/>
      <c r="G35" s="714"/>
      <c r="H35" s="714"/>
      <c r="I35" s="714"/>
      <c r="J35" s="732"/>
    </row>
    <row r="36" spans="1:10" x14ac:dyDescent="0.2">
      <c r="A36" s="731"/>
      <c r="B36" s="367" t="s">
        <v>109</v>
      </c>
      <c r="C36" s="374">
        <f>'Main Menu'!N31</f>
        <v>43129</v>
      </c>
      <c r="D36" s="365" t="s">
        <v>410</v>
      </c>
      <c r="E36" s="718"/>
      <c r="F36" s="718"/>
      <c r="G36" s="715"/>
      <c r="H36" s="715"/>
      <c r="I36" s="715"/>
      <c r="J36" s="733"/>
    </row>
    <row r="37" spans="1:10" x14ac:dyDescent="0.2">
      <c r="A37" s="731"/>
      <c r="B37" s="367" t="s">
        <v>110</v>
      </c>
      <c r="C37" s="374">
        <f>'Main Menu'!N32</f>
        <v>43130</v>
      </c>
      <c r="D37" s="365" t="s">
        <v>410</v>
      </c>
      <c r="E37" s="718"/>
      <c r="F37" s="718"/>
      <c r="G37" s="715"/>
      <c r="H37" s="715"/>
      <c r="I37" s="715"/>
      <c r="J37" s="733"/>
    </row>
    <row r="38" spans="1:10" x14ac:dyDescent="0.2">
      <c r="A38" s="731"/>
      <c r="B38" s="367" t="s">
        <v>111</v>
      </c>
      <c r="C38" s="374">
        <f>'Main Menu'!N33</f>
        <v>43131</v>
      </c>
      <c r="D38" s="365"/>
      <c r="E38" s="718"/>
      <c r="F38" s="718"/>
      <c r="G38" s="715"/>
      <c r="H38" s="715"/>
      <c r="I38" s="715"/>
      <c r="J38" s="733"/>
    </row>
    <row r="39" spans="1:10" x14ac:dyDescent="0.2">
      <c r="A39" s="731"/>
      <c r="B39" s="367" t="s">
        <v>112</v>
      </c>
      <c r="C39" s="374" t="str">
        <f>'Main Menu'!N34</f>
        <v>-</v>
      </c>
      <c r="D39" s="365"/>
      <c r="E39" s="718"/>
      <c r="F39" s="718"/>
      <c r="G39" s="715"/>
      <c r="H39" s="715"/>
      <c r="I39" s="715"/>
      <c r="J39" s="733"/>
    </row>
    <row r="40" spans="1:10" x14ac:dyDescent="0.2">
      <c r="A40" s="731"/>
      <c r="B40" s="367" t="s">
        <v>113</v>
      </c>
      <c r="C40" s="374" t="str">
        <f>'Main Menu'!N35</f>
        <v>-</v>
      </c>
      <c r="D40" s="365"/>
      <c r="E40" s="718"/>
      <c r="F40" s="718"/>
      <c r="G40" s="715"/>
      <c r="H40" s="715"/>
      <c r="I40" s="715"/>
      <c r="J40" s="733"/>
    </row>
    <row r="41" spans="1:10" x14ac:dyDescent="0.2">
      <c r="A41" s="731"/>
      <c r="B41" s="368" t="s">
        <v>114</v>
      </c>
      <c r="C41" s="364" t="str">
        <f>'Main Menu'!N36</f>
        <v>-</v>
      </c>
      <c r="D41" s="376"/>
      <c r="E41" s="719"/>
      <c r="F41" s="719"/>
      <c r="G41" s="716"/>
      <c r="H41" s="716"/>
      <c r="I41" s="716"/>
      <c r="J41" s="734"/>
    </row>
    <row r="42" spans="1:10" x14ac:dyDescent="0.2">
      <c r="A42" s="731">
        <v>6</v>
      </c>
      <c r="B42" s="366" t="s">
        <v>115</v>
      </c>
      <c r="C42" s="373" t="str">
        <f>'Main Menu'!N37</f>
        <v>-</v>
      </c>
      <c r="D42" s="375"/>
      <c r="E42" s="717"/>
      <c r="F42" s="717"/>
      <c r="G42" s="714"/>
      <c r="H42" s="714"/>
      <c r="I42" s="714"/>
      <c r="J42" s="732"/>
    </row>
    <row r="43" spans="1:10" x14ac:dyDescent="0.2">
      <c r="A43" s="731"/>
      <c r="B43" s="367" t="s">
        <v>109</v>
      </c>
      <c r="C43" s="374" t="str">
        <f>'Main Menu'!N38</f>
        <v>-</v>
      </c>
      <c r="D43" s="365"/>
      <c r="E43" s="718"/>
      <c r="F43" s="718"/>
      <c r="G43" s="715"/>
      <c r="H43" s="715"/>
      <c r="I43" s="715"/>
      <c r="J43" s="733"/>
    </row>
    <row r="44" spans="1:10" x14ac:dyDescent="0.2">
      <c r="A44" s="731"/>
      <c r="B44" s="367" t="s">
        <v>110</v>
      </c>
      <c r="C44" s="374" t="str">
        <f>'Main Menu'!N39</f>
        <v>-</v>
      </c>
      <c r="D44" s="365"/>
      <c r="E44" s="718"/>
      <c r="F44" s="718"/>
      <c r="G44" s="715"/>
      <c r="H44" s="715"/>
      <c r="I44" s="715"/>
      <c r="J44" s="733"/>
    </row>
    <row r="45" spans="1:10" x14ac:dyDescent="0.2">
      <c r="A45" s="731"/>
      <c r="B45" s="367" t="s">
        <v>111</v>
      </c>
      <c r="C45" s="374" t="str">
        <f>'Main Menu'!N40</f>
        <v>-</v>
      </c>
      <c r="D45" s="365"/>
      <c r="E45" s="718"/>
      <c r="F45" s="718"/>
      <c r="G45" s="715"/>
      <c r="H45" s="715"/>
      <c r="I45" s="715"/>
      <c r="J45" s="733"/>
    </row>
    <row r="46" spans="1:10" x14ac:dyDescent="0.2">
      <c r="A46" s="731"/>
      <c r="B46" s="367" t="s">
        <v>112</v>
      </c>
      <c r="C46" s="374" t="str">
        <f>'Main Menu'!N41</f>
        <v>-</v>
      </c>
      <c r="D46" s="365"/>
      <c r="E46" s="718"/>
      <c r="F46" s="718"/>
      <c r="G46" s="715"/>
      <c r="H46" s="715"/>
      <c r="I46" s="715"/>
      <c r="J46" s="733"/>
    </row>
    <row r="47" spans="1:10" x14ac:dyDescent="0.2">
      <c r="A47" s="731"/>
      <c r="B47" s="367" t="s">
        <v>113</v>
      </c>
      <c r="C47" s="374" t="str">
        <f>'Main Menu'!N42</f>
        <v>-</v>
      </c>
      <c r="D47" s="365"/>
      <c r="E47" s="718"/>
      <c r="F47" s="718"/>
      <c r="G47" s="715"/>
      <c r="H47" s="715"/>
      <c r="I47" s="715"/>
      <c r="J47" s="733"/>
    </row>
    <row r="48" spans="1:10" x14ac:dyDescent="0.2">
      <c r="A48" s="731"/>
      <c r="B48" s="368" t="s">
        <v>114</v>
      </c>
      <c r="C48" s="364">
        <f>'Main Menu'!N43</f>
        <v>0</v>
      </c>
      <c r="D48" s="376"/>
      <c r="E48" s="719"/>
      <c r="F48" s="719"/>
      <c r="G48" s="716"/>
      <c r="H48" s="716"/>
      <c r="I48" s="716"/>
      <c r="J48" s="734"/>
    </row>
    <row r="49" spans="1:10" x14ac:dyDescent="0.2">
      <c r="A49" s="363"/>
      <c r="B49" s="103"/>
      <c r="C49" s="351"/>
      <c r="D49" s="351"/>
      <c r="E49" s="103"/>
      <c r="F49" s="103"/>
      <c r="G49" s="103"/>
      <c r="H49" s="103"/>
      <c r="I49" s="103"/>
      <c r="J49" s="103"/>
    </row>
  </sheetData>
  <mergeCells count="58">
    <mergeCell ref="P5:U5"/>
    <mergeCell ref="J42:J48"/>
    <mergeCell ref="E7:E13"/>
    <mergeCell ref="E14:E20"/>
    <mergeCell ref="L5:L6"/>
    <mergeCell ref="M5:M6"/>
    <mergeCell ref="N5:O6"/>
    <mergeCell ref="J7:J13"/>
    <mergeCell ref="J14:J20"/>
    <mergeCell ref="J21:J27"/>
    <mergeCell ref="I7:I13"/>
    <mergeCell ref="I14:I20"/>
    <mergeCell ref="I21:I27"/>
    <mergeCell ref="F42:F48"/>
    <mergeCell ref="I28:I34"/>
    <mergeCell ref="I35:I41"/>
    <mergeCell ref="A42:A48"/>
    <mergeCell ref="A21:A27"/>
    <mergeCell ref="A28:A34"/>
    <mergeCell ref="I42:I48"/>
    <mergeCell ref="H7:H13"/>
    <mergeCell ref="H14:H20"/>
    <mergeCell ref="H21:H27"/>
    <mergeCell ref="H28:H34"/>
    <mergeCell ref="H35:H41"/>
    <mergeCell ref="H42:H48"/>
    <mergeCell ref="A35:A41"/>
    <mergeCell ref="G7:G13"/>
    <mergeCell ref="G14:G20"/>
    <mergeCell ref="G21:G27"/>
    <mergeCell ref="F7:F13"/>
    <mergeCell ref="F14:F20"/>
    <mergeCell ref="F21:F27"/>
    <mergeCell ref="A7:A13"/>
    <mergeCell ref="A14:A20"/>
    <mergeCell ref="E35:E41"/>
    <mergeCell ref="J28:J34"/>
    <mergeCell ref="G28:G34"/>
    <mergeCell ref="G35:G41"/>
    <mergeCell ref="J35:J41"/>
    <mergeCell ref="E21:E27"/>
    <mergeCell ref="E28:E34"/>
    <mergeCell ref="G42:G48"/>
    <mergeCell ref="F28:F34"/>
    <mergeCell ref="F35:F41"/>
    <mergeCell ref="E42:E48"/>
    <mergeCell ref="A1:J1"/>
    <mergeCell ref="A2:J2"/>
    <mergeCell ref="A3:J3"/>
    <mergeCell ref="A5:A6"/>
    <mergeCell ref="B5:C6"/>
    <mergeCell ref="E5:E6"/>
    <mergeCell ref="F5:F6"/>
    <mergeCell ref="G5:G6"/>
    <mergeCell ref="H5:H6"/>
    <mergeCell ref="I5:I6"/>
    <mergeCell ref="D5:D6"/>
    <mergeCell ref="J5:J6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2:O24"/>
  <sheetViews>
    <sheetView zoomScaleNormal="100" workbookViewId="0">
      <selection activeCell="H10" sqref="H10"/>
    </sheetView>
  </sheetViews>
  <sheetFormatPr defaultRowHeight="12.75" x14ac:dyDescent="0.2"/>
  <cols>
    <col min="3" max="4" width="12.140625" customWidth="1"/>
    <col min="11" max="11" width="12" customWidth="1"/>
    <col min="12" max="12" width="12.140625" customWidth="1"/>
    <col min="15" max="15" width="10.28515625" bestFit="1" customWidth="1"/>
  </cols>
  <sheetData>
    <row r="2" spans="1:15" x14ac:dyDescent="0.2">
      <c r="A2" s="574"/>
      <c r="B2" s="574" t="s">
        <v>171</v>
      </c>
      <c r="C2" s="574" t="s">
        <v>547</v>
      </c>
      <c r="D2" s="574" t="s">
        <v>548</v>
      </c>
      <c r="E2" s="574" t="s">
        <v>549</v>
      </c>
      <c r="F2" s="574" t="s">
        <v>550</v>
      </c>
      <c r="G2" s="574" t="s">
        <v>551</v>
      </c>
      <c r="H2" s="574" t="s">
        <v>141</v>
      </c>
      <c r="K2" s="516">
        <v>750000</v>
      </c>
      <c r="L2" s="516"/>
      <c r="N2" s="570" t="s">
        <v>554</v>
      </c>
    </row>
    <row r="3" spans="1:15" x14ac:dyDescent="0.2">
      <c r="A3" s="574" t="s">
        <v>159</v>
      </c>
      <c r="B3" s="574">
        <v>8</v>
      </c>
      <c r="C3" s="574"/>
      <c r="D3" s="574"/>
      <c r="E3" s="574"/>
      <c r="F3" s="574"/>
      <c r="G3" s="574"/>
      <c r="H3" s="574">
        <f>SUM(B3:G3)</f>
        <v>8</v>
      </c>
      <c r="J3">
        <f>H3/$H$9</f>
        <v>0.59259259259259256</v>
      </c>
      <c r="K3" s="516">
        <f>J3*$K$2</f>
        <v>444444.44444444444</v>
      </c>
      <c r="N3" s="570" t="s">
        <v>348</v>
      </c>
      <c r="O3" s="570" t="s">
        <v>555</v>
      </c>
    </row>
    <row r="4" spans="1:15" x14ac:dyDescent="0.2">
      <c r="A4" s="574" t="s">
        <v>440</v>
      </c>
      <c r="B4" s="574">
        <v>2</v>
      </c>
      <c r="C4" s="574"/>
      <c r="D4" s="574"/>
      <c r="E4" s="574"/>
      <c r="F4" s="574"/>
      <c r="G4" s="574"/>
      <c r="H4" s="574">
        <f t="shared" ref="H4:H10" si="0">SUM(B4:G4)</f>
        <v>2</v>
      </c>
      <c r="J4">
        <f t="shared" ref="J4:J9" si="1">H4/$H$9</f>
        <v>0.14814814814814814</v>
      </c>
      <c r="K4" s="516">
        <f t="shared" ref="K4:K9" si="2">J4*$K$2</f>
        <v>111111.11111111111</v>
      </c>
      <c r="N4">
        <v>1</v>
      </c>
    </row>
    <row r="5" spans="1:15" x14ac:dyDescent="0.2">
      <c r="A5" s="574" t="s">
        <v>511</v>
      </c>
      <c r="B5" s="574">
        <v>0</v>
      </c>
      <c r="C5" s="574"/>
      <c r="D5" s="574"/>
      <c r="E5" s="574"/>
      <c r="F5" s="574"/>
      <c r="G5" s="574"/>
      <c r="H5" s="574">
        <f t="shared" si="0"/>
        <v>0</v>
      </c>
      <c r="J5">
        <f t="shared" si="1"/>
        <v>0</v>
      </c>
      <c r="K5" s="516">
        <f t="shared" si="2"/>
        <v>0</v>
      </c>
      <c r="N5">
        <v>2</v>
      </c>
    </row>
    <row r="6" spans="1:15" x14ac:dyDescent="0.2">
      <c r="A6" s="574" t="s">
        <v>522</v>
      </c>
      <c r="B6" s="574">
        <v>0.5</v>
      </c>
      <c r="C6" s="574"/>
      <c r="D6" s="574"/>
      <c r="E6" s="574"/>
      <c r="F6" s="574"/>
      <c r="G6" s="574"/>
      <c r="H6" s="574">
        <f t="shared" si="0"/>
        <v>0.5</v>
      </c>
      <c r="J6">
        <f t="shared" si="1"/>
        <v>3.7037037037037035E-2</v>
      </c>
      <c r="K6" s="516">
        <f t="shared" si="2"/>
        <v>27777.777777777777</v>
      </c>
      <c r="N6">
        <v>3</v>
      </c>
    </row>
    <row r="7" spans="1:15" x14ac:dyDescent="0.2">
      <c r="A7" s="574" t="s">
        <v>544</v>
      </c>
      <c r="B7" s="574">
        <v>0</v>
      </c>
      <c r="C7" s="574"/>
      <c r="D7" s="574"/>
      <c r="E7" s="574"/>
      <c r="F7" s="574"/>
      <c r="G7" s="574"/>
      <c r="H7" s="574">
        <f t="shared" si="0"/>
        <v>0</v>
      </c>
      <c r="J7">
        <f t="shared" si="1"/>
        <v>0</v>
      </c>
      <c r="K7" s="516">
        <f t="shared" si="2"/>
        <v>0</v>
      </c>
      <c r="N7">
        <v>4</v>
      </c>
    </row>
    <row r="8" spans="1:15" x14ac:dyDescent="0.2">
      <c r="A8" s="574" t="s">
        <v>543</v>
      </c>
      <c r="B8" s="574">
        <v>3</v>
      </c>
      <c r="C8" s="574"/>
      <c r="D8" s="574"/>
      <c r="E8" s="574"/>
      <c r="F8" s="574"/>
      <c r="G8" s="574"/>
      <c r="H8" s="574">
        <f t="shared" si="0"/>
        <v>3</v>
      </c>
      <c r="J8">
        <f t="shared" si="1"/>
        <v>0.22222222222222221</v>
      </c>
      <c r="K8" s="516">
        <f t="shared" si="2"/>
        <v>166666.66666666666</v>
      </c>
      <c r="N8">
        <v>5</v>
      </c>
    </row>
    <row r="9" spans="1:15" x14ac:dyDescent="0.2">
      <c r="A9" s="574"/>
      <c r="B9" s="574"/>
      <c r="C9" s="574"/>
      <c r="D9" s="574"/>
      <c r="E9" s="574"/>
      <c r="F9" s="574"/>
      <c r="G9" s="574"/>
      <c r="H9" s="574">
        <f>SUM(H3:H8)</f>
        <v>13.5</v>
      </c>
      <c r="J9">
        <f t="shared" si="1"/>
        <v>1</v>
      </c>
      <c r="K9" s="516">
        <f t="shared" si="2"/>
        <v>750000</v>
      </c>
    </row>
    <row r="10" spans="1:15" x14ac:dyDescent="0.2">
      <c r="A10" s="574" t="s">
        <v>607</v>
      </c>
      <c r="B10" s="574">
        <v>20</v>
      </c>
      <c r="C10" s="574">
        <v>15</v>
      </c>
      <c r="D10" s="574">
        <v>15</v>
      </c>
      <c r="E10" s="574">
        <v>20</v>
      </c>
      <c r="F10" s="574">
        <v>15</v>
      </c>
      <c r="G10" s="574">
        <v>15</v>
      </c>
      <c r="H10" s="574">
        <f t="shared" si="0"/>
        <v>100</v>
      </c>
    </row>
    <row r="16" spans="1:15" x14ac:dyDescent="0.2">
      <c r="M16" t="s">
        <v>552</v>
      </c>
    </row>
    <row r="17" spans="1:15" x14ac:dyDescent="0.2">
      <c r="K17" t="s">
        <v>159</v>
      </c>
      <c r="L17" s="516">
        <v>433000</v>
      </c>
      <c r="M17">
        <v>12</v>
      </c>
      <c r="N17" s="516">
        <f>'Gaji Karyawan'!E6</f>
        <v>42000</v>
      </c>
      <c r="O17" s="516">
        <f>M17*N17</f>
        <v>504000</v>
      </c>
    </row>
    <row r="18" spans="1:15" x14ac:dyDescent="0.2">
      <c r="A18" t="s">
        <v>612</v>
      </c>
      <c r="K18" t="s">
        <v>440</v>
      </c>
      <c r="L18" s="516">
        <v>340000</v>
      </c>
      <c r="M18">
        <v>7</v>
      </c>
      <c r="N18" s="516">
        <v>40000</v>
      </c>
      <c r="O18" s="516">
        <f t="shared" ref="O18:O22" si="3">M18*N18</f>
        <v>280000</v>
      </c>
    </row>
    <row r="19" spans="1:15" x14ac:dyDescent="0.2">
      <c r="A19" t="s">
        <v>452</v>
      </c>
      <c r="K19" t="s">
        <v>511</v>
      </c>
      <c r="L19" s="516">
        <v>370000</v>
      </c>
      <c r="M19">
        <v>3</v>
      </c>
      <c r="N19" s="516">
        <v>38000</v>
      </c>
      <c r="O19" s="516">
        <f t="shared" si="3"/>
        <v>114000</v>
      </c>
    </row>
    <row r="20" spans="1:15" x14ac:dyDescent="0.2">
      <c r="K20" t="s">
        <v>522</v>
      </c>
      <c r="L20" s="516">
        <v>335000</v>
      </c>
      <c r="M20">
        <v>2.5</v>
      </c>
      <c r="N20" s="516">
        <v>38000</v>
      </c>
      <c r="O20" s="516">
        <f t="shared" si="3"/>
        <v>95000</v>
      </c>
    </row>
    <row r="21" spans="1:15" x14ac:dyDescent="0.2">
      <c r="K21" t="s">
        <v>544</v>
      </c>
      <c r="L21" s="516">
        <v>250000</v>
      </c>
      <c r="M21">
        <v>2</v>
      </c>
      <c r="N21" s="516">
        <v>38000</v>
      </c>
      <c r="O21" s="516">
        <f t="shared" si="3"/>
        <v>76000</v>
      </c>
    </row>
    <row r="22" spans="1:15" x14ac:dyDescent="0.2">
      <c r="K22" t="s">
        <v>543</v>
      </c>
      <c r="L22" s="516">
        <v>270000</v>
      </c>
      <c r="M22">
        <v>2</v>
      </c>
      <c r="N22" s="516">
        <v>38000</v>
      </c>
      <c r="O22" s="516">
        <f t="shared" si="3"/>
        <v>76000</v>
      </c>
    </row>
    <row r="23" spans="1:15" x14ac:dyDescent="0.2">
      <c r="O23" s="516"/>
    </row>
    <row r="24" spans="1:15" x14ac:dyDescent="0.2">
      <c r="L24" s="506">
        <f>SUM(L17:L23)</f>
        <v>1998000</v>
      </c>
      <c r="O24" s="516">
        <f>SUM(O17:O23)</f>
        <v>1145000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activeCell="G33" sqref="G33"/>
    </sheetView>
  </sheetViews>
  <sheetFormatPr defaultRowHeight="12.75" x14ac:dyDescent="0.2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FF0000"/>
  </sheetPr>
  <dimension ref="A1:N52"/>
  <sheetViews>
    <sheetView topLeftCell="A20" workbookViewId="0">
      <selection activeCell="A53" sqref="A53:XFD1048576"/>
    </sheetView>
  </sheetViews>
  <sheetFormatPr defaultColWidth="0" defaultRowHeight="12.75" zeroHeight="1" x14ac:dyDescent="0.2"/>
  <cols>
    <col min="1" max="14" width="9.140625" customWidth="1"/>
    <col min="15" max="16384" width="9.140625" hidden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39"/>
  <sheetViews>
    <sheetView showGridLines="0" workbookViewId="0">
      <selection activeCell="L25" sqref="L25"/>
    </sheetView>
  </sheetViews>
  <sheetFormatPr defaultRowHeight="12.75" x14ac:dyDescent="0.2"/>
  <cols>
    <col min="1" max="1" width="4.85546875" customWidth="1"/>
    <col min="2" max="2" width="19.7109375" customWidth="1"/>
    <col min="3" max="7" width="8.42578125" customWidth="1"/>
    <col min="8" max="8" width="8.5703125" customWidth="1"/>
    <col min="9" max="9" width="11.42578125" customWidth="1"/>
    <col min="10" max="10" width="0.85546875" customWidth="1"/>
  </cols>
  <sheetData>
    <row r="1" spans="1:11" ht="19.5" x14ac:dyDescent="0.2">
      <c r="A1" s="741" t="s">
        <v>347</v>
      </c>
      <c r="B1" s="741"/>
      <c r="C1" s="741"/>
      <c r="D1" s="741"/>
      <c r="E1" s="741"/>
      <c r="F1" s="741"/>
      <c r="G1" s="741"/>
      <c r="H1" s="741"/>
      <c r="I1" s="741"/>
      <c r="J1" s="741"/>
      <c r="K1" s="741"/>
    </row>
    <row r="2" spans="1:11" ht="13.5" thickBot="1" x14ac:dyDescent="0.25">
      <c r="A2" s="110"/>
      <c r="B2" s="110"/>
      <c r="C2" s="110"/>
      <c r="D2" s="110"/>
      <c r="E2" s="110"/>
      <c r="F2" s="110"/>
      <c r="G2" s="110"/>
      <c r="H2" s="110"/>
      <c r="I2" s="377"/>
      <c r="J2" s="127"/>
      <c r="K2" s="127"/>
    </row>
    <row r="3" spans="1:11" ht="26.25" thickBot="1" x14ac:dyDescent="0.25">
      <c r="A3" s="378" t="s">
        <v>348</v>
      </c>
      <c r="B3" s="379" t="s">
        <v>349</v>
      </c>
      <c r="C3" s="380" t="s">
        <v>341</v>
      </c>
      <c r="D3" s="380" t="s">
        <v>250</v>
      </c>
      <c r="E3" s="380" t="s">
        <v>342</v>
      </c>
      <c r="F3" s="380" t="s">
        <v>343</v>
      </c>
      <c r="G3" s="380" t="s">
        <v>344</v>
      </c>
      <c r="H3" s="379" t="s">
        <v>350</v>
      </c>
      <c r="I3" s="381" t="s">
        <v>351</v>
      </c>
      <c r="J3" s="127"/>
      <c r="K3" s="382" t="s">
        <v>352</v>
      </c>
    </row>
    <row r="4" spans="1:11" x14ac:dyDescent="0.2">
      <c r="A4" s="383">
        <v>1</v>
      </c>
      <c r="B4" s="384" t="s">
        <v>241</v>
      </c>
      <c r="C4" s="385">
        <v>1</v>
      </c>
      <c r="D4" s="385">
        <f t="shared" ref="D4:D17" si="0">C4</f>
        <v>1</v>
      </c>
      <c r="E4" s="385">
        <f>C4</f>
        <v>1</v>
      </c>
      <c r="F4" s="385">
        <f>C4</f>
        <v>1</v>
      </c>
      <c r="G4" s="386">
        <f>F4</f>
        <v>1</v>
      </c>
      <c r="H4" s="387" t="s">
        <v>281</v>
      </c>
      <c r="I4" s="388"/>
      <c r="J4" s="127"/>
      <c r="K4" s="389">
        <f t="shared" ref="K4:K26" si="1">($C$39*C4)+($D$39*D4)+(E4*$E$39)+($F$39*F4)+($G$39*G4)</f>
        <v>12</v>
      </c>
    </row>
    <row r="5" spans="1:11" x14ac:dyDescent="0.2">
      <c r="A5" s="390">
        <v>2</v>
      </c>
      <c r="B5" s="377" t="s">
        <v>242</v>
      </c>
      <c r="C5" s="391">
        <v>0.05</v>
      </c>
      <c r="D5" s="391">
        <f t="shared" si="0"/>
        <v>0.05</v>
      </c>
      <c r="E5" s="391">
        <v>0</v>
      </c>
      <c r="F5" s="391">
        <v>0</v>
      </c>
      <c r="G5" s="392">
        <f t="shared" ref="G5:G27" si="2">F5</f>
        <v>0</v>
      </c>
      <c r="H5" s="110" t="s">
        <v>281</v>
      </c>
      <c r="I5" s="393"/>
      <c r="J5" s="127"/>
      <c r="K5" s="389">
        <f t="shared" si="1"/>
        <v>0.375</v>
      </c>
    </row>
    <row r="6" spans="1:11" x14ac:dyDescent="0.2">
      <c r="A6" s="390">
        <v>3</v>
      </c>
      <c r="B6" s="377" t="s">
        <v>243</v>
      </c>
      <c r="C6" s="391">
        <v>0.2</v>
      </c>
      <c r="D6" s="391">
        <f t="shared" si="0"/>
        <v>0.2</v>
      </c>
      <c r="E6" s="391">
        <f t="shared" ref="E6:E26" si="3">C6</f>
        <v>0.2</v>
      </c>
      <c r="F6" s="391">
        <f t="shared" ref="F6:F26" si="4">C6</f>
        <v>0.2</v>
      </c>
      <c r="G6" s="392">
        <f t="shared" si="2"/>
        <v>0.2</v>
      </c>
      <c r="H6" s="110" t="s">
        <v>281</v>
      </c>
      <c r="I6" s="393"/>
      <c r="J6" s="127"/>
      <c r="K6" s="389">
        <f t="shared" si="1"/>
        <v>2.4000000000000004</v>
      </c>
    </row>
    <row r="7" spans="1:11" x14ac:dyDescent="0.2">
      <c r="A7" s="390">
        <v>4</v>
      </c>
      <c r="B7" s="377" t="s">
        <v>244</v>
      </c>
      <c r="C7" s="391">
        <v>0.1</v>
      </c>
      <c r="D7" s="391">
        <f t="shared" si="0"/>
        <v>0.1</v>
      </c>
      <c r="E7" s="391">
        <f t="shared" si="3"/>
        <v>0.1</v>
      </c>
      <c r="F7" s="391">
        <f t="shared" si="4"/>
        <v>0.1</v>
      </c>
      <c r="G7" s="392">
        <f t="shared" si="2"/>
        <v>0.1</v>
      </c>
      <c r="H7" s="110" t="s">
        <v>323</v>
      </c>
      <c r="I7" s="393" t="s">
        <v>353</v>
      </c>
      <c r="J7" s="127"/>
      <c r="K7" s="389">
        <f t="shared" si="1"/>
        <v>1.2000000000000002</v>
      </c>
    </row>
    <row r="8" spans="1:11" x14ac:dyDescent="0.2">
      <c r="A8" s="390">
        <v>5</v>
      </c>
      <c r="B8" s="377" t="s">
        <v>245</v>
      </c>
      <c r="C8" s="391">
        <v>0.5</v>
      </c>
      <c r="D8" s="391">
        <f t="shared" si="0"/>
        <v>0.5</v>
      </c>
      <c r="E8" s="391">
        <f t="shared" si="3"/>
        <v>0.5</v>
      </c>
      <c r="F8" s="391">
        <f t="shared" si="4"/>
        <v>0.5</v>
      </c>
      <c r="G8" s="392">
        <f t="shared" si="2"/>
        <v>0.5</v>
      </c>
      <c r="H8" s="110" t="s">
        <v>324</v>
      </c>
      <c r="I8" s="393"/>
      <c r="J8" s="127"/>
      <c r="K8" s="389">
        <f t="shared" si="1"/>
        <v>6</v>
      </c>
    </row>
    <row r="9" spans="1:11" x14ac:dyDescent="0.2">
      <c r="A9" s="390">
        <v>6</v>
      </c>
      <c r="B9" s="377" t="s">
        <v>246</v>
      </c>
      <c r="C9" s="391">
        <v>0.25</v>
      </c>
      <c r="D9" s="391">
        <f t="shared" si="0"/>
        <v>0.25</v>
      </c>
      <c r="E9" s="391">
        <f t="shared" si="3"/>
        <v>0.25</v>
      </c>
      <c r="F9" s="391">
        <f t="shared" si="4"/>
        <v>0.25</v>
      </c>
      <c r="G9" s="392">
        <f t="shared" si="2"/>
        <v>0.25</v>
      </c>
      <c r="H9" s="110" t="s">
        <v>281</v>
      </c>
      <c r="I9" s="393" t="s">
        <v>354</v>
      </c>
      <c r="J9" s="127"/>
      <c r="K9" s="389">
        <f t="shared" si="1"/>
        <v>3</v>
      </c>
    </row>
    <row r="10" spans="1:11" x14ac:dyDescent="0.2">
      <c r="A10" s="390">
        <v>7</v>
      </c>
      <c r="B10" s="377" t="s">
        <v>247</v>
      </c>
      <c r="C10" s="391">
        <v>15</v>
      </c>
      <c r="D10" s="391">
        <f t="shared" si="0"/>
        <v>15</v>
      </c>
      <c r="E10" s="391">
        <f t="shared" si="3"/>
        <v>15</v>
      </c>
      <c r="F10" s="391">
        <f t="shared" si="4"/>
        <v>15</v>
      </c>
      <c r="G10" s="392">
        <f t="shared" si="2"/>
        <v>15</v>
      </c>
      <c r="H10" s="110" t="s">
        <v>281</v>
      </c>
      <c r="I10" s="393"/>
      <c r="J10" s="127"/>
      <c r="K10" s="389">
        <f t="shared" si="1"/>
        <v>180</v>
      </c>
    </row>
    <row r="11" spans="1:11" x14ac:dyDescent="0.2">
      <c r="A11" s="394">
        <v>8</v>
      </c>
      <c r="B11" s="395" t="s">
        <v>248</v>
      </c>
      <c r="C11" s="396">
        <f>170/240</f>
        <v>0.70833333333333337</v>
      </c>
      <c r="D11" s="396">
        <f t="shared" si="0"/>
        <v>0.70833333333333337</v>
      </c>
      <c r="E11" s="396">
        <f t="shared" si="3"/>
        <v>0.70833333333333337</v>
      </c>
      <c r="F11" s="396">
        <f t="shared" si="4"/>
        <v>0.70833333333333337</v>
      </c>
      <c r="G11" s="397">
        <f t="shared" si="2"/>
        <v>0.70833333333333337</v>
      </c>
      <c r="H11" s="398" t="s">
        <v>325</v>
      </c>
      <c r="I11" s="399" t="s">
        <v>355</v>
      </c>
      <c r="J11" s="127"/>
      <c r="K11" s="389">
        <f t="shared" si="1"/>
        <v>8.5</v>
      </c>
    </row>
    <row r="12" spans="1:11" x14ac:dyDescent="0.2">
      <c r="A12" s="400">
        <v>9</v>
      </c>
      <c r="B12" s="401" t="s">
        <v>251</v>
      </c>
      <c r="C12" s="402">
        <f>8*0.25</f>
        <v>2</v>
      </c>
      <c r="D12" s="402">
        <f t="shared" si="0"/>
        <v>2</v>
      </c>
      <c r="E12" s="402">
        <v>1</v>
      </c>
      <c r="F12" s="402">
        <f>E12</f>
        <v>1</v>
      </c>
      <c r="G12" s="403">
        <f>F12</f>
        <v>1</v>
      </c>
      <c r="H12" s="404" t="s">
        <v>281</v>
      </c>
      <c r="I12" s="405"/>
      <c r="J12" s="127"/>
      <c r="K12" s="389">
        <f t="shared" si="1"/>
        <v>19.5</v>
      </c>
    </row>
    <row r="13" spans="1:11" x14ac:dyDescent="0.2">
      <c r="A13" s="390">
        <v>10</v>
      </c>
      <c r="B13" s="377" t="s">
        <v>252</v>
      </c>
      <c r="C13" s="391">
        <v>0</v>
      </c>
      <c r="D13" s="391">
        <f t="shared" si="0"/>
        <v>0</v>
      </c>
      <c r="E13" s="391">
        <v>1</v>
      </c>
      <c r="F13" s="391">
        <f>E13</f>
        <v>1</v>
      </c>
      <c r="G13" s="392">
        <f>F13</f>
        <v>1</v>
      </c>
      <c r="H13" s="110" t="s">
        <v>281</v>
      </c>
      <c r="I13" s="393"/>
      <c r="J13" s="127"/>
      <c r="K13" s="389">
        <f t="shared" si="1"/>
        <v>4.5</v>
      </c>
    </row>
    <row r="14" spans="1:11" x14ac:dyDescent="0.2">
      <c r="A14" s="390">
        <v>11</v>
      </c>
      <c r="B14" s="377" t="s">
        <v>253</v>
      </c>
      <c r="C14" s="391">
        <v>0</v>
      </c>
      <c r="D14" s="391">
        <f t="shared" si="0"/>
        <v>0</v>
      </c>
      <c r="E14" s="391">
        <v>0</v>
      </c>
      <c r="F14" s="391">
        <v>0.75</v>
      </c>
      <c r="G14" s="392">
        <v>0</v>
      </c>
      <c r="H14" s="110" t="s">
        <v>281</v>
      </c>
      <c r="I14" s="393"/>
      <c r="J14" s="127"/>
      <c r="K14" s="389">
        <f t="shared" si="1"/>
        <v>1.125</v>
      </c>
    </row>
    <row r="15" spans="1:11" x14ac:dyDescent="0.2">
      <c r="A15" s="390">
        <v>12</v>
      </c>
      <c r="B15" s="377" t="s">
        <v>254</v>
      </c>
      <c r="C15" s="391">
        <v>0</v>
      </c>
      <c r="D15" s="391">
        <f t="shared" si="0"/>
        <v>0</v>
      </c>
      <c r="E15" s="391">
        <f t="shared" si="3"/>
        <v>0</v>
      </c>
      <c r="F15" s="391">
        <f t="shared" si="4"/>
        <v>0</v>
      </c>
      <c r="G15" s="392">
        <v>0.75</v>
      </c>
      <c r="H15" s="110" t="s">
        <v>281</v>
      </c>
      <c r="I15" s="393"/>
      <c r="J15" s="127"/>
      <c r="K15" s="389">
        <f t="shared" si="1"/>
        <v>1.125</v>
      </c>
    </row>
    <row r="16" spans="1:11" x14ac:dyDescent="0.2">
      <c r="A16" s="390">
        <v>13</v>
      </c>
      <c r="B16" s="377" t="s">
        <v>356</v>
      </c>
      <c r="C16" s="391">
        <v>0</v>
      </c>
      <c r="D16" s="391">
        <f t="shared" si="0"/>
        <v>0</v>
      </c>
      <c r="E16" s="391">
        <f t="shared" si="3"/>
        <v>0</v>
      </c>
      <c r="F16" s="391">
        <f t="shared" si="4"/>
        <v>0</v>
      </c>
      <c r="G16" s="392">
        <f t="shared" si="2"/>
        <v>0</v>
      </c>
      <c r="H16" s="110" t="s">
        <v>281</v>
      </c>
      <c r="I16" s="393"/>
      <c r="J16" s="127"/>
      <c r="K16" s="389">
        <f t="shared" si="1"/>
        <v>0</v>
      </c>
    </row>
    <row r="17" spans="1:11" x14ac:dyDescent="0.2">
      <c r="A17" s="390">
        <v>14</v>
      </c>
      <c r="B17" s="377" t="s">
        <v>356</v>
      </c>
      <c r="C17" s="391">
        <v>0</v>
      </c>
      <c r="D17" s="391">
        <f t="shared" si="0"/>
        <v>0</v>
      </c>
      <c r="E17" s="391">
        <f t="shared" si="3"/>
        <v>0</v>
      </c>
      <c r="F17" s="391">
        <f t="shared" si="4"/>
        <v>0</v>
      </c>
      <c r="G17" s="392">
        <f t="shared" si="2"/>
        <v>0</v>
      </c>
      <c r="H17" s="110" t="s">
        <v>281</v>
      </c>
      <c r="I17" s="393"/>
      <c r="J17" s="127"/>
      <c r="K17" s="389">
        <f t="shared" si="1"/>
        <v>0</v>
      </c>
    </row>
    <row r="18" spans="1:11" x14ac:dyDescent="0.2">
      <c r="A18" s="394">
        <v>15</v>
      </c>
      <c r="B18" s="398" t="s">
        <v>250</v>
      </c>
      <c r="C18" s="396">
        <v>0</v>
      </c>
      <c r="D18" s="396">
        <v>0.25</v>
      </c>
      <c r="E18" s="396">
        <f t="shared" si="3"/>
        <v>0</v>
      </c>
      <c r="F18" s="396">
        <f t="shared" si="4"/>
        <v>0</v>
      </c>
      <c r="G18" s="397">
        <f t="shared" si="2"/>
        <v>0</v>
      </c>
      <c r="H18" s="398" t="s">
        <v>281</v>
      </c>
      <c r="I18" s="399"/>
      <c r="J18" s="127"/>
      <c r="K18" s="389">
        <f t="shared" si="1"/>
        <v>0</v>
      </c>
    </row>
    <row r="19" spans="1:11" x14ac:dyDescent="0.2">
      <c r="A19" s="400">
        <v>16</v>
      </c>
      <c r="B19" s="401" t="s">
        <v>255</v>
      </c>
      <c r="C19" s="402">
        <v>0.5</v>
      </c>
      <c r="D19" s="402">
        <f t="shared" ref="D19:D26" si="5">C19</f>
        <v>0.5</v>
      </c>
      <c r="E19" s="402">
        <v>0</v>
      </c>
      <c r="F19" s="402">
        <v>0</v>
      </c>
      <c r="G19" s="403">
        <f t="shared" si="2"/>
        <v>0</v>
      </c>
      <c r="H19" s="404" t="s">
        <v>328</v>
      </c>
      <c r="I19" s="405" t="s">
        <v>357</v>
      </c>
      <c r="J19" s="127"/>
      <c r="K19" s="389">
        <f t="shared" si="1"/>
        <v>3.75</v>
      </c>
    </row>
    <row r="20" spans="1:11" x14ac:dyDescent="0.2">
      <c r="A20" s="390">
        <v>17</v>
      </c>
      <c r="B20" s="377" t="s">
        <v>256</v>
      </c>
      <c r="C20" s="391">
        <v>0</v>
      </c>
      <c r="D20" s="391">
        <f t="shared" si="5"/>
        <v>0</v>
      </c>
      <c r="E20" s="391">
        <v>0.5</v>
      </c>
      <c r="F20" s="391">
        <v>0</v>
      </c>
      <c r="G20" s="392">
        <f t="shared" si="2"/>
        <v>0</v>
      </c>
      <c r="H20" s="110" t="s">
        <v>328</v>
      </c>
      <c r="I20" s="393" t="s">
        <v>357</v>
      </c>
      <c r="J20" s="127"/>
      <c r="K20" s="389">
        <f t="shared" si="1"/>
        <v>0.75</v>
      </c>
    </row>
    <row r="21" spans="1:11" x14ac:dyDescent="0.2">
      <c r="A21" s="390">
        <v>18</v>
      </c>
      <c r="B21" s="377" t="s">
        <v>257</v>
      </c>
      <c r="C21" s="391">
        <v>0</v>
      </c>
      <c r="D21" s="391">
        <f t="shared" si="5"/>
        <v>0</v>
      </c>
      <c r="E21" s="391">
        <v>0</v>
      </c>
      <c r="F21" s="391">
        <v>0.5</v>
      </c>
      <c r="G21" s="392">
        <f t="shared" si="2"/>
        <v>0.5</v>
      </c>
      <c r="H21" s="110" t="s">
        <v>328</v>
      </c>
      <c r="I21" s="393" t="s">
        <v>357</v>
      </c>
      <c r="J21" s="127"/>
      <c r="K21" s="389">
        <f t="shared" si="1"/>
        <v>1.5</v>
      </c>
    </row>
    <row r="22" spans="1:11" x14ac:dyDescent="0.2">
      <c r="A22" s="390">
        <v>19</v>
      </c>
      <c r="B22" s="377" t="s">
        <v>358</v>
      </c>
      <c r="C22" s="391">
        <v>0</v>
      </c>
      <c r="D22" s="391">
        <f t="shared" si="5"/>
        <v>0</v>
      </c>
      <c r="E22" s="391">
        <f t="shared" si="3"/>
        <v>0</v>
      </c>
      <c r="F22" s="391">
        <v>0</v>
      </c>
      <c r="G22" s="392">
        <f t="shared" si="2"/>
        <v>0</v>
      </c>
      <c r="H22" s="110" t="s">
        <v>328</v>
      </c>
      <c r="I22" s="393" t="s">
        <v>357</v>
      </c>
      <c r="J22" s="127"/>
      <c r="K22" s="389">
        <f t="shared" si="1"/>
        <v>0</v>
      </c>
    </row>
    <row r="23" spans="1:11" x14ac:dyDescent="0.2">
      <c r="A23" s="390">
        <v>20</v>
      </c>
      <c r="B23" s="377" t="s">
        <v>358</v>
      </c>
      <c r="C23" s="391">
        <v>0</v>
      </c>
      <c r="D23" s="391">
        <f t="shared" si="5"/>
        <v>0</v>
      </c>
      <c r="E23" s="391">
        <f t="shared" si="3"/>
        <v>0</v>
      </c>
      <c r="F23" s="391">
        <f t="shared" si="4"/>
        <v>0</v>
      </c>
      <c r="G23" s="392">
        <f t="shared" si="2"/>
        <v>0</v>
      </c>
      <c r="H23" s="110" t="s">
        <v>328</v>
      </c>
      <c r="I23" s="393" t="s">
        <v>357</v>
      </c>
      <c r="J23" s="127"/>
      <c r="K23" s="389">
        <f t="shared" si="1"/>
        <v>0</v>
      </c>
    </row>
    <row r="24" spans="1:11" x14ac:dyDescent="0.2">
      <c r="A24" s="390">
        <v>21</v>
      </c>
      <c r="B24" s="377" t="s">
        <v>358</v>
      </c>
      <c r="C24" s="391">
        <v>0</v>
      </c>
      <c r="D24" s="391">
        <f t="shared" si="5"/>
        <v>0</v>
      </c>
      <c r="E24" s="391">
        <f t="shared" si="3"/>
        <v>0</v>
      </c>
      <c r="F24" s="391">
        <f t="shared" si="4"/>
        <v>0</v>
      </c>
      <c r="G24" s="392">
        <f t="shared" si="2"/>
        <v>0</v>
      </c>
      <c r="H24" s="110" t="s">
        <v>328</v>
      </c>
      <c r="I24" s="393" t="s">
        <v>357</v>
      </c>
      <c r="J24" s="127"/>
      <c r="K24" s="389">
        <f t="shared" si="1"/>
        <v>0</v>
      </c>
    </row>
    <row r="25" spans="1:11" x14ac:dyDescent="0.2">
      <c r="A25" s="390">
        <v>22</v>
      </c>
      <c r="B25" s="377" t="s">
        <v>200</v>
      </c>
      <c r="C25" s="391">
        <f>3200/18000</f>
        <v>0.17777777777777778</v>
      </c>
      <c r="D25" s="391">
        <f t="shared" si="5"/>
        <v>0.17777777777777778</v>
      </c>
      <c r="E25" s="391">
        <f t="shared" si="3"/>
        <v>0.17777777777777778</v>
      </c>
      <c r="F25" s="391">
        <f t="shared" si="4"/>
        <v>0.17777777777777778</v>
      </c>
      <c r="G25" s="392">
        <f t="shared" si="2"/>
        <v>0.17777777777777778</v>
      </c>
      <c r="H25" s="110" t="s">
        <v>326</v>
      </c>
      <c r="I25" s="393" t="s">
        <v>359</v>
      </c>
      <c r="J25" s="127"/>
      <c r="K25" s="389">
        <f t="shared" si="1"/>
        <v>2.1333333333333333</v>
      </c>
    </row>
    <row r="26" spans="1:11" x14ac:dyDescent="0.2">
      <c r="A26" s="394">
        <v>23</v>
      </c>
      <c r="B26" s="395" t="s">
        <v>249</v>
      </c>
      <c r="C26" s="396">
        <v>0.3</v>
      </c>
      <c r="D26" s="396">
        <f t="shared" si="5"/>
        <v>0.3</v>
      </c>
      <c r="E26" s="396">
        <f t="shared" si="3"/>
        <v>0.3</v>
      </c>
      <c r="F26" s="396">
        <f t="shared" si="4"/>
        <v>0.3</v>
      </c>
      <c r="G26" s="397">
        <f t="shared" si="2"/>
        <v>0.3</v>
      </c>
      <c r="H26" s="398" t="s">
        <v>327</v>
      </c>
      <c r="I26" s="399" t="s">
        <v>360</v>
      </c>
      <c r="J26" s="127"/>
      <c r="K26" s="389">
        <f t="shared" si="1"/>
        <v>3.6000000000000005</v>
      </c>
    </row>
    <row r="27" spans="1:11" x14ac:dyDescent="0.2">
      <c r="A27" s="406"/>
      <c r="B27" s="110"/>
      <c r="C27" s="407"/>
      <c r="D27" s="407"/>
      <c r="E27" s="407"/>
      <c r="F27" s="407"/>
      <c r="G27" s="392">
        <f t="shared" si="2"/>
        <v>0</v>
      </c>
      <c r="H27" s="110"/>
      <c r="I27" s="393"/>
      <c r="J27" s="127"/>
      <c r="K27" s="408"/>
    </row>
    <row r="28" spans="1:11" x14ac:dyDescent="0.2">
      <c r="A28" s="390">
        <v>1</v>
      </c>
      <c r="B28" s="377" t="s">
        <v>361</v>
      </c>
      <c r="C28" s="391"/>
      <c r="D28" s="391"/>
      <c r="E28" s="391"/>
      <c r="F28" s="391"/>
      <c r="G28" s="409"/>
      <c r="H28" s="110" t="s">
        <v>362</v>
      </c>
      <c r="I28" s="393" t="s">
        <v>363</v>
      </c>
      <c r="J28" s="127"/>
      <c r="K28" s="408"/>
    </row>
    <row r="29" spans="1:11" x14ac:dyDescent="0.2">
      <c r="A29" s="390">
        <v>2</v>
      </c>
      <c r="B29" s="377" t="s">
        <v>259</v>
      </c>
      <c r="C29" s="391"/>
      <c r="D29" s="391"/>
      <c r="E29" s="391"/>
      <c r="F29" s="391"/>
      <c r="G29" s="409"/>
      <c r="H29" s="110" t="s">
        <v>362</v>
      </c>
      <c r="I29" s="393" t="s">
        <v>363</v>
      </c>
      <c r="J29" s="127"/>
      <c r="K29" s="408"/>
    </row>
    <row r="30" spans="1:11" x14ac:dyDescent="0.2">
      <c r="A30" s="390">
        <v>3</v>
      </c>
      <c r="B30" s="377" t="s">
        <v>260</v>
      </c>
      <c r="C30" s="391"/>
      <c r="D30" s="391"/>
      <c r="E30" s="391"/>
      <c r="F30" s="391"/>
      <c r="G30" s="409"/>
      <c r="H30" s="110" t="s">
        <v>362</v>
      </c>
      <c r="I30" s="393" t="s">
        <v>363</v>
      </c>
      <c r="J30" s="127"/>
      <c r="K30" s="408"/>
    </row>
    <row r="31" spans="1:11" x14ac:dyDescent="0.2">
      <c r="A31" s="390">
        <v>4</v>
      </c>
      <c r="B31" s="377" t="s">
        <v>269</v>
      </c>
      <c r="C31" s="391"/>
      <c r="D31" s="391"/>
      <c r="E31" s="391"/>
      <c r="F31" s="391"/>
      <c r="G31" s="409"/>
      <c r="H31" s="110" t="s">
        <v>362</v>
      </c>
      <c r="I31" s="393" t="s">
        <v>363</v>
      </c>
      <c r="J31" s="127"/>
      <c r="K31" s="408"/>
    </row>
    <row r="32" spans="1:11" x14ac:dyDescent="0.2">
      <c r="A32" s="390">
        <v>5</v>
      </c>
      <c r="B32" s="377" t="s">
        <v>270</v>
      </c>
      <c r="C32" s="391"/>
      <c r="D32" s="391"/>
      <c r="E32" s="391"/>
      <c r="F32" s="391"/>
      <c r="G32" s="409"/>
      <c r="H32" s="110" t="s">
        <v>362</v>
      </c>
      <c r="I32" s="393" t="s">
        <v>364</v>
      </c>
      <c r="J32" s="127"/>
      <c r="K32" s="408"/>
    </row>
    <row r="33" spans="1:11" x14ac:dyDescent="0.2">
      <c r="A33" s="390">
        <v>6</v>
      </c>
      <c r="B33" s="377" t="s">
        <v>261</v>
      </c>
      <c r="C33" s="391"/>
      <c r="D33" s="391"/>
      <c r="E33" s="391"/>
      <c r="F33" s="391"/>
      <c r="G33" s="409"/>
      <c r="H33" s="110" t="s">
        <v>280</v>
      </c>
      <c r="I33" s="393" t="s">
        <v>365</v>
      </c>
      <c r="J33" s="127"/>
      <c r="K33" s="408"/>
    </row>
    <row r="34" spans="1:11" x14ac:dyDescent="0.2">
      <c r="A34" s="390">
        <v>7</v>
      </c>
      <c r="B34" s="377" t="s">
        <v>262</v>
      </c>
      <c r="C34" s="391"/>
      <c r="D34" s="391"/>
      <c r="E34" s="391"/>
      <c r="F34" s="391"/>
      <c r="G34" s="409"/>
      <c r="H34" s="110" t="s">
        <v>281</v>
      </c>
      <c r="I34" s="393" t="s">
        <v>366</v>
      </c>
      <c r="J34" s="127"/>
      <c r="K34" s="408"/>
    </row>
    <row r="35" spans="1:11" x14ac:dyDescent="0.2">
      <c r="A35" s="390">
        <v>8</v>
      </c>
      <c r="B35" s="377" t="s">
        <v>263</v>
      </c>
      <c r="C35" s="391"/>
      <c r="D35" s="391"/>
      <c r="E35" s="391"/>
      <c r="F35" s="391"/>
      <c r="G35" s="409"/>
      <c r="H35" s="110" t="s">
        <v>280</v>
      </c>
      <c r="I35" s="393" t="s">
        <v>365</v>
      </c>
      <c r="J35" s="127"/>
      <c r="K35" s="408"/>
    </row>
    <row r="36" spans="1:11" x14ac:dyDescent="0.2">
      <c r="A36" s="390">
        <v>9</v>
      </c>
      <c r="B36" s="377" t="s">
        <v>264</v>
      </c>
      <c r="C36" s="391"/>
      <c r="D36" s="391"/>
      <c r="E36" s="391"/>
      <c r="F36" s="391"/>
      <c r="G36" s="409"/>
      <c r="H36" s="110" t="s">
        <v>280</v>
      </c>
      <c r="I36" s="393" t="s">
        <v>365</v>
      </c>
      <c r="J36" s="127"/>
      <c r="K36" s="408"/>
    </row>
    <row r="37" spans="1:11" x14ac:dyDescent="0.2">
      <c r="A37" s="390">
        <v>10</v>
      </c>
      <c r="B37" s="377" t="s">
        <v>367</v>
      </c>
      <c r="C37" s="391"/>
      <c r="D37" s="391"/>
      <c r="E37" s="391"/>
      <c r="F37" s="391"/>
      <c r="G37" s="409"/>
      <c r="H37" s="110" t="s">
        <v>280</v>
      </c>
      <c r="I37" s="393" t="s">
        <v>365</v>
      </c>
      <c r="J37" s="127"/>
      <c r="K37" s="408"/>
    </row>
    <row r="38" spans="1:11" ht="13.5" thickBot="1" x14ac:dyDescent="0.25">
      <c r="A38" s="410">
        <v>11</v>
      </c>
      <c r="B38" s="411" t="s">
        <v>267</v>
      </c>
      <c r="C38" s="412"/>
      <c r="D38" s="412"/>
      <c r="E38" s="412"/>
      <c r="F38" s="412"/>
      <c r="G38" s="413"/>
      <c r="H38" s="414" t="s">
        <v>282</v>
      </c>
      <c r="I38" s="415" t="s">
        <v>368</v>
      </c>
      <c r="J38" s="127"/>
      <c r="K38" s="416"/>
    </row>
    <row r="39" spans="1:11" x14ac:dyDescent="0.2">
      <c r="A39" s="127"/>
      <c r="B39" s="127"/>
      <c r="C39" s="127">
        <v>7.5</v>
      </c>
      <c r="D39" s="127">
        <v>0</v>
      </c>
      <c r="E39" s="127">
        <v>1.5</v>
      </c>
      <c r="F39" s="127">
        <v>1.5</v>
      </c>
      <c r="G39" s="127">
        <v>1.5</v>
      </c>
      <c r="H39" s="127"/>
      <c r="I39" s="127"/>
      <c r="J39" s="127"/>
      <c r="K39" s="127"/>
    </row>
  </sheetData>
  <mergeCells count="1">
    <mergeCell ref="A1: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FF0000"/>
  </sheetPr>
  <dimension ref="A1:P31"/>
  <sheetViews>
    <sheetView workbookViewId="0">
      <selection activeCell="A32" sqref="A32:XFD1048576"/>
    </sheetView>
  </sheetViews>
  <sheetFormatPr defaultColWidth="0" defaultRowHeight="12.75" zeroHeight="1" x14ac:dyDescent="0.2"/>
  <cols>
    <col min="1" max="16" width="9.140625" customWidth="1"/>
    <col min="17" max="16384" width="9.140625" hidden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" sqref="E3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O32"/>
  <sheetViews>
    <sheetView showGridLines="0" zoomScale="90" zoomScaleNormal="90" workbookViewId="0">
      <selection activeCell="A33" sqref="A1:XFD1048576"/>
    </sheetView>
  </sheetViews>
  <sheetFormatPr defaultColWidth="0" defaultRowHeight="12.75" zeroHeight="1" x14ac:dyDescent="0.2"/>
  <cols>
    <col min="1" max="15" width="9.140625" customWidth="1"/>
    <col min="16" max="16384" width="9.140625" hidden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N57"/>
  <sheetViews>
    <sheetView showGridLines="0" workbookViewId="0">
      <selection activeCell="K16" sqref="K16"/>
    </sheetView>
  </sheetViews>
  <sheetFormatPr defaultRowHeight="14.25" x14ac:dyDescent="0.25"/>
  <cols>
    <col min="1" max="1" width="2.5703125" style="458" customWidth="1"/>
    <col min="2" max="2" width="15.42578125" style="458" customWidth="1"/>
    <col min="3" max="3" width="15.85546875" style="458" customWidth="1"/>
    <col min="4" max="4" width="11.7109375" style="458" customWidth="1"/>
    <col min="5" max="5" width="15.140625" style="458" bestFit="1" customWidth="1"/>
    <col min="6" max="7" width="9.140625" style="458" customWidth="1"/>
    <col min="8" max="8" width="3.7109375" style="458" customWidth="1"/>
    <col min="9" max="9" width="9.140625" style="458" customWidth="1"/>
    <col min="10" max="10" width="39.140625" style="458" customWidth="1"/>
    <col min="11" max="11" width="169.42578125" style="458" customWidth="1"/>
    <col min="12" max="12" width="15.42578125" style="458" bestFit="1" customWidth="1"/>
    <col min="13" max="13" width="14.7109375" style="458" customWidth="1"/>
    <col min="14" max="14" width="9.140625" style="458"/>
    <col min="15" max="15" width="14.7109375" style="458" customWidth="1"/>
    <col min="16" max="16384" width="9.140625" style="458"/>
  </cols>
  <sheetData>
    <row r="1" spans="2:14" x14ac:dyDescent="0.25">
      <c r="B1" s="590" t="s">
        <v>422</v>
      </c>
      <c r="C1" s="590"/>
      <c r="D1" s="590"/>
      <c r="E1" s="590"/>
      <c r="F1" s="590"/>
      <c r="G1" s="590"/>
      <c r="H1" s="590"/>
      <c r="I1" s="590"/>
      <c r="J1" s="590"/>
    </row>
    <row r="2" spans="2:14" x14ac:dyDescent="0.25">
      <c r="B2" s="590"/>
      <c r="C2" s="590"/>
      <c r="D2" s="590"/>
      <c r="E2" s="590"/>
      <c r="F2" s="590"/>
      <c r="G2" s="590"/>
      <c r="H2" s="590"/>
      <c r="I2" s="590"/>
      <c r="J2" s="590"/>
    </row>
    <row r="3" spans="2:14" x14ac:dyDescent="0.25">
      <c r="B3" s="462"/>
      <c r="C3" s="462"/>
      <c r="D3" s="462"/>
      <c r="E3" s="462"/>
      <c r="L3" s="458" t="s">
        <v>97</v>
      </c>
      <c r="M3" s="459">
        <f>Penjualan!C56+Penjualan!N54</f>
        <v>18406</v>
      </c>
      <c r="N3" s="458" t="s">
        <v>325</v>
      </c>
    </row>
    <row r="4" spans="2:14" ht="22.5" customHeight="1" x14ac:dyDescent="0.25">
      <c r="B4" s="462"/>
      <c r="C4" s="466" t="s">
        <v>423</v>
      </c>
      <c r="D4" s="463"/>
      <c r="E4" s="466" t="s">
        <v>424</v>
      </c>
      <c r="L4" s="458" t="s">
        <v>106</v>
      </c>
      <c r="M4" s="459">
        <f>(Penjualan!M54+Penjualan!O54)/2500</f>
        <v>5293.4</v>
      </c>
      <c r="N4" s="458" t="s">
        <v>325</v>
      </c>
    </row>
    <row r="5" spans="2:14" x14ac:dyDescent="0.25">
      <c r="B5" s="462"/>
      <c r="C5" s="464">
        <f>Penjualan!U54</f>
        <v>49423500</v>
      </c>
      <c r="D5" s="463"/>
      <c r="E5" s="464">
        <f>Penjualan!W54</f>
        <v>48712500</v>
      </c>
      <c r="L5" s="458" t="s">
        <v>420</v>
      </c>
      <c r="M5" s="459">
        <f>Penjualan!K54/1750</f>
        <v>247.14285714285714</v>
      </c>
      <c r="N5" s="458" t="s">
        <v>325</v>
      </c>
    </row>
    <row r="6" spans="2:14" x14ac:dyDescent="0.25">
      <c r="B6" s="462"/>
      <c r="C6" s="462"/>
      <c r="D6" s="462"/>
      <c r="E6" s="462"/>
      <c r="L6" s="458" t="s">
        <v>201</v>
      </c>
      <c r="M6" s="459">
        <f>(Penjualan!L54/500)+Penjualan!Q54</f>
        <v>1197</v>
      </c>
      <c r="N6" s="458" t="s">
        <v>325</v>
      </c>
    </row>
    <row r="7" spans="2:14" ht="20.25" customHeight="1" x14ac:dyDescent="0.25">
      <c r="B7" s="589" t="s">
        <v>425</v>
      </c>
      <c r="C7" s="589"/>
      <c r="D7" s="589"/>
      <c r="E7" s="589"/>
      <c r="F7" s="589"/>
      <c r="G7" s="589"/>
      <c r="H7" s="589"/>
      <c r="I7" s="589"/>
      <c r="J7" s="589"/>
      <c r="L7" s="458" t="s">
        <v>421</v>
      </c>
      <c r="M7" s="459">
        <f>Penjualan!P54</f>
        <v>723</v>
      </c>
      <c r="N7" s="458" t="s">
        <v>325</v>
      </c>
    </row>
    <row r="8" spans="2:14" x14ac:dyDescent="0.25">
      <c r="B8" s="465"/>
      <c r="C8" s="465"/>
      <c r="D8" s="465"/>
      <c r="E8" s="465"/>
      <c r="F8" s="465"/>
      <c r="G8" s="469"/>
      <c r="H8" s="469"/>
      <c r="I8" s="469"/>
      <c r="J8" s="469"/>
    </row>
    <row r="9" spans="2:14" x14ac:dyDescent="0.25">
      <c r="B9" s="465"/>
      <c r="C9" s="465"/>
      <c r="D9" s="465"/>
      <c r="E9" s="465"/>
      <c r="F9" s="465"/>
      <c r="G9" s="469"/>
      <c r="H9" s="469"/>
      <c r="I9" s="469"/>
      <c r="J9" s="469"/>
    </row>
    <row r="10" spans="2:14" x14ac:dyDescent="0.25">
      <c r="B10" s="465"/>
      <c r="C10" s="465"/>
      <c r="D10" s="465"/>
      <c r="E10" s="465"/>
      <c r="F10" s="465"/>
      <c r="G10" s="469"/>
      <c r="H10" s="469"/>
      <c r="I10" s="469"/>
      <c r="J10" s="469"/>
      <c r="L10" s="458" t="s">
        <v>97</v>
      </c>
      <c r="M10" s="460">
        <f>Penjualan!H54+(Penjualan!N54*2000)</f>
        <v>34835500</v>
      </c>
    </row>
    <row r="11" spans="2:14" x14ac:dyDescent="0.25">
      <c r="B11" s="465"/>
      <c r="C11" s="465"/>
      <c r="D11" s="465"/>
      <c r="E11" s="465"/>
      <c r="F11" s="465"/>
      <c r="G11" s="469"/>
      <c r="H11" s="469"/>
      <c r="I11" s="469"/>
      <c r="J11" s="469"/>
      <c r="L11" s="458" t="s">
        <v>106</v>
      </c>
      <c r="M11" s="460">
        <f>Penjualan!M54+Penjualan!O54</f>
        <v>13233500</v>
      </c>
    </row>
    <row r="12" spans="2:14" x14ac:dyDescent="0.25">
      <c r="B12" s="465"/>
      <c r="C12" s="465"/>
      <c r="D12" s="465"/>
      <c r="E12" s="465"/>
      <c r="F12" s="465"/>
      <c r="G12" s="469"/>
      <c r="H12" s="469"/>
      <c r="I12" s="469"/>
      <c r="J12" s="469"/>
      <c r="L12" s="458" t="s">
        <v>420</v>
      </c>
      <c r="M12" s="460">
        <f>Penjualan!K54</f>
        <v>432500</v>
      </c>
    </row>
    <row r="13" spans="2:14" x14ac:dyDescent="0.25">
      <c r="B13" s="465"/>
      <c r="C13" s="465"/>
      <c r="D13" s="465"/>
      <c r="E13" s="465"/>
      <c r="F13" s="465"/>
      <c r="G13" s="469"/>
      <c r="H13" s="469"/>
      <c r="I13" s="469"/>
      <c r="J13" s="469"/>
      <c r="L13" s="458" t="s">
        <v>201</v>
      </c>
      <c r="M13" s="460">
        <f>M6*500</f>
        <v>598500</v>
      </c>
    </row>
    <row r="14" spans="2:14" x14ac:dyDescent="0.25">
      <c r="B14" s="465"/>
      <c r="C14" s="465"/>
      <c r="D14" s="465"/>
      <c r="E14" s="465"/>
      <c r="F14" s="465"/>
      <c r="G14" s="469"/>
      <c r="H14" s="469"/>
      <c r="I14" s="469"/>
      <c r="J14" s="469"/>
      <c r="L14" s="458" t="s">
        <v>421</v>
      </c>
      <c r="M14" s="460">
        <f>M7*500</f>
        <v>361500</v>
      </c>
    </row>
    <row r="15" spans="2:14" x14ac:dyDescent="0.25">
      <c r="B15" s="465"/>
      <c r="C15" s="465"/>
      <c r="D15" s="465"/>
      <c r="E15" s="465"/>
      <c r="F15" s="465"/>
      <c r="G15" s="469"/>
      <c r="H15" s="469"/>
      <c r="I15" s="469"/>
      <c r="J15" s="469"/>
      <c r="M15" s="460"/>
    </row>
    <row r="16" spans="2:14" x14ac:dyDescent="0.25">
      <c r="B16" s="465"/>
      <c r="C16" s="465"/>
      <c r="D16" s="465"/>
      <c r="E16" s="465"/>
      <c r="F16" s="465"/>
      <c r="G16" s="469"/>
      <c r="H16" s="469"/>
      <c r="I16" s="469"/>
      <c r="J16" s="469"/>
    </row>
    <row r="17" spans="2:13" x14ac:dyDescent="0.25">
      <c r="B17" s="465"/>
      <c r="C17" s="465"/>
      <c r="D17" s="465"/>
      <c r="E17" s="465"/>
      <c r="F17" s="465"/>
      <c r="G17" s="469"/>
      <c r="H17" s="469"/>
      <c r="I17" s="469"/>
      <c r="J17" s="469"/>
    </row>
    <row r="18" spans="2:13" x14ac:dyDescent="0.25">
      <c r="B18" s="465"/>
      <c r="C18" s="465"/>
      <c r="D18" s="465"/>
      <c r="E18" s="465"/>
      <c r="F18" s="465"/>
      <c r="G18" s="469"/>
      <c r="H18" s="469"/>
      <c r="I18" s="469"/>
      <c r="J18" s="469"/>
      <c r="L18" s="461" t="str">
        <f>Penjualan!B10</f>
        <v>-</v>
      </c>
      <c r="M18" s="459">
        <f>Penjualan!U10</f>
        <v>0</v>
      </c>
    </row>
    <row r="19" spans="2:13" x14ac:dyDescent="0.25">
      <c r="B19" s="465"/>
      <c r="C19" s="465"/>
      <c r="D19" s="465"/>
      <c r="E19" s="465"/>
      <c r="F19" s="465"/>
      <c r="G19" s="469"/>
      <c r="H19" s="469"/>
      <c r="I19" s="469"/>
      <c r="J19" s="469"/>
      <c r="L19" s="461">
        <f>Penjualan!B11</f>
        <v>43070</v>
      </c>
      <c r="M19" s="459">
        <f>Penjualan!U11</f>
        <v>0</v>
      </c>
    </row>
    <row r="20" spans="2:13" x14ac:dyDescent="0.25">
      <c r="B20" s="465"/>
      <c r="C20" s="465"/>
      <c r="D20" s="465"/>
      <c r="E20" s="465"/>
      <c r="F20" s="465"/>
      <c r="G20" s="469"/>
      <c r="H20" s="469"/>
      <c r="I20" s="469"/>
      <c r="J20" s="469"/>
      <c r="L20" s="461">
        <f>Penjualan!B12</f>
        <v>43071</v>
      </c>
      <c r="M20" s="459">
        <f>Penjualan!U12</f>
        <v>1175500</v>
      </c>
    </row>
    <row r="21" spans="2:13" x14ac:dyDescent="0.25">
      <c r="B21" s="465"/>
      <c r="C21" s="465"/>
      <c r="D21" s="465"/>
      <c r="E21" s="465"/>
      <c r="F21" s="465"/>
      <c r="G21" s="469"/>
      <c r="H21" s="469"/>
      <c r="I21" s="469"/>
      <c r="J21" s="469"/>
      <c r="L21" s="461">
        <f>Penjualan!B14</f>
        <v>43072</v>
      </c>
      <c r="M21" s="459">
        <f>Penjualan!U14</f>
        <v>960500</v>
      </c>
    </row>
    <row r="22" spans="2:13" x14ac:dyDescent="0.25">
      <c r="B22" s="465"/>
      <c r="C22" s="465"/>
      <c r="D22" s="465"/>
      <c r="E22" s="465"/>
      <c r="F22" s="465"/>
      <c r="G22" s="469"/>
      <c r="H22" s="469"/>
      <c r="I22" s="469"/>
      <c r="J22" s="469"/>
      <c r="L22" s="461">
        <f>Penjualan!B15</f>
        <v>43073</v>
      </c>
      <c r="M22" s="459">
        <f>Penjualan!U15</f>
        <v>2092000</v>
      </c>
    </row>
    <row r="23" spans="2:13" x14ac:dyDescent="0.25">
      <c r="B23" s="465"/>
      <c r="C23" s="465"/>
      <c r="D23" s="465"/>
      <c r="E23" s="465"/>
      <c r="F23" s="465"/>
      <c r="G23" s="469"/>
      <c r="H23" s="469"/>
      <c r="I23" s="469"/>
      <c r="J23" s="469"/>
      <c r="L23" s="461">
        <f>Penjualan!B16</f>
        <v>43074</v>
      </c>
      <c r="M23" s="459">
        <f>Penjualan!U16</f>
        <v>2566000</v>
      </c>
    </row>
    <row r="24" spans="2:13" x14ac:dyDescent="0.25">
      <c r="B24" s="465"/>
      <c r="C24" s="465"/>
      <c r="D24" s="465"/>
      <c r="E24" s="465"/>
      <c r="F24" s="465"/>
      <c r="G24" s="469"/>
      <c r="H24" s="469"/>
      <c r="I24" s="469"/>
      <c r="J24" s="469"/>
      <c r="L24" s="461">
        <f>Penjualan!B17</f>
        <v>43075</v>
      </c>
      <c r="M24" s="459">
        <f>Penjualan!U17</f>
        <v>1930500</v>
      </c>
    </row>
    <row r="25" spans="2:13" x14ac:dyDescent="0.25">
      <c r="L25" s="461">
        <f>Penjualan!B18</f>
        <v>43076</v>
      </c>
      <c r="M25" s="459">
        <f>Penjualan!U18</f>
        <v>3792000</v>
      </c>
    </row>
    <row r="26" spans="2:13" x14ac:dyDescent="0.25">
      <c r="L26" s="461">
        <f>Penjualan!B19</f>
        <v>43077</v>
      </c>
      <c r="M26" s="459">
        <f>Penjualan!U19</f>
        <v>2289500</v>
      </c>
    </row>
    <row r="27" spans="2:13" ht="20.25" customHeight="1" x14ac:dyDescent="0.25">
      <c r="B27" s="589" t="s">
        <v>426</v>
      </c>
      <c r="C27" s="589"/>
      <c r="D27" s="589"/>
      <c r="E27" s="589"/>
      <c r="F27" s="468"/>
      <c r="G27" s="589" t="s">
        <v>427</v>
      </c>
      <c r="H27" s="589"/>
      <c r="I27" s="589"/>
      <c r="J27" s="589"/>
      <c r="L27" s="461">
        <f>Penjualan!B20</f>
        <v>43078</v>
      </c>
      <c r="M27" s="459">
        <f>Penjualan!U20</f>
        <v>693000</v>
      </c>
    </row>
    <row r="28" spans="2:13" x14ac:dyDescent="0.25">
      <c r="B28" s="465"/>
      <c r="C28" s="465"/>
      <c r="D28" s="465"/>
      <c r="E28" s="465"/>
      <c r="F28" s="467"/>
      <c r="G28" s="465"/>
      <c r="H28" s="465"/>
      <c r="I28" s="465"/>
      <c r="J28" s="465"/>
      <c r="L28" s="461">
        <f>Penjualan!B22</f>
        <v>43079</v>
      </c>
      <c r="M28" s="459">
        <f>Penjualan!U22</f>
        <v>799500</v>
      </c>
    </row>
    <row r="29" spans="2:13" x14ac:dyDescent="0.25">
      <c r="B29" s="465"/>
      <c r="C29" s="465"/>
      <c r="D29" s="465"/>
      <c r="E29" s="465"/>
      <c r="F29" s="467"/>
      <c r="G29" s="465"/>
      <c r="H29" s="465"/>
      <c r="I29" s="465"/>
      <c r="J29" s="465"/>
      <c r="L29" s="461">
        <f>Penjualan!B23</f>
        <v>43080</v>
      </c>
      <c r="M29" s="459">
        <f>Penjualan!U23</f>
        <v>2628500</v>
      </c>
    </row>
    <row r="30" spans="2:13" x14ac:dyDescent="0.25">
      <c r="B30" s="465"/>
      <c r="C30" s="465"/>
      <c r="D30" s="465"/>
      <c r="E30" s="465"/>
      <c r="F30" s="467"/>
      <c r="G30" s="465"/>
      <c r="H30" s="465"/>
      <c r="I30" s="465"/>
      <c r="J30" s="465"/>
      <c r="L30" s="461">
        <f>Penjualan!B24</f>
        <v>43081</v>
      </c>
      <c r="M30" s="459">
        <f>Penjualan!U24</f>
        <v>2270000</v>
      </c>
    </row>
    <row r="31" spans="2:13" x14ac:dyDescent="0.25">
      <c r="B31" s="465"/>
      <c r="C31" s="465"/>
      <c r="D31" s="465"/>
      <c r="E31" s="465"/>
      <c r="F31" s="467"/>
      <c r="G31" s="465"/>
      <c r="H31" s="465"/>
      <c r="I31" s="465"/>
      <c r="J31" s="465"/>
      <c r="L31" s="461">
        <f>Penjualan!B25</f>
        <v>43082</v>
      </c>
      <c r="M31" s="459">
        <f>Penjualan!U25</f>
        <v>3384000</v>
      </c>
    </row>
    <row r="32" spans="2:13" x14ac:dyDescent="0.25">
      <c r="B32" s="465"/>
      <c r="C32" s="465"/>
      <c r="D32" s="465"/>
      <c r="E32" s="465"/>
      <c r="F32" s="467"/>
      <c r="G32" s="465"/>
      <c r="H32" s="465"/>
      <c r="I32" s="465"/>
      <c r="J32" s="465"/>
      <c r="L32" s="461">
        <f>Penjualan!B26</f>
        <v>43083</v>
      </c>
      <c r="M32" s="459">
        <f>Penjualan!U26</f>
        <v>2383000</v>
      </c>
    </row>
    <row r="33" spans="2:13" x14ac:dyDescent="0.25">
      <c r="B33" s="465"/>
      <c r="C33" s="465"/>
      <c r="D33" s="465"/>
      <c r="E33" s="465"/>
      <c r="F33" s="467"/>
      <c r="G33" s="465"/>
      <c r="H33" s="465"/>
      <c r="I33" s="465"/>
      <c r="J33" s="465"/>
      <c r="L33" s="461">
        <f>Penjualan!B27</f>
        <v>43084</v>
      </c>
      <c r="M33" s="459">
        <f>Penjualan!U27</f>
        <v>3565000</v>
      </c>
    </row>
    <row r="34" spans="2:13" x14ac:dyDescent="0.25">
      <c r="B34" s="465"/>
      <c r="C34" s="465"/>
      <c r="D34" s="465"/>
      <c r="E34" s="465"/>
      <c r="F34" s="467"/>
      <c r="G34" s="465"/>
      <c r="H34" s="465"/>
      <c r="I34" s="465"/>
      <c r="J34" s="465"/>
      <c r="L34" s="461">
        <f>Penjualan!B28</f>
        <v>43085</v>
      </c>
      <c r="M34" s="459">
        <f>Penjualan!U28</f>
        <v>1072000</v>
      </c>
    </row>
    <row r="35" spans="2:13" x14ac:dyDescent="0.25">
      <c r="B35" s="465"/>
      <c r="C35" s="465"/>
      <c r="D35" s="465"/>
      <c r="E35" s="465"/>
      <c r="F35" s="467"/>
      <c r="G35" s="465"/>
      <c r="H35" s="465"/>
      <c r="I35" s="465"/>
      <c r="J35" s="465"/>
      <c r="L35" s="461">
        <f>Penjualan!B30</f>
        <v>43086</v>
      </c>
      <c r="M35" s="459">
        <f>Penjualan!U30</f>
        <v>1042000</v>
      </c>
    </row>
    <row r="36" spans="2:13" x14ac:dyDescent="0.25">
      <c r="B36" s="465"/>
      <c r="C36" s="465"/>
      <c r="D36" s="465"/>
      <c r="E36" s="465"/>
      <c r="F36" s="467"/>
      <c r="G36" s="465"/>
      <c r="H36" s="465"/>
      <c r="I36" s="465"/>
      <c r="J36" s="465"/>
      <c r="L36" s="461">
        <f>Penjualan!B31</f>
        <v>43087</v>
      </c>
      <c r="M36" s="459">
        <f>Penjualan!U31</f>
        <v>2225000</v>
      </c>
    </row>
    <row r="37" spans="2:13" x14ac:dyDescent="0.25">
      <c r="B37" s="465"/>
      <c r="C37" s="465"/>
      <c r="D37" s="465"/>
      <c r="E37" s="465"/>
      <c r="F37" s="467"/>
      <c r="G37" s="465"/>
      <c r="H37" s="465"/>
      <c r="I37" s="465"/>
      <c r="J37" s="465"/>
      <c r="L37" s="461">
        <f>Penjualan!B32</f>
        <v>43088</v>
      </c>
      <c r="M37" s="459">
        <f>Penjualan!U32</f>
        <v>2195500</v>
      </c>
    </row>
    <row r="38" spans="2:13" x14ac:dyDescent="0.25">
      <c r="B38" s="465"/>
      <c r="C38" s="465"/>
      <c r="D38" s="465"/>
      <c r="E38" s="465"/>
      <c r="F38" s="467"/>
      <c r="G38" s="465"/>
      <c r="H38" s="465"/>
      <c r="I38" s="465"/>
      <c r="J38" s="465"/>
      <c r="L38" s="461">
        <f>Penjualan!B33</f>
        <v>43089</v>
      </c>
      <c r="M38" s="459">
        <f>Penjualan!U33</f>
        <v>2319000</v>
      </c>
    </row>
    <row r="39" spans="2:13" x14ac:dyDescent="0.25">
      <c r="B39" s="465"/>
      <c r="C39" s="465"/>
      <c r="D39" s="465"/>
      <c r="E39" s="465"/>
      <c r="F39" s="467"/>
      <c r="G39" s="465"/>
      <c r="H39" s="465"/>
      <c r="I39" s="465"/>
      <c r="J39" s="465"/>
      <c r="L39" s="461">
        <f>Penjualan!B34</f>
        <v>43090</v>
      </c>
      <c r="M39" s="459">
        <f>Penjualan!U34</f>
        <v>2974000</v>
      </c>
    </row>
    <row r="40" spans="2:13" x14ac:dyDescent="0.25">
      <c r="F40" s="467"/>
      <c r="L40" s="461">
        <f>Penjualan!B35</f>
        <v>43091</v>
      </c>
      <c r="M40" s="459">
        <f>Penjualan!U35</f>
        <v>2030000</v>
      </c>
    </row>
    <row r="41" spans="2:13" x14ac:dyDescent="0.25">
      <c r="L41" s="461">
        <f>Penjualan!B36</f>
        <v>43092</v>
      </c>
      <c r="M41" s="459">
        <f>Penjualan!U36</f>
        <v>1640000</v>
      </c>
    </row>
    <row r="42" spans="2:13" x14ac:dyDescent="0.25">
      <c r="L42" s="461">
        <f>Penjualan!B38</f>
        <v>43093</v>
      </c>
      <c r="M42" s="459">
        <f>Penjualan!U38</f>
        <v>0</v>
      </c>
    </row>
    <row r="43" spans="2:13" x14ac:dyDescent="0.25">
      <c r="L43" s="461">
        <f>Penjualan!B39</f>
        <v>43094</v>
      </c>
      <c r="M43" s="459">
        <f>Penjualan!U39</f>
        <v>0</v>
      </c>
    </row>
    <row r="44" spans="2:13" x14ac:dyDescent="0.25">
      <c r="L44" s="461">
        <f>Penjualan!B40</f>
        <v>43095</v>
      </c>
      <c r="M44" s="459">
        <f>Penjualan!U40</f>
        <v>627500</v>
      </c>
    </row>
    <row r="45" spans="2:13" x14ac:dyDescent="0.25">
      <c r="L45" s="461">
        <f>Penjualan!B41</f>
        <v>43096</v>
      </c>
      <c r="M45" s="459">
        <f>Penjualan!U41</f>
        <v>1242000</v>
      </c>
    </row>
    <row r="46" spans="2:13" x14ac:dyDescent="0.25">
      <c r="L46" s="461">
        <f>Penjualan!B42</f>
        <v>43097</v>
      </c>
      <c r="M46" s="459">
        <f>Penjualan!U42</f>
        <v>1156000</v>
      </c>
    </row>
    <row r="47" spans="2:13" x14ac:dyDescent="0.25">
      <c r="L47" s="461">
        <f>Penjualan!B43</f>
        <v>43098</v>
      </c>
      <c r="M47" s="459">
        <f>Penjualan!U43</f>
        <v>371500</v>
      </c>
    </row>
    <row r="48" spans="2:13" x14ac:dyDescent="0.25">
      <c r="L48" s="461">
        <f>Penjualan!B44</f>
        <v>43099</v>
      </c>
      <c r="M48" s="459">
        <f>Penjualan!U44</f>
        <v>0</v>
      </c>
    </row>
    <row r="52" spans="12:13" x14ac:dyDescent="0.25">
      <c r="L52" s="461"/>
    </row>
    <row r="53" spans="12:13" x14ac:dyDescent="0.25">
      <c r="L53" s="461"/>
      <c r="M53" s="459"/>
    </row>
    <row r="54" spans="12:13" x14ac:dyDescent="0.25">
      <c r="L54" s="461"/>
      <c r="M54" s="459">
        <f>Penjualan!U46</f>
        <v>0</v>
      </c>
    </row>
    <row r="55" spans="12:13" x14ac:dyDescent="0.25">
      <c r="L55" s="461"/>
      <c r="M55" s="459">
        <f>Penjualan!U47</f>
        <v>0</v>
      </c>
    </row>
    <row r="56" spans="12:13" x14ac:dyDescent="0.25">
      <c r="L56" s="461"/>
    </row>
    <row r="57" spans="12:13" x14ac:dyDescent="0.25">
      <c r="L57" s="461"/>
    </row>
  </sheetData>
  <mergeCells count="4">
    <mergeCell ref="B7:J7"/>
    <mergeCell ref="B1:J2"/>
    <mergeCell ref="B27:E27"/>
    <mergeCell ref="G27:J2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autoPageBreaks="0" fitToPage="1"/>
  </sheetPr>
  <dimension ref="A1:U95"/>
  <sheetViews>
    <sheetView showGridLines="0" zoomScaleNormal="100" workbookViewId="0">
      <pane xSplit="3" ySplit="8" topLeftCell="D75" activePane="bottomRight" state="frozen"/>
      <selection activeCell="C30" sqref="C30"/>
      <selection pane="topRight" activeCell="C30" sqref="C30"/>
      <selection pane="bottomLeft" activeCell="C30" sqref="C30"/>
      <selection pane="bottomRight" activeCell="D93" sqref="D93:E93"/>
    </sheetView>
  </sheetViews>
  <sheetFormatPr defaultColWidth="8" defaultRowHeight="12" x14ac:dyDescent="0.2"/>
  <cols>
    <col min="1" max="1" width="6.5703125" style="7" customWidth="1"/>
    <col min="2" max="2" width="32.7109375" style="7" bestFit="1" customWidth="1"/>
    <col min="3" max="3" width="6.140625" style="7" customWidth="1"/>
    <col min="4" max="9" width="12.7109375" style="7" customWidth="1"/>
    <col min="10" max="10" width="5.7109375" style="7" customWidth="1"/>
    <col min="11" max="14" width="12.7109375" style="7" customWidth="1"/>
    <col min="15" max="15" width="7.7109375" style="46" customWidth="1"/>
    <col min="16" max="16" width="12.7109375" style="7" customWidth="1"/>
    <col min="17" max="17" width="13.5703125" style="7" bestFit="1" customWidth="1"/>
    <col min="18" max="19" width="12.7109375" style="7" customWidth="1"/>
    <col min="20" max="20" width="8" style="7"/>
    <col min="21" max="21" width="9.85546875" style="7" bestFit="1" customWidth="1"/>
    <col min="22" max="16384" width="8" style="7"/>
  </cols>
  <sheetData>
    <row r="1" spans="1:19" ht="10.5" customHeight="1" x14ac:dyDescent="0.2">
      <c r="A1" s="208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9"/>
      <c r="P1" s="208"/>
      <c r="Q1" s="208"/>
      <c r="R1" s="208"/>
      <c r="S1" s="208"/>
    </row>
    <row r="2" spans="1:19" s="10" customFormat="1" ht="18" customHeight="1" x14ac:dyDescent="0.35">
      <c r="A2" s="591" t="str">
        <f>'Jurnal Trans Klausa'!B1</f>
        <v>KLAUSA CAKE</v>
      </c>
      <c r="B2" s="591"/>
      <c r="C2" s="591"/>
      <c r="D2" s="591"/>
      <c r="E2" s="591"/>
      <c r="F2" s="591"/>
      <c r="G2" s="591"/>
      <c r="H2" s="591"/>
      <c r="I2" s="591"/>
      <c r="J2" s="591"/>
      <c r="K2" s="591"/>
      <c r="L2" s="591"/>
      <c r="M2" s="591"/>
      <c r="N2" s="591"/>
      <c r="O2" s="591"/>
      <c r="P2" s="591"/>
      <c r="Q2" s="591"/>
      <c r="R2" s="591"/>
      <c r="S2" s="591"/>
    </row>
    <row r="3" spans="1:19" s="8" customFormat="1" ht="16.5" customHeight="1" x14ac:dyDescent="0.2">
      <c r="A3" s="592" t="s">
        <v>74</v>
      </c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592"/>
      <c r="P3" s="592"/>
      <c r="Q3" s="592"/>
      <c r="R3" s="592"/>
      <c r="S3" s="592"/>
    </row>
    <row r="4" spans="1:19" s="8" customFormat="1" ht="12" customHeight="1" x14ac:dyDescent="0.2">
      <c r="A4" s="593" t="str">
        <f>'Jurnal Trans Klausa'!B3</f>
        <v>1 Desember 2017</v>
      </c>
      <c r="B4" s="593"/>
      <c r="C4" s="593"/>
      <c r="D4" s="593"/>
      <c r="E4" s="593"/>
      <c r="F4" s="593"/>
      <c r="G4" s="593"/>
      <c r="H4" s="593"/>
      <c r="I4" s="593"/>
      <c r="J4" s="593"/>
      <c r="K4" s="593"/>
      <c r="L4" s="593"/>
      <c r="M4" s="593"/>
      <c r="N4" s="593"/>
      <c r="O4" s="593"/>
      <c r="P4" s="593"/>
      <c r="Q4" s="593"/>
      <c r="R4" s="593"/>
      <c r="S4" s="593"/>
    </row>
    <row r="5" spans="1:19" s="8" customFormat="1" ht="12" customHeight="1" x14ac:dyDescent="0.2">
      <c r="A5" s="593" t="str">
        <f>'Jurnal Trans Klausa'!B4</f>
        <v>31 Desember 2017</v>
      </c>
      <c r="B5" s="593"/>
      <c r="C5" s="593"/>
      <c r="D5" s="593"/>
      <c r="E5" s="593"/>
      <c r="F5" s="593"/>
      <c r="G5" s="593"/>
      <c r="H5" s="593"/>
      <c r="I5" s="593"/>
      <c r="J5" s="593"/>
      <c r="K5" s="593"/>
      <c r="L5" s="593"/>
      <c r="M5" s="593"/>
      <c r="N5" s="593"/>
      <c r="O5" s="593"/>
      <c r="P5" s="593"/>
      <c r="Q5" s="593"/>
      <c r="R5" s="593"/>
      <c r="S5" s="593"/>
    </row>
    <row r="6" spans="1:19" ht="6" customHeight="1" x14ac:dyDescent="0.2">
      <c r="B6" s="11"/>
      <c r="C6" s="11"/>
      <c r="D6" s="12"/>
      <c r="E6" s="12"/>
      <c r="F6" s="12"/>
      <c r="G6" s="12"/>
      <c r="H6" s="12"/>
      <c r="I6" s="12"/>
      <c r="J6" s="11"/>
      <c r="K6" s="12"/>
      <c r="L6" s="12"/>
      <c r="M6" s="12"/>
      <c r="N6" s="12"/>
      <c r="O6" s="12"/>
      <c r="P6" s="9"/>
    </row>
    <row r="7" spans="1:19" ht="15.75" customHeight="1" x14ac:dyDescent="0.2">
      <c r="A7" s="594" t="s">
        <v>64</v>
      </c>
      <c r="B7" s="602" t="s">
        <v>10</v>
      </c>
      <c r="C7" s="600" t="s">
        <v>56</v>
      </c>
      <c r="D7" s="598" t="s">
        <v>69</v>
      </c>
      <c r="E7" s="599"/>
      <c r="F7" s="598" t="s">
        <v>70</v>
      </c>
      <c r="G7" s="599"/>
      <c r="H7" s="598" t="s">
        <v>63</v>
      </c>
      <c r="I7" s="599"/>
      <c r="J7" s="596" t="s">
        <v>57</v>
      </c>
      <c r="K7" s="598" t="s">
        <v>65</v>
      </c>
      <c r="L7" s="599"/>
      <c r="M7" s="609" t="s">
        <v>66</v>
      </c>
      <c r="N7" s="609"/>
      <c r="O7" s="606" t="s">
        <v>123</v>
      </c>
      <c r="P7" s="609" t="s">
        <v>121</v>
      </c>
      <c r="Q7" s="609"/>
      <c r="R7" s="598" t="s">
        <v>124</v>
      </c>
      <c r="S7" s="599"/>
    </row>
    <row r="8" spans="1:19" ht="18.75" customHeight="1" x14ac:dyDescent="0.2">
      <c r="A8" s="595"/>
      <c r="B8" s="603"/>
      <c r="C8" s="601"/>
      <c r="D8" s="228" t="s">
        <v>54</v>
      </c>
      <c r="E8" s="229" t="s">
        <v>55</v>
      </c>
      <c r="F8" s="228" t="s">
        <v>54</v>
      </c>
      <c r="G8" s="229" t="s">
        <v>55</v>
      </c>
      <c r="H8" s="228" t="s">
        <v>54</v>
      </c>
      <c r="I8" s="229" t="s">
        <v>55</v>
      </c>
      <c r="J8" s="597"/>
      <c r="K8" s="228" t="s">
        <v>54</v>
      </c>
      <c r="L8" s="229" t="s">
        <v>55</v>
      </c>
      <c r="M8" s="210" t="s">
        <v>54</v>
      </c>
      <c r="N8" s="210" t="s">
        <v>55</v>
      </c>
      <c r="O8" s="607"/>
      <c r="P8" s="210" t="s">
        <v>54</v>
      </c>
      <c r="Q8" s="210" t="s">
        <v>55</v>
      </c>
      <c r="R8" s="228" t="s">
        <v>54</v>
      </c>
      <c r="S8" s="229" t="s">
        <v>55</v>
      </c>
    </row>
    <row r="9" spans="1:19" x14ac:dyDescent="0.2">
      <c r="A9" s="251" t="s">
        <v>31</v>
      </c>
      <c r="B9" s="212" t="str">
        <f t="shared" ref="B9:B20" si="0">VLOOKUP(A9,Akun,2,FALSE)</f>
        <v>ASET LANCAR</v>
      </c>
      <c r="C9" s="239"/>
      <c r="D9" s="230"/>
      <c r="E9" s="231"/>
      <c r="F9" s="230"/>
      <c r="G9" s="231"/>
      <c r="H9" s="230"/>
      <c r="I9" s="231"/>
      <c r="J9" s="212"/>
      <c r="K9" s="230"/>
      <c r="L9" s="231"/>
      <c r="M9" s="213"/>
      <c r="N9" s="213"/>
      <c r="O9" s="262"/>
      <c r="P9" s="213"/>
      <c r="Q9" s="213"/>
      <c r="R9" s="230"/>
      <c r="S9" s="231"/>
    </row>
    <row r="10" spans="1:19" x14ac:dyDescent="0.2">
      <c r="A10" s="251" t="s">
        <v>183</v>
      </c>
      <c r="B10" s="214" t="str">
        <f t="shared" si="0"/>
        <v>Kas Kecil</v>
      </c>
      <c r="C10" s="252" t="str">
        <f t="shared" ref="C10:C20" si="1">VLOOKUP(A10,Saldo,3,FALSE)</f>
        <v>D</v>
      </c>
      <c r="D10" s="232">
        <f t="shared" ref="D10:D19" si="2">VLOOKUP(A10,Saldo,6,FALSE)</f>
        <v>47488760.125</v>
      </c>
      <c r="E10" s="233">
        <f t="shared" ref="E10:E19" si="3">VLOOKUP(A10,Saldo,7,FALSE)</f>
        <v>0</v>
      </c>
      <c r="F10" s="232">
        <f>SUMIF('Jurnal Trans Klausa'!D:D,A:A,'Jurnal Trans Klausa'!F:F)</f>
        <v>50932000</v>
      </c>
      <c r="G10" s="233">
        <f>SUMIF('Jurnal Trans Klausa'!G:G,A:A,'Jurnal Trans Klausa'!I:I)</f>
        <v>36195400</v>
      </c>
      <c r="H10" s="232">
        <f>D10-E10+F10-G10</f>
        <v>62225360.125</v>
      </c>
      <c r="I10" s="233"/>
      <c r="J10" s="207" t="str">
        <f t="shared" ref="J10:J19" si="4">VLOOKUP(A10,Saldo,4,FALSE)</f>
        <v>NR</v>
      </c>
      <c r="K10" s="232">
        <f>IF($J10="LR",H10,0)</f>
        <v>0</v>
      </c>
      <c r="L10" s="233">
        <f>IF($J10="LR",I10,0)</f>
        <v>0</v>
      </c>
      <c r="M10" s="215">
        <f>IF($J10="NR",H10,0)</f>
        <v>62225360.125</v>
      </c>
      <c r="N10" s="215">
        <f>IF($J10="NR",I10,0)</f>
        <v>0</v>
      </c>
      <c r="O10" s="263"/>
      <c r="P10" s="215"/>
      <c r="Q10" s="215"/>
      <c r="R10" s="232">
        <f>M10-N10+P10-Q10</f>
        <v>62225360.125</v>
      </c>
      <c r="S10" s="233"/>
    </row>
    <row r="11" spans="1:19" x14ac:dyDescent="0.2">
      <c r="A11" s="251" t="s">
        <v>184</v>
      </c>
      <c r="B11" s="214" t="str">
        <f t="shared" si="0"/>
        <v>BSM 1</v>
      </c>
      <c r="C11" s="252" t="str">
        <f t="shared" si="1"/>
        <v>D</v>
      </c>
      <c r="D11" s="232">
        <f t="shared" si="2"/>
        <v>0</v>
      </c>
      <c r="E11" s="233">
        <f t="shared" si="3"/>
        <v>0</v>
      </c>
      <c r="F11" s="232">
        <f>SUMIF('Jurnal Trans Klausa'!D:D,A:A,'Jurnal Trans Klausa'!F:F)</f>
        <v>0</v>
      </c>
      <c r="G11" s="233">
        <f>SUMIF('Jurnal Trans Klausa'!G:G,A:A,'Jurnal Trans Klausa'!I:I)</f>
        <v>0</v>
      </c>
      <c r="H11" s="232">
        <f t="shared" ref="H11:H30" si="5">D11-E11+F11-G11</f>
        <v>0</v>
      </c>
      <c r="I11" s="233"/>
      <c r="J11" s="207" t="str">
        <f t="shared" si="4"/>
        <v>NR</v>
      </c>
      <c r="K11" s="232">
        <f t="shared" ref="K11:K19" si="6">IF($J11="LR",H11,0)</f>
        <v>0</v>
      </c>
      <c r="L11" s="233">
        <f t="shared" ref="L11:L19" si="7">IF($J11="LR",I11,0)</f>
        <v>0</v>
      </c>
      <c r="M11" s="215">
        <f t="shared" ref="M11:M19" si="8">IF($J11="NR",H11,0)</f>
        <v>0</v>
      </c>
      <c r="N11" s="215">
        <f t="shared" ref="N11:N19" si="9">IF($J11="NR",I11,0)</f>
        <v>0</v>
      </c>
      <c r="O11" s="263"/>
      <c r="P11" s="215"/>
      <c r="Q11" s="215"/>
      <c r="R11" s="232">
        <f t="shared" ref="R11:R30" si="10">M11-N11+P11-Q11</f>
        <v>0</v>
      </c>
      <c r="S11" s="233"/>
    </row>
    <row r="12" spans="1:19" x14ac:dyDescent="0.2">
      <c r="A12" s="251" t="s">
        <v>185</v>
      </c>
      <c r="B12" s="214" t="str">
        <f t="shared" si="0"/>
        <v>BSM 2</v>
      </c>
      <c r="C12" s="252" t="str">
        <f t="shared" si="1"/>
        <v>D</v>
      </c>
      <c r="D12" s="232">
        <f t="shared" si="2"/>
        <v>0</v>
      </c>
      <c r="E12" s="233">
        <f t="shared" si="3"/>
        <v>0</v>
      </c>
      <c r="F12" s="232">
        <f>SUMIF('Jurnal Trans Klausa'!D:D,A:A,'Jurnal Trans Klausa'!F:F)</f>
        <v>0</v>
      </c>
      <c r="G12" s="233">
        <f>SUMIF('Jurnal Trans Klausa'!G:G,A:A,'Jurnal Trans Klausa'!I:I)</f>
        <v>0</v>
      </c>
      <c r="H12" s="232">
        <f t="shared" si="5"/>
        <v>0</v>
      </c>
      <c r="I12" s="233"/>
      <c r="J12" s="207" t="str">
        <f t="shared" si="4"/>
        <v>NR</v>
      </c>
      <c r="K12" s="232">
        <f t="shared" si="6"/>
        <v>0</v>
      </c>
      <c r="L12" s="233">
        <f t="shared" si="7"/>
        <v>0</v>
      </c>
      <c r="M12" s="215">
        <f t="shared" si="8"/>
        <v>0</v>
      </c>
      <c r="N12" s="215">
        <f t="shared" si="9"/>
        <v>0</v>
      </c>
      <c r="O12" s="263"/>
      <c r="P12" s="215"/>
      <c r="Q12" s="215"/>
      <c r="R12" s="232">
        <f t="shared" si="10"/>
        <v>0</v>
      </c>
      <c r="S12" s="233"/>
    </row>
    <row r="13" spans="1:19" x14ac:dyDescent="0.2">
      <c r="A13" s="251" t="s">
        <v>32</v>
      </c>
      <c r="B13" s="214" t="str">
        <f t="shared" si="0"/>
        <v>Piutang</v>
      </c>
      <c r="C13" s="252" t="str">
        <f t="shared" si="1"/>
        <v>D</v>
      </c>
      <c r="D13" s="232">
        <f t="shared" si="2"/>
        <v>14250000</v>
      </c>
      <c r="E13" s="233">
        <f t="shared" si="3"/>
        <v>0</v>
      </c>
      <c r="F13" s="232">
        <f>SUMIF('Jurnal Trans Klausa'!D:D,A:A,'Jurnal Trans Klausa'!F:F)</f>
        <v>0</v>
      </c>
      <c r="G13" s="233">
        <f>SUMIF('Jurnal Trans Klausa'!G:G,A:A,'Jurnal Trans Klausa'!I:I)</f>
        <v>250000</v>
      </c>
      <c r="H13" s="232">
        <f t="shared" si="5"/>
        <v>14000000</v>
      </c>
      <c r="I13" s="233"/>
      <c r="J13" s="207" t="str">
        <f t="shared" si="4"/>
        <v>NR</v>
      </c>
      <c r="K13" s="232">
        <f t="shared" si="6"/>
        <v>0</v>
      </c>
      <c r="L13" s="233">
        <f t="shared" si="7"/>
        <v>0</v>
      </c>
      <c r="M13" s="215">
        <f t="shared" si="8"/>
        <v>14000000</v>
      </c>
      <c r="N13" s="215">
        <f t="shared" si="9"/>
        <v>0</v>
      </c>
      <c r="O13" s="263"/>
      <c r="P13" s="215"/>
      <c r="Q13" s="215"/>
      <c r="R13" s="232">
        <f>M13-N13+P13-Q13</f>
        <v>14000000</v>
      </c>
      <c r="S13" s="233"/>
    </row>
    <row r="14" spans="1:19" x14ac:dyDescent="0.2">
      <c r="A14" s="251" t="s">
        <v>286</v>
      </c>
      <c r="B14" s="216" t="str">
        <f t="shared" si="0"/>
        <v>Persediaan</v>
      </c>
      <c r="C14" s="252"/>
      <c r="D14" s="232"/>
      <c r="E14" s="233"/>
      <c r="F14" s="232"/>
      <c r="G14" s="233"/>
      <c r="H14" s="232"/>
      <c r="I14" s="233"/>
      <c r="J14" s="207"/>
      <c r="K14" s="232"/>
      <c r="L14" s="233"/>
      <c r="M14" s="215"/>
      <c r="N14" s="215"/>
      <c r="O14" s="263"/>
      <c r="P14" s="215"/>
      <c r="Q14" s="215"/>
      <c r="R14" s="232"/>
      <c r="S14" s="233"/>
    </row>
    <row r="15" spans="1:19" x14ac:dyDescent="0.2">
      <c r="A15" s="251" t="s">
        <v>290</v>
      </c>
      <c r="B15" s="214" t="str">
        <f t="shared" si="0"/>
        <v>Persediaan Barang Jadi</v>
      </c>
      <c r="C15" s="252" t="str">
        <f t="shared" si="1"/>
        <v>D</v>
      </c>
      <c r="D15" s="232">
        <f t="shared" si="2"/>
        <v>0</v>
      </c>
      <c r="E15" s="233">
        <f>VLOOKUP(A15,Saldo,7,FALSE)</f>
        <v>0</v>
      </c>
      <c r="F15" s="232">
        <f>SUMIF('Jurnal Trans Klausa'!D:D,A:A,'Jurnal Trans Klausa'!F:F)</f>
        <v>0</v>
      </c>
      <c r="G15" s="233">
        <f>SUMIF('Jurnal Trans Klausa'!G:G,A:A,'Jurnal Trans Klausa'!I:I)</f>
        <v>0</v>
      </c>
      <c r="H15" s="232">
        <f t="shared" si="5"/>
        <v>0</v>
      </c>
      <c r="I15" s="233"/>
      <c r="J15" s="207" t="str">
        <f t="shared" si="4"/>
        <v>NR</v>
      </c>
      <c r="K15" s="232">
        <f t="shared" si="6"/>
        <v>0</v>
      </c>
      <c r="L15" s="233">
        <f t="shared" si="7"/>
        <v>0</v>
      </c>
      <c r="M15" s="215">
        <f t="shared" si="8"/>
        <v>0</v>
      </c>
      <c r="N15" s="215">
        <f t="shared" si="9"/>
        <v>0</v>
      </c>
      <c r="O15" s="263"/>
      <c r="P15" s="215"/>
      <c r="Q15" s="215"/>
      <c r="R15" s="232">
        <f t="shared" si="10"/>
        <v>0</v>
      </c>
      <c r="S15" s="233"/>
    </row>
    <row r="16" spans="1:19" x14ac:dyDescent="0.2">
      <c r="A16" s="251" t="s">
        <v>291</v>
      </c>
      <c r="B16" s="214" t="str">
        <f t="shared" si="0"/>
        <v>Persediaan BBL</v>
      </c>
      <c r="C16" s="252" t="str">
        <f t="shared" si="1"/>
        <v>D</v>
      </c>
      <c r="D16" s="232">
        <f t="shared" si="2"/>
        <v>8175800</v>
      </c>
      <c r="E16" s="233">
        <f t="shared" si="3"/>
        <v>0</v>
      </c>
      <c r="F16" s="232">
        <f>SUMIF('Jurnal Trans Klausa'!D:D,A:A,'Jurnal Trans Klausa'!F:F)</f>
        <v>-2197012.5</v>
      </c>
      <c r="G16" s="233">
        <f>SUMIF('Jurnal Trans Klausa'!G:G,A:A,'Jurnal Trans Klausa'!I:I)</f>
        <v>0</v>
      </c>
      <c r="H16" s="232">
        <f t="shared" si="5"/>
        <v>5978787.5</v>
      </c>
      <c r="I16" s="233"/>
      <c r="J16" s="207" t="str">
        <f t="shared" si="4"/>
        <v>NR</v>
      </c>
      <c r="K16" s="232">
        <f t="shared" si="6"/>
        <v>0</v>
      </c>
      <c r="L16" s="233">
        <f t="shared" si="7"/>
        <v>0</v>
      </c>
      <c r="M16" s="215">
        <f t="shared" si="8"/>
        <v>5978787.5</v>
      </c>
      <c r="N16" s="215">
        <f t="shared" si="9"/>
        <v>0</v>
      </c>
      <c r="O16" s="263"/>
      <c r="P16" s="215"/>
      <c r="Q16" s="215"/>
      <c r="R16" s="232">
        <f t="shared" si="10"/>
        <v>5978787.5</v>
      </c>
      <c r="S16" s="233"/>
    </row>
    <row r="17" spans="1:19" x14ac:dyDescent="0.2">
      <c r="A17" s="251" t="s">
        <v>292</v>
      </c>
      <c r="B17" s="214" t="str">
        <f t="shared" si="0"/>
        <v>Persediaan BBTL</v>
      </c>
      <c r="C17" s="252" t="str">
        <f t="shared" si="1"/>
        <v>D</v>
      </c>
      <c r="D17" s="232">
        <f t="shared" si="2"/>
        <v>1305500</v>
      </c>
      <c r="E17" s="233">
        <f t="shared" si="3"/>
        <v>0</v>
      </c>
      <c r="F17" s="232">
        <f>SUMIF('Jurnal Trans Klausa'!D:D,A:A,'Jurnal Trans Klausa'!F:F)</f>
        <v>-191250</v>
      </c>
      <c r="G17" s="233">
        <f>SUMIF('Jurnal Trans Klausa'!G:G,A:A,'Jurnal Trans Klausa'!I:I)</f>
        <v>0</v>
      </c>
      <c r="H17" s="232">
        <f t="shared" si="5"/>
        <v>1114250</v>
      </c>
      <c r="I17" s="233"/>
      <c r="J17" s="207" t="str">
        <f t="shared" si="4"/>
        <v>NR</v>
      </c>
      <c r="K17" s="232">
        <f t="shared" si="6"/>
        <v>0</v>
      </c>
      <c r="L17" s="233">
        <f t="shared" si="7"/>
        <v>0</v>
      </c>
      <c r="M17" s="215">
        <f t="shared" si="8"/>
        <v>1114250</v>
      </c>
      <c r="N17" s="215">
        <f t="shared" si="9"/>
        <v>0</v>
      </c>
      <c r="O17" s="263"/>
      <c r="P17" s="215"/>
      <c r="Q17" s="215"/>
      <c r="R17" s="232">
        <f t="shared" si="10"/>
        <v>1114250</v>
      </c>
      <c r="S17" s="233"/>
    </row>
    <row r="18" spans="1:19" x14ac:dyDescent="0.2">
      <c r="A18" s="251" t="s">
        <v>287</v>
      </c>
      <c r="B18" s="214" t="str">
        <f t="shared" si="0"/>
        <v>Investasi</v>
      </c>
      <c r="C18" s="252" t="str">
        <f t="shared" si="1"/>
        <v>D</v>
      </c>
      <c r="D18" s="232">
        <f t="shared" si="2"/>
        <v>16885000</v>
      </c>
      <c r="E18" s="233">
        <f t="shared" si="3"/>
        <v>0</v>
      </c>
      <c r="F18" s="232">
        <f>SUMIF('Jurnal Trans Klausa'!D:D,A:A,'Jurnal Trans Klausa'!F:F)</f>
        <v>0</v>
      </c>
      <c r="G18" s="233">
        <f>SUMIF('Jurnal Trans Klausa'!G:G,A:A,'Jurnal Trans Klausa'!I:I)</f>
        <v>3000000</v>
      </c>
      <c r="H18" s="232">
        <f t="shared" si="5"/>
        <v>13885000</v>
      </c>
      <c r="I18" s="233"/>
      <c r="J18" s="207" t="str">
        <f t="shared" si="4"/>
        <v>NR</v>
      </c>
      <c r="K18" s="232">
        <f t="shared" si="6"/>
        <v>0</v>
      </c>
      <c r="L18" s="233">
        <f t="shared" si="7"/>
        <v>0</v>
      </c>
      <c r="M18" s="215">
        <f t="shared" si="8"/>
        <v>13885000</v>
      </c>
      <c r="N18" s="215">
        <f t="shared" si="9"/>
        <v>0</v>
      </c>
      <c r="O18" s="263"/>
      <c r="P18" s="215"/>
      <c r="Q18" s="215"/>
      <c r="R18" s="232">
        <f t="shared" si="10"/>
        <v>13885000</v>
      </c>
      <c r="S18" s="233"/>
    </row>
    <row r="19" spans="1:19" x14ac:dyDescent="0.2">
      <c r="A19" s="251" t="s">
        <v>288</v>
      </c>
      <c r="B19" s="214" t="str">
        <f t="shared" si="0"/>
        <v>Sewa dibayar dimuka</v>
      </c>
      <c r="C19" s="252" t="str">
        <f t="shared" si="1"/>
        <v>D</v>
      </c>
      <c r="D19" s="232">
        <f t="shared" si="2"/>
        <v>23750000</v>
      </c>
      <c r="E19" s="233">
        <f t="shared" si="3"/>
        <v>0</v>
      </c>
      <c r="F19" s="232">
        <f>SUMIF('Jurnal Trans Klausa'!D:D,A:A,'Jurnal Trans Klausa'!F:F)</f>
        <v>0</v>
      </c>
      <c r="G19" s="233">
        <f>SUMIF('Jurnal Trans Klausa'!G:G,A:A,'Jurnal Trans Klausa'!I:I)</f>
        <v>0</v>
      </c>
      <c r="H19" s="232">
        <f t="shared" si="5"/>
        <v>23750000</v>
      </c>
      <c r="I19" s="233"/>
      <c r="J19" s="207" t="str">
        <f t="shared" si="4"/>
        <v>NR</v>
      </c>
      <c r="K19" s="232">
        <f t="shared" si="6"/>
        <v>0</v>
      </c>
      <c r="L19" s="233">
        <f t="shared" si="7"/>
        <v>0</v>
      </c>
      <c r="M19" s="215">
        <f t="shared" si="8"/>
        <v>23750000</v>
      </c>
      <c r="N19" s="215">
        <f t="shared" si="9"/>
        <v>0</v>
      </c>
      <c r="O19" s="263"/>
      <c r="P19" s="215"/>
      <c r="Q19" s="215"/>
      <c r="R19" s="232">
        <f t="shared" si="10"/>
        <v>23750000</v>
      </c>
      <c r="S19" s="233"/>
    </row>
    <row r="20" spans="1:19" x14ac:dyDescent="0.2">
      <c r="A20" s="251" t="s">
        <v>289</v>
      </c>
      <c r="B20" s="214" t="str">
        <f t="shared" si="0"/>
        <v>Akum. Penyusutan Sewa</v>
      </c>
      <c r="C20" s="252" t="str">
        <f t="shared" si="1"/>
        <v>D</v>
      </c>
      <c r="D20" s="232">
        <f t="shared" ref="D20" si="11">VLOOKUP(A20,Saldo,6,FALSE)</f>
        <v>-8000000</v>
      </c>
      <c r="E20" s="233">
        <f t="shared" ref="E20" si="12">VLOOKUP(A20,Saldo,7,FALSE)</f>
        <v>0</v>
      </c>
      <c r="F20" s="232">
        <f>SUMIF('Jurnal Trans Klausa'!D:D,A:A,'Jurnal Trans Klausa'!F:F)</f>
        <v>0</v>
      </c>
      <c r="G20" s="233">
        <f>SUMIF('Jurnal Trans Klausa'!G:G,A:A,'Jurnal Trans Klausa'!I:I)</f>
        <v>2000000</v>
      </c>
      <c r="H20" s="232">
        <f t="shared" ref="H20" si="13">D20-E20+F20-G20</f>
        <v>-10000000</v>
      </c>
      <c r="I20" s="233"/>
      <c r="J20" s="207" t="str">
        <f t="shared" ref="J20" si="14">VLOOKUP(A20,Saldo,4,FALSE)</f>
        <v>NR</v>
      </c>
      <c r="K20" s="232">
        <f t="shared" ref="K20" si="15">IF($J20="LR",H20,0)</f>
        <v>0</v>
      </c>
      <c r="L20" s="233">
        <f t="shared" ref="L20" si="16">IF($J20="LR",I20,0)</f>
        <v>0</v>
      </c>
      <c r="M20" s="215">
        <f t="shared" ref="M20" si="17">IF($J20="NR",H20,0)</f>
        <v>-10000000</v>
      </c>
      <c r="N20" s="215">
        <f t="shared" ref="N20" si="18">IF($J20="NR",I20,0)</f>
        <v>0</v>
      </c>
      <c r="O20" s="263"/>
      <c r="P20" s="215"/>
      <c r="Q20" s="215"/>
      <c r="R20" s="232">
        <f t="shared" ref="R20" si="19">M20-N20+P20-Q20</f>
        <v>-10000000</v>
      </c>
      <c r="S20" s="233"/>
    </row>
    <row r="21" spans="1:19" x14ac:dyDescent="0.2">
      <c r="A21" s="251" t="s">
        <v>35</v>
      </c>
      <c r="B21" s="212" t="s">
        <v>28</v>
      </c>
      <c r="C21" s="239"/>
      <c r="D21" s="230"/>
      <c r="E21" s="231"/>
      <c r="F21" s="230"/>
      <c r="G21" s="231"/>
      <c r="H21" s="232">
        <f t="shared" si="5"/>
        <v>0</v>
      </c>
      <c r="I21" s="231"/>
      <c r="J21" s="212"/>
      <c r="K21" s="230"/>
      <c r="L21" s="231"/>
      <c r="M21" s="213"/>
      <c r="N21" s="213"/>
      <c r="O21" s="262"/>
      <c r="P21" s="213"/>
      <c r="Q21" s="213"/>
      <c r="R21" s="232"/>
      <c r="S21" s="231"/>
    </row>
    <row r="22" spans="1:19" x14ac:dyDescent="0.2">
      <c r="A22" s="251" t="s">
        <v>37</v>
      </c>
      <c r="B22" s="214" t="str">
        <f t="shared" ref="B22:B56" si="20">VLOOKUP(A22,Akun,2,FALSE)</f>
        <v>Peralatan Usaha</v>
      </c>
      <c r="C22" s="252" t="str">
        <f t="shared" ref="C22:C30" si="21">VLOOKUP(A22,Saldo,3,FALSE)</f>
        <v>D</v>
      </c>
      <c r="D22" s="234">
        <f t="shared" ref="D22:D30" si="22">VLOOKUP(A22,Saldo,6,FALSE)</f>
        <v>23024500</v>
      </c>
      <c r="E22" s="235">
        <f t="shared" ref="E22:E30" si="23">VLOOKUP(A22,Saldo,7,FALSE)</f>
        <v>0</v>
      </c>
      <c r="F22" s="232">
        <f>SUMIF('Jurnal Trans Klausa'!D:D,A:A,'Jurnal Trans Klausa'!F:F)</f>
        <v>590000</v>
      </c>
      <c r="G22" s="233">
        <f>SUMIF('Jurnal Trans Klausa'!G:G,A:A,'Jurnal Trans Klausa'!I:I)</f>
        <v>0</v>
      </c>
      <c r="H22" s="232">
        <f t="shared" si="5"/>
        <v>23614500</v>
      </c>
      <c r="I22" s="233"/>
      <c r="J22" s="207" t="str">
        <f t="shared" ref="J22:J30" si="24">VLOOKUP(A22,Saldo,4,FALSE)</f>
        <v>NR</v>
      </c>
      <c r="K22" s="232">
        <f t="shared" ref="K22:K30" si="25">IF($J22="LR",H22,0)</f>
        <v>0</v>
      </c>
      <c r="L22" s="233">
        <f t="shared" ref="L22:L30" si="26">IF($J22="LR",I22,0)</f>
        <v>0</v>
      </c>
      <c r="M22" s="215">
        <f t="shared" ref="M22:M30" si="27">IF($J22="NR",H22,0)</f>
        <v>23614500</v>
      </c>
      <c r="N22" s="215">
        <f t="shared" ref="N22:N30" si="28">IF($J22="NR",I22,0)</f>
        <v>0</v>
      </c>
      <c r="O22" s="263"/>
      <c r="P22" s="215"/>
      <c r="Q22" s="215"/>
      <c r="R22" s="232">
        <f t="shared" si="10"/>
        <v>23614500</v>
      </c>
      <c r="S22" s="233"/>
    </row>
    <row r="23" spans="1:19" x14ac:dyDescent="0.2">
      <c r="A23" s="251" t="s">
        <v>39</v>
      </c>
      <c r="B23" s="214" t="str">
        <f t="shared" si="20"/>
        <v>Perlengkapan</v>
      </c>
      <c r="C23" s="252" t="str">
        <f t="shared" si="21"/>
        <v>D</v>
      </c>
      <c r="D23" s="234">
        <f t="shared" si="22"/>
        <v>530000</v>
      </c>
      <c r="E23" s="231">
        <f t="shared" si="23"/>
        <v>0</v>
      </c>
      <c r="F23" s="232">
        <f>SUMIF('Jurnal Trans Klausa'!D:D,A:A,'Jurnal Trans Klausa'!F:F)</f>
        <v>100000</v>
      </c>
      <c r="G23" s="233">
        <f>SUMIF('Jurnal Trans Klausa'!G:G,A:A,'Jurnal Trans Klausa'!I:I)</f>
        <v>0</v>
      </c>
      <c r="H23" s="232">
        <f t="shared" si="5"/>
        <v>630000</v>
      </c>
      <c r="I23" s="233"/>
      <c r="J23" s="207" t="str">
        <f t="shared" si="24"/>
        <v>NR</v>
      </c>
      <c r="K23" s="232">
        <f t="shared" si="25"/>
        <v>0</v>
      </c>
      <c r="L23" s="233">
        <f t="shared" si="26"/>
        <v>0</v>
      </c>
      <c r="M23" s="215">
        <f t="shared" si="27"/>
        <v>630000</v>
      </c>
      <c r="N23" s="215">
        <f t="shared" si="28"/>
        <v>0</v>
      </c>
      <c r="O23" s="263"/>
      <c r="P23" s="215"/>
      <c r="Q23" s="215"/>
      <c r="R23" s="232">
        <f t="shared" si="10"/>
        <v>630000</v>
      </c>
      <c r="S23" s="233"/>
    </row>
    <row r="24" spans="1:19" x14ac:dyDescent="0.2">
      <c r="A24" s="251" t="s">
        <v>293</v>
      </c>
      <c r="B24" s="214" t="str">
        <f t="shared" si="20"/>
        <v>Bangunan</v>
      </c>
      <c r="C24" s="252" t="str">
        <f t="shared" si="21"/>
        <v>D</v>
      </c>
      <c r="D24" s="234">
        <f t="shared" si="22"/>
        <v>0</v>
      </c>
      <c r="E24" s="235">
        <f t="shared" si="23"/>
        <v>0</v>
      </c>
      <c r="F24" s="232">
        <f>SUMIF('Jurnal Trans Klausa'!D:D,A:A,'Jurnal Trans Klausa'!F:F)</f>
        <v>0</v>
      </c>
      <c r="G24" s="233">
        <f>SUMIF('Jurnal Trans Klausa'!G:G,A:A,'Jurnal Trans Klausa'!I:I)</f>
        <v>0</v>
      </c>
      <c r="H24" s="232">
        <f t="shared" si="5"/>
        <v>0</v>
      </c>
      <c r="I24" s="233"/>
      <c r="J24" s="207" t="str">
        <f t="shared" si="24"/>
        <v>NR</v>
      </c>
      <c r="K24" s="232">
        <f t="shared" si="25"/>
        <v>0</v>
      </c>
      <c r="L24" s="233">
        <f t="shared" si="26"/>
        <v>0</v>
      </c>
      <c r="M24" s="215">
        <f t="shared" si="27"/>
        <v>0</v>
      </c>
      <c r="N24" s="215">
        <f t="shared" si="28"/>
        <v>0</v>
      </c>
      <c r="O24" s="263"/>
      <c r="P24" s="215"/>
      <c r="Q24" s="215"/>
      <c r="R24" s="232">
        <f t="shared" si="10"/>
        <v>0</v>
      </c>
      <c r="S24" s="233"/>
    </row>
    <row r="25" spans="1:19" x14ac:dyDescent="0.2">
      <c r="A25" s="251" t="s">
        <v>294</v>
      </c>
      <c r="B25" s="214" t="str">
        <f t="shared" si="20"/>
        <v>Kendaraan</v>
      </c>
      <c r="C25" s="252" t="str">
        <f t="shared" si="21"/>
        <v>D</v>
      </c>
      <c r="D25" s="234">
        <f t="shared" si="22"/>
        <v>10855000</v>
      </c>
      <c r="E25" s="235">
        <f t="shared" si="23"/>
        <v>0</v>
      </c>
      <c r="F25" s="232">
        <f>SUMIF('Jurnal Trans Klausa'!D:D,A:A,'Jurnal Trans Klausa'!F:F)</f>
        <v>0</v>
      </c>
      <c r="G25" s="233">
        <f>SUMIF('Jurnal Trans Klausa'!G:G,A:A,'Jurnal Trans Klausa'!I:I)</f>
        <v>0</v>
      </c>
      <c r="H25" s="232">
        <f t="shared" si="5"/>
        <v>10855000</v>
      </c>
      <c r="I25" s="233"/>
      <c r="J25" s="207" t="str">
        <f t="shared" si="24"/>
        <v>NR</v>
      </c>
      <c r="K25" s="232">
        <f t="shared" si="25"/>
        <v>0</v>
      </c>
      <c r="L25" s="233">
        <f t="shared" si="26"/>
        <v>0</v>
      </c>
      <c r="M25" s="215">
        <f t="shared" si="27"/>
        <v>10855000</v>
      </c>
      <c r="N25" s="215">
        <f t="shared" si="28"/>
        <v>0</v>
      </c>
      <c r="O25" s="263"/>
      <c r="P25" s="215"/>
      <c r="Q25" s="215"/>
      <c r="R25" s="232">
        <f t="shared" si="10"/>
        <v>10855000</v>
      </c>
      <c r="S25" s="233"/>
    </row>
    <row r="26" spans="1:19" x14ac:dyDescent="0.2">
      <c r="A26" s="251" t="s">
        <v>295</v>
      </c>
      <c r="B26" s="214" t="str">
        <f t="shared" si="20"/>
        <v>Kepemilikan Merek</v>
      </c>
      <c r="C26" s="252" t="str">
        <f t="shared" si="21"/>
        <v>D</v>
      </c>
      <c r="D26" s="234">
        <f t="shared" si="22"/>
        <v>2150000</v>
      </c>
      <c r="E26" s="231">
        <f t="shared" si="23"/>
        <v>0</v>
      </c>
      <c r="F26" s="232">
        <f>SUMIF('Jurnal Trans Klausa'!D:D,A:A,'Jurnal Trans Klausa'!F:F)</f>
        <v>0</v>
      </c>
      <c r="G26" s="233">
        <f>SUMIF('Jurnal Trans Klausa'!G:G,A:A,'Jurnal Trans Klausa'!I:I)</f>
        <v>0</v>
      </c>
      <c r="H26" s="232">
        <f t="shared" si="5"/>
        <v>2150000</v>
      </c>
      <c r="I26" s="233"/>
      <c r="J26" s="207" t="str">
        <f t="shared" si="24"/>
        <v>NR</v>
      </c>
      <c r="K26" s="232">
        <f t="shared" si="25"/>
        <v>0</v>
      </c>
      <c r="L26" s="233">
        <f t="shared" si="26"/>
        <v>0</v>
      </c>
      <c r="M26" s="215">
        <f t="shared" si="27"/>
        <v>2150000</v>
      </c>
      <c r="N26" s="215">
        <f t="shared" si="28"/>
        <v>0</v>
      </c>
      <c r="O26" s="263"/>
      <c r="P26" s="215"/>
      <c r="Q26" s="215"/>
      <c r="R26" s="232">
        <f t="shared" si="10"/>
        <v>2150000</v>
      </c>
      <c r="S26" s="233"/>
    </row>
    <row r="27" spans="1:19" x14ac:dyDescent="0.2">
      <c r="A27" s="251" t="s">
        <v>296</v>
      </c>
      <c r="B27" s="214" t="str">
        <f t="shared" si="20"/>
        <v>Akum. Penyusutan Peralatan</v>
      </c>
      <c r="C27" s="252" t="str">
        <f t="shared" si="21"/>
        <v>K</v>
      </c>
      <c r="D27" s="232">
        <f t="shared" si="22"/>
        <v>-4100000</v>
      </c>
      <c r="E27" s="233">
        <f t="shared" si="23"/>
        <v>0</v>
      </c>
      <c r="F27" s="232">
        <f>SUMIF('Jurnal Trans Klausa'!D:D,A:A,'Jurnal Trans Klausa'!F:F)</f>
        <v>0</v>
      </c>
      <c r="G27" s="233">
        <f>SUMIF('Jurnal Trans Klausa'!G:G,A:A,'Jurnal Trans Klausa'!I:I)</f>
        <v>1300000</v>
      </c>
      <c r="H27" s="232">
        <f t="shared" si="5"/>
        <v>-5400000</v>
      </c>
      <c r="I27" s="233"/>
      <c r="J27" s="207" t="str">
        <f t="shared" si="24"/>
        <v>NR</v>
      </c>
      <c r="K27" s="232">
        <f t="shared" si="25"/>
        <v>0</v>
      </c>
      <c r="L27" s="233">
        <f t="shared" si="26"/>
        <v>0</v>
      </c>
      <c r="M27" s="215">
        <f t="shared" si="27"/>
        <v>-5400000</v>
      </c>
      <c r="N27" s="215">
        <f t="shared" si="28"/>
        <v>0</v>
      </c>
      <c r="O27" s="263"/>
      <c r="P27" s="215"/>
      <c r="Q27" s="215"/>
      <c r="R27" s="232">
        <f t="shared" si="10"/>
        <v>-5400000</v>
      </c>
      <c r="S27" s="233"/>
    </row>
    <row r="28" spans="1:19" x14ac:dyDescent="0.2">
      <c r="A28" s="251" t="s">
        <v>297</v>
      </c>
      <c r="B28" s="214" t="str">
        <f t="shared" si="20"/>
        <v>Akum. Penyusutan Perlengkapan</v>
      </c>
      <c r="C28" s="252" t="str">
        <f t="shared" si="21"/>
        <v>K</v>
      </c>
      <c r="D28" s="232">
        <f t="shared" si="22"/>
        <v>-240000</v>
      </c>
      <c r="E28" s="233">
        <f t="shared" si="23"/>
        <v>0</v>
      </c>
      <c r="F28" s="232">
        <f>SUMIF('Jurnal Trans Klausa'!D:D,A:A,'Jurnal Trans Klausa'!F:F)</f>
        <v>0</v>
      </c>
      <c r="G28" s="233">
        <f>SUMIF('Jurnal Trans Klausa'!G:G,A:A,'Jurnal Trans Klausa'!I:I)</f>
        <v>30000</v>
      </c>
      <c r="H28" s="232">
        <f t="shared" si="5"/>
        <v>-270000</v>
      </c>
      <c r="I28" s="233"/>
      <c r="J28" s="207" t="str">
        <f t="shared" si="24"/>
        <v>NR</v>
      </c>
      <c r="K28" s="232">
        <f t="shared" si="25"/>
        <v>0</v>
      </c>
      <c r="L28" s="233">
        <f t="shared" si="26"/>
        <v>0</v>
      </c>
      <c r="M28" s="215">
        <f t="shared" si="27"/>
        <v>-270000</v>
      </c>
      <c r="N28" s="215">
        <f t="shared" si="28"/>
        <v>0</v>
      </c>
      <c r="O28" s="263"/>
      <c r="P28" s="215"/>
      <c r="Q28" s="215"/>
      <c r="R28" s="232">
        <f t="shared" si="10"/>
        <v>-270000</v>
      </c>
      <c r="S28" s="233"/>
    </row>
    <row r="29" spans="1:19" x14ac:dyDescent="0.2">
      <c r="A29" s="251" t="s">
        <v>298</v>
      </c>
      <c r="B29" s="214" t="str">
        <f t="shared" si="20"/>
        <v>Akum. Penyusutan Bangunan</v>
      </c>
      <c r="C29" s="252" t="str">
        <f t="shared" si="21"/>
        <v>K</v>
      </c>
      <c r="D29" s="230">
        <f t="shared" si="22"/>
        <v>0</v>
      </c>
      <c r="E29" s="231">
        <f t="shared" si="23"/>
        <v>0</v>
      </c>
      <c r="F29" s="232">
        <f>SUMIF('Jurnal Trans Klausa'!D:D,A:A,'Jurnal Trans Klausa'!F:F)</f>
        <v>0</v>
      </c>
      <c r="G29" s="233">
        <f>SUMIF('Jurnal Trans Klausa'!G:G,A:A,'Jurnal Trans Klausa'!I:I)</f>
        <v>0</v>
      </c>
      <c r="H29" s="232">
        <f t="shared" si="5"/>
        <v>0</v>
      </c>
      <c r="I29" s="233"/>
      <c r="J29" s="207" t="str">
        <f t="shared" si="24"/>
        <v>NR</v>
      </c>
      <c r="K29" s="232">
        <f t="shared" si="25"/>
        <v>0</v>
      </c>
      <c r="L29" s="233">
        <f t="shared" si="26"/>
        <v>0</v>
      </c>
      <c r="M29" s="215">
        <f t="shared" si="27"/>
        <v>0</v>
      </c>
      <c r="N29" s="215">
        <f t="shared" si="28"/>
        <v>0</v>
      </c>
      <c r="O29" s="263"/>
      <c r="P29" s="215"/>
      <c r="Q29" s="215"/>
      <c r="R29" s="232">
        <f t="shared" si="10"/>
        <v>0</v>
      </c>
      <c r="S29" s="233"/>
    </row>
    <row r="30" spans="1:19" x14ac:dyDescent="0.2">
      <c r="A30" s="251" t="s">
        <v>299</v>
      </c>
      <c r="B30" s="214" t="str">
        <f t="shared" si="20"/>
        <v>Akum. Penyusutan Kendaraan</v>
      </c>
      <c r="C30" s="252" t="str">
        <f t="shared" si="21"/>
        <v>K</v>
      </c>
      <c r="D30" s="232">
        <f t="shared" si="22"/>
        <v>-1800000</v>
      </c>
      <c r="E30" s="233">
        <f t="shared" si="23"/>
        <v>0</v>
      </c>
      <c r="F30" s="232">
        <f>SUMIF('Jurnal Trans Klausa'!D:D,A:A,'Jurnal Trans Klausa'!F:F)</f>
        <v>0</v>
      </c>
      <c r="G30" s="233">
        <f>SUMIF('Jurnal Trans Klausa'!G:G,A:A,'Jurnal Trans Klausa'!I:I)</f>
        <v>450000</v>
      </c>
      <c r="H30" s="232">
        <f t="shared" si="5"/>
        <v>-2250000</v>
      </c>
      <c r="I30" s="233"/>
      <c r="J30" s="207" t="str">
        <f t="shared" si="24"/>
        <v>NR</v>
      </c>
      <c r="K30" s="232">
        <f t="shared" si="25"/>
        <v>0</v>
      </c>
      <c r="L30" s="233">
        <f t="shared" si="26"/>
        <v>0</v>
      </c>
      <c r="M30" s="215">
        <f t="shared" si="27"/>
        <v>-2250000</v>
      </c>
      <c r="N30" s="215">
        <f t="shared" si="28"/>
        <v>0</v>
      </c>
      <c r="O30" s="263"/>
      <c r="P30" s="215"/>
      <c r="Q30" s="215"/>
      <c r="R30" s="232">
        <f t="shared" si="10"/>
        <v>-2250000</v>
      </c>
      <c r="S30" s="233"/>
    </row>
    <row r="31" spans="1:19" x14ac:dyDescent="0.2">
      <c r="A31" s="251" t="s">
        <v>40</v>
      </c>
      <c r="B31" s="211" t="str">
        <f t="shared" si="20"/>
        <v>KEWAJIBAN</v>
      </c>
      <c r="C31" s="237"/>
      <c r="D31" s="236"/>
      <c r="E31" s="237"/>
      <c r="F31" s="236"/>
      <c r="G31" s="237"/>
      <c r="H31" s="236"/>
      <c r="I31" s="237"/>
      <c r="J31" s="211"/>
      <c r="K31" s="236"/>
      <c r="L31" s="237"/>
      <c r="M31" s="211"/>
      <c r="N31" s="211"/>
      <c r="O31" s="264"/>
      <c r="P31" s="211"/>
      <c r="Q31" s="211"/>
      <c r="R31" s="236"/>
      <c r="S31" s="237"/>
    </row>
    <row r="32" spans="1:19" x14ac:dyDescent="0.2">
      <c r="A32" s="251" t="s">
        <v>42</v>
      </c>
      <c r="B32" s="212" t="str">
        <f t="shared" si="20"/>
        <v>KEWAJIBAN LANCAR</v>
      </c>
      <c r="C32" s="239"/>
      <c r="D32" s="238"/>
      <c r="E32" s="239"/>
      <c r="F32" s="238"/>
      <c r="G32" s="239"/>
      <c r="H32" s="238"/>
      <c r="I32" s="239"/>
      <c r="J32" s="212"/>
      <c r="K32" s="238"/>
      <c r="L32" s="239"/>
      <c r="M32" s="212"/>
      <c r="N32" s="212"/>
      <c r="O32" s="264"/>
      <c r="P32" s="212"/>
      <c r="Q32" s="212"/>
      <c r="R32" s="238"/>
      <c r="S32" s="239"/>
    </row>
    <row r="33" spans="1:21" x14ac:dyDescent="0.2">
      <c r="A33" s="251" t="s">
        <v>300</v>
      </c>
      <c r="B33" s="214" t="str">
        <f t="shared" si="20"/>
        <v>Hutang Lancar</v>
      </c>
      <c r="C33" s="252" t="str">
        <f>VLOOKUP(A33,Saldo,3,FALSE)</f>
        <v>K</v>
      </c>
      <c r="D33" s="232">
        <f>VLOOKUP(A33,Saldo,6,FALSE)</f>
        <v>0</v>
      </c>
      <c r="E33" s="233">
        <f>VLOOKUP(A33,Saldo,7,FALSE)</f>
        <v>0</v>
      </c>
      <c r="F33" s="232">
        <f>SUMIF('Jurnal Trans Klausa'!D:D,A:A,'Jurnal Trans Klausa'!F:F)</f>
        <v>0</v>
      </c>
      <c r="G33" s="233">
        <f>SUMIF('Jurnal Trans Klausa'!G:G,A:A,'Jurnal Trans Klausa'!I:I)</f>
        <v>0</v>
      </c>
      <c r="H33" s="232">
        <f>D33-E33+F33-G33</f>
        <v>0</v>
      </c>
      <c r="I33" s="233"/>
      <c r="J33" s="207" t="str">
        <f>VLOOKUP(A33,Saldo,4,FALSE)</f>
        <v>NR</v>
      </c>
      <c r="K33" s="232">
        <f>IF($J33="LR",H33,0)</f>
        <v>0</v>
      </c>
      <c r="L33" s="233">
        <f>IF($J33="LR",I33,0)</f>
        <v>0</v>
      </c>
      <c r="M33" s="215">
        <f>IF($J33="NR",H33,0)</f>
        <v>0</v>
      </c>
      <c r="N33" s="215">
        <f>IF($J33="NR",I33,0)</f>
        <v>0</v>
      </c>
      <c r="O33" s="263"/>
      <c r="P33" s="215"/>
      <c r="Q33" s="215"/>
      <c r="R33" s="232"/>
      <c r="S33" s="233">
        <f>-M33+N33-P33+Q33</f>
        <v>0</v>
      </c>
    </row>
    <row r="34" spans="1:21" x14ac:dyDescent="0.2">
      <c r="A34" s="306" t="s">
        <v>43</v>
      </c>
      <c r="B34" s="212" t="str">
        <f t="shared" si="20"/>
        <v>INVESTASI OBLIGASI</v>
      </c>
      <c r="C34" s="252"/>
      <c r="D34" s="238"/>
      <c r="E34" s="239"/>
      <c r="F34" s="238"/>
      <c r="G34" s="239"/>
      <c r="H34" s="238"/>
      <c r="I34" s="239"/>
      <c r="J34" s="212"/>
      <c r="K34" s="238"/>
      <c r="L34" s="239"/>
      <c r="M34" s="212"/>
      <c r="N34" s="212"/>
      <c r="O34" s="264"/>
      <c r="P34" s="212"/>
      <c r="Q34" s="212"/>
      <c r="R34" s="238"/>
      <c r="S34" s="239"/>
    </row>
    <row r="35" spans="1:21" x14ac:dyDescent="0.2">
      <c r="A35" s="251" t="s">
        <v>301</v>
      </c>
      <c r="B35" s="214" t="str">
        <f t="shared" si="20"/>
        <v>Investasi Pak Irfan</v>
      </c>
      <c r="C35" s="252" t="str">
        <f>VLOOKUP(A35,Saldo,3,FALSE)</f>
        <v>K</v>
      </c>
      <c r="D35" s="232">
        <f>VLOOKUP(A35,Saldo,6,FALSE)</f>
        <v>0</v>
      </c>
      <c r="E35" s="233">
        <f>VLOOKUP(A35,Saldo,7,FALSE)</f>
        <v>15000000</v>
      </c>
      <c r="F35" s="232">
        <f>SUMIF('Jurnal Trans Klausa'!D:D,A:A,'Jurnal Trans Klausa'!F:F)</f>
        <v>0</v>
      </c>
      <c r="G35" s="233">
        <f>SUMIF('Jurnal Trans Klausa'!G:G,A:A,'Jurnal Trans Klausa'!I:I)</f>
        <v>0</v>
      </c>
      <c r="H35" s="232"/>
      <c r="I35" s="233">
        <f>E35+G35-D35-F35</f>
        <v>15000000</v>
      </c>
      <c r="J35" s="207" t="str">
        <f>VLOOKUP(A35,Saldo,4,FALSE)</f>
        <v>NR</v>
      </c>
      <c r="K35" s="232">
        <f>IF($J35="LR",H35,0)</f>
        <v>0</v>
      </c>
      <c r="L35" s="233">
        <f>IF($J35="LR",I35,0)</f>
        <v>0</v>
      </c>
      <c r="M35" s="215">
        <f>IF($J35="NR",H35,0)</f>
        <v>0</v>
      </c>
      <c r="N35" s="215">
        <f>IF($J35="NR",I35,0)</f>
        <v>15000000</v>
      </c>
      <c r="O35" s="263"/>
      <c r="P35" s="215"/>
      <c r="Q35" s="215"/>
      <c r="R35" s="232"/>
      <c r="S35" s="233">
        <f>-M35+N35-P35+Q35</f>
        <v>15000000</v>
      </c>
    </row>
    <row r="36" spans="1:21" x14ac:dyDescent="0.2">
      <c r="A36" s="251" t="s">
        <v>302</v>
      </c>
      <c r="B36" s="214" t="str">
        <f t="shared" si="20"/>
        <v>Investasi Pak Paijo</v>
      </c>
      <c r="C36" s="252" t="str">
        <f>VLOOKUP(A36,Saldo,3,FALSE)</f>
        <v>K</v>
      </c>
      <c r="D36" s="232">
        <f>VLOOKUP(A36,Saldo,6,FALSE)</f>
        <v>0</v>
      </c>
      <c r="E36" s="233">
        <f>VLOOKUP(A36,Saldo,7,FALSE)</f>
        <v>5000000</v>
      </c>
      <c r="F36" s="232">
        <f>SUMIF('Jurnal Trans Klausa'!D:D,A:A,'Jurnal Trans Klausa'!F:F)</f>
        <v>0</v>
      </c>
      <c r="G36" s="233">
        <f>SUMIF('Jurnal Trans Klausa'!G:G,A:A,'Jurnal Trans Klausa'!I:I)</f>
        <v>0</v>
      </c>
      <c r="H36" s="232"/>
      <c r="I36" s="233">
        <f t="shared" ref="I36:I37" si="29">E36+G36-D36-F36</f>
        <v>5000000</v>
      </c>
      <c r="J36" s="207" t="str">
        <f>VLOOKUP(A36,Saldo,4,FALSE)</f>
        <v>NR</v>
      </c>
      <c r="K36" s="232">
        <f t="shared" ref="K36:K37" si="30">IF($J36="LR",H36,0)</f>
        <v>0</v>
      </c>
      <c r="L36" s="233">
        <f t="shared" ref="L36:L37" si="31">IF($J36="LR",I36,0)</f>
        <v>0</v>
      </c>
      <c r="M36" s="215">
        <f t="shared" ref="M36:M37" si="32">IF($J36="NR",H36,0)</f>
        <v>0</v>
      </c>
      <c r="N36" s="215">
        <f t="shared" ref="N36:N37" si="33">IF($J36="NR",I36,0)</f>
        <v>5000000</v>
      </c>
      <c r="O36" s="263"/>
      <c r="P36" s="215"/>
      <c r="Q36" s="215"/>
      <c r="R36" s="232"/>
      <c r="S36" s="233">
        <f t="shared" ref="S36:S37" si="34">-M36+N36-P36+Q36</f>
        <v>5000000</v>
      </c>
    </row>
    <row r="37" spans="1:21" x14ac:dyDescent="0.2">
      <c r="A37" s="251" t="s">
        <v>303</v>
      </c>
      <c r="B37" s="214" t="str">
        <f t="shared" si="20"/>
        <v>Investasi Mas ghofur</v>
      </c>
      <c r="C37" s="252" t="str">
        <f>VLOOKUP(A37,Saldo,3,FALSE)</f>
        <v>K</v>
      </c>
      <c r="D37" s="232">
        <f>VLOOKUP(A37,Saldo,6,FALSE)</f>
        <v>0</v>
      </c>
      <c r="E37" s="233">
        <f>VLOOKUP(A37,Saldo,7,FALSE)</f>
        <v>10000000</v>
      </c>
      <c r="F37" s="232">
        <f>SUMIF('Jurnal Trans Klausa'!D:D,A:A,'Jurnal Trans Klausa'!F:F)</f>
        <v>0</v>
      </c>
      <c r="G37" s="233">
        <f>SUMIF('Jurnal Trans Klausa'!G:G,A:A,'Jurnal Trans Klausa'!I:I)</f>
        <v>0</v>
      </c>
      <c r="H37" s="232"/>
      <c r="I37" s="233">
        <f t="shared" si="29"/>
        <v>10000000</v>
      </c>
      <c r="J37" s="207" t="str">
        <f>VLOOKUP(A37,Saldo,4,FALSE)</f>
        <v>NR</v>
      </c>
      <c r="K37" s="232">
        <f t="shared" si="30"/>
        <v>0</v>
      </c>
      <c r="L37" s="233">
        <f t="shared" si="31"/>
        <v>0</v>
      </c>
      <c r="M37" s="215">
        <f t="shared" si="32"/>
        <v>0</v>
      </c>
      <c r="N37" s="215">
        <f t="shared" si="33"/>
        <v>10000000</v>
      </c>
      <c r="O37" s="263"/>
      <c r="P37" s="215"/>
      <c r="Q37" s="215"/>
      <c r="R37" s="232"/>
      <c r="S37" s="233">
        <f t="shared" si="34"/>
        <v>10000000</v>
      </c>
    </row>
    <row r="38" spans="1:21" x14ac:dyDescent="0.2">
      <c r="A38" s="251" t="s">
        <v>44</v>
      </c>
      <c r="B38" s="211" t="str">
        <f t="shared" si="20"/>
        <v>EKUITAS</v>
      </c>
      <c r="C38" s="237"/>
      <c r="D38" s="236"/>
      <c r="E38" s="237"/>
      <c r="F38" s="236"/>
      <c r="G38" s="237"/>
      <c r="H38" s="236"/>
      <c r="I38" s="233"/>
      <c r="J38" s="211"/>
      <c r="K38" s="236"/>
      <c r="L38" s="237"/>
      <c r="M38" s="211"/>
      <c r="N38" s="211"/>
      <c r="O38" s="264"/>
      <c r="P38" s="211"/>
      <c r="Q38" s="211"/>
      <c r="R38" s="236"/>
      <c r="S38" s="237"/>
    </row>
    <row r="39" spans="1:21" x14ac:dyDescent="0.2">
      <c r="A39" s="251" t="s">
        <v>491</v>
      </c>
      <c r="B39" s="214" t="str">
        <f t="shared" si="20"/>
        <v>Saham Aris</v>
      </c>
      <c r="C39" s="252" t="str">
        <f t="shared" ref="C39:C47" si="35">VLOOKUP(A39,Saldo,3,FALSE)</f>
        <v>K</v>
      </c>
      <c r="D39" s="232">
        <f t="shared" ref="D39:D47" si="36">VLOOKUP(A39,Saldo,6,FALSE)</f>
        <v>0</v>
      </c>
      <c r="E39" s="233">
        <f t="shared" ref="E39:E47" si="37">VLOOKUP(A39,Saldo,7,FALSE)</f>
        <v>63266831.304162428</v>
      </c>
      <c r="F39" s="232">
        <f>SUMIF('Jurnal Trans Klausa'!D:D,A:A,'Jurnal Trans Klausa'!F:F)</f>
        <v>0</v>
      </c>
      <c r="G39" s="233">
        <f>SUMIF('Jurnal Trans Klausa'!G:G,A:A,'Jurnal Trans Klausa'!I:I)</f>
        <v>0</v>
      </c>
      <c r="H39" s="232"/>
      <c r="I39" s="233">
        <f t="shared" ref="I39:I47" si="38">E39+G39-D39-F39</f>
        <v>63266831.304162428</v>
      </c>
      <c r="J39" s="207" t="str">
        <f t="shared" ref="J39:J47" si="39">VLOOKUP(A39,Saldo,4,FALSE)</f>
        <v>NR</v>
      </c>
      <c r="K39" s="232">
        <f t="shared" ref="K39:L47" si="40">IF($J39="LR",H39,0)</f>
        <v>0</v>
      </c>
      <c r="L39" s="233">
        <f t="shared" si="40"/>
        <v>0</v>
      </c>
      <c r="M39" s="215">
        <f t="shared" ref="M39:N47" si="41">IF($J39="NR",H39,0)</f>
        <v>0</v>
      </c>
      <c r="N39" s="215">
        <f t="shared" si="41"/>
        <v>63266831.304162428</v>
      </c>
      <c r="O39" s="521">
        <f>E39/SUM(E39:E42)</f>
        <v>0.75108382677265406</v>
      </c>
      <c r="P39" s="215"/>
      <c r="Q39" s="215">
        <f>O39*$P$82</f>
        <v>676914.76830624626</v>
      </c>
      <c r="R39" s="232"/>
      <c r="S39" s="233">
        <f t="shared" ref="S39:S47" si="42">-M39+N39-P39+Q39</f>
        <v>63943746.072468676</v>
      </c>
    </row>
    <row r="40" spans="1:21" x14ac:dyDescent="0.2">
      <c r="A40" s="251" t="s">
        <v>492</v>
      </c>
      <c r="B40" s="214" t="str">
        <f t="shared" si="20"/>
        <v>Saham Indra</v>
      </c>
      <c r="C40" s="252" t="str">
        <f t="shared" si="35"/>
        <v>K</v>
      </c>
      <c r="D40" s="232">
        <f t="shared" si="36"/>
        <v>0</v>
      </c>
      <c r="E40" s="233">
        <f t="shared" si="37"/>
        <v>2380762.3839631658</v>
      </c>
      <c r="F40" s="232">
        <f>SUMIF('Jurnal Trans Klausa'!D:D,A:A,'Jurnal Trans Klausa'!F:F)</f>
        <v>0</v>
      </c>
      <c r="G40" s="233">
        <f>SUMIF('Jurnal Trans Klausa'!G:G,A:A,'Jurnal Trans Klausa'!I:I)</f>
        <v>0</v>
      </c>
      <c r="H40" s="232"/>
      <c r="I40" s="233">
        <f t="shared" si="38"/>
        <v>2380762.3839631658</v>
      </c>
      <c r="J40" s="207" t="str">
        <f t="shared" si="39"/>
        <v>NR</v>
      </c>
      <c r="K40" s="232">
        <f t="shared" si="40"/>
        <v>0</v>
      </c>
      <c r="L40" s="233">
        <f t="shared" si="40"/>
        <v>0</v>
      </c>
      <c r="M40" s="215">
        <f t="shared" si="41"/>
        <v>0</v>
      </c>
      <c r="N40" s="215">
        <f t="shared" si="41"/>
        <v>2380762.3839631658</v>
      </c>
      <c r="O40" s="521">
        <f>E40/SUM(E39:E42)</f>
        <v>2.8263658620528952E-2</v>
      </c>
      <c r="P40" s="215"/>
      <c r="Q40" s="215">
        <f t="shared" ref="Q40:Q44" si="43">O40*$P$82</f>
        <v>25472.639996538357</v>
      </c>
      <c r="R40" s="232"/>
      <c r="S40" s="233">
        <f t="shared" si="42"/>
        <v>2406235.0239597042</v>
      </c>
      <c r="U40" s="26"/>
    </row>
    <row r="41" spans="1:21" x14ac:dyDescent="0.2">
      <c r="A41" s="251" t="s">
        <v>493</v>
      </c>
      <c r="B41" s="214" t="str">
        <f t="shared" si="20"/>
        <v>Saham Wildan</v>
      </c>
      <c r="C41" s="252" t="str">
        <f>VLOOKUP(A41,Saldo,3,FALSE)</f>
        <v>K</v>
      </c>
      <c r="D41" s="232">
        <f t="shared" si="36"/>
        <v>0</v>
      </c>
      <c r="E41" s="233">
        <f t="shared" si="37"/>
        <v>11961306.852764826</v>
      </c>
      <c r="F41" s="232">
        <f>SUMIF('Jurnal Trans Klausa'!D:D,A:A,'Jurnal Trans Klausa'!F:F)</f>
        <v>0</v>
      </c>
      <c r="G41" s="233">
        <f>SUMIF('Jurnal Trans Klausa'!G:G,A:A,'Jurnal Trans Klausa'!I:I)</f>
        <v>0</v>
      </c>
      <c r="H41" s="232"/>
      <c r="I41" s="233">
        <f t="shared" si="38"/>
        <v>11961306.852764826</v>
      </c>
      <c r="J41" s="207" t="str">
        <f t="shared" si="39"/>
        <v>NR</v>
      </c>
      <c r="K41" s="232">
        <f t="shared" si="40"/>
        <v>0</v>
      </c>
      <c r="L41" s="233">
        <f t="shared" si="40"/>
        <v>0</v>
      </c>
      <c r="M41" s="215">
        <f t="shared" si="41"/>
        <v>0</v>
      </c>
      <c r="N41" s="215">
        <f t="shared" si="41"/>
        <v>11961306.852764826</v>
      </c>
      <c r="O41" s="521">
        <f>E41/SUM(E39:E42)</f>
        <v>0.14200085477626107</v>
      </c>
      <c r="P41" s="215"/>
      <c r="Q41" s="215">
        <f t="shared" si="43"/>
        <v>127978.35911763951</v>
      </c>
      <c r="R41" s="232"/>
      <c r="S41" s="233">
        <f t="shared" si="42"/>
        <v>12089285.211882466</v>
      </c>
    </row>
    <row r="42" spans="1:21" x14ac:dyDescent="0.2">
      <c r="A42" s="251" t="s">
        <v>494</v>
      </c>
      <c r="B42" s="214" t="str">
        <f t="shared" ref="B42:B44" si="44">VLOOKUP(A42,Akun,2,FALSE)</f>
        <v>Saham Keluarga</v>
      </c>
      <c r="C42" s="252" t="str">
        <f t="shared" ref="C42:C44" si="45">VLOOKUP(A42,Saldo,3,FALSE)</f>
        <v>K</v>
      </c>
      <c r="D42" s="232">
        <f t="shared" ref="D42:D44" si="46">VLOOKUP(A42,Saldo,6,FALSE)</f>
        <v>0</v>
      </c>
      <c r="E42" s="233">
        <f t="shared" ref="E42:E44" si="47">VLOOKUP(A42,Saldo,7,FALSE)</f>
        <v>6625147.7091096267</v>
      </c>
      <c r="F42" s="232">
        <f>SUMIF('Jurnal Trans Klausa'!D:D,A:A,'Jurnal Trans Klausa'!F:F)</f>
        <v>0</v>
      </c>
      <c r="G42" s="233">
        <f>SUMIF('Jurnal Trans Klausa'!G:G,A:A,'Jurnal Trans Klausa'!I:I)</f>
        <v>0</v>
      </c>
      <c r="H42" s="232"/>
      <c r="I42" s="233">
        <f t="shared" ref="I42:I44" si="48">E42+G42-D42-F42</f>
        <v>6625147.7091096267</v>
      </c>
      <c r="J42" s="207" t="str">
        <f t="shared" ref="J42:J44" si="49">VLOOKUP(A42,Saldo,4,FALSE)</f>
        <v>NR</v>
      </c>
      <c r="K42" s="232">
        <f t="shared" ref="K42:K44" si="50">IF($J42="LR",H42,0)</f>
        <v>0</v>
      </c>
      <c r="L42" s="233">
        <f t="shared" ref="L42:L44" si="51">IF($J42="LR",I42,0)</f>
        <v>0</v>
      </c>
      <c r="M42" s="215">
        <f t="shared" ref="M42:M44" si="52">IF($J42="NR",H42,0)</f>
        <v>0</v>
      </c>
      <c r="N42" s="215">
        <f t="shared" ref="N42:N44" si="53">IF($J42="NR",I42,0)</f>
        <v>6625147.7091096267</v>
      </c>
      <c r="O42" s="521">
        <f>E42/SUM(E39:E42)</f>
        <v>7.8651659830555776E-2</v>
      </c>
      <c r="P42" s="215"/>
      <c r="Q42" s="215">
        <f t="shared" si="43"/>
        <v>70884.857579575793</v>
      </c>
      <c r="R42" s="232"/>
      <c r="S42" s="233">
        <f t="shared" ref="S42:S44" si="54">-M42+N42-P42+Q42</f>
        <v>6696032.5666892026</v>
      </c>
    </row>
    <row r="43" spans="1:21" x14ac:dyDescent="0.2">
      <c r="A43" s="251" t="s">
        <v>496</v>
      </c>
      <c r="B43" s="214" t="str">
        <f t="shared" si="44"/>
        <v>Saham Karyawan</v>
      </c>
      <c r="C43" s="252" t="str">
        <f t="shared" si="45"/>
        <v>K</v>
      </c>
      <c r="D43" s="232">
        <f t="shared" si="46"/>
        <v>0</v>
      </c>
      <c r="E43" s="233">
        <f t="shared" si="47"/>
        <v>0</v>
      </c>
      <c r="F43" s="232">
        <f>SUMIF('Jurnal Trans Klausa'!D:D,A:A,'Jurnal Trans Klausa'!F:F)</f>
        <v>0</v>
      </c>
      <c r="G43" s="233">
        <f>SUMIF('Jurnal Trans Klausa'!G:G,A:A,'Jurnal Trans Klausa'!I:I)</f>
        <v>0</v>
      </c>
      <c r="H43" s="232"/>
      <c r="I43" s="233">
        <f t="shared" si="48"/>
        <v>0</v>
      </c>
      <c r="J43" s="207" t="str">
        <f t="shared" si="49"/>
        <v>NR</v>
      </c>
      <c r="K43" s="232">
        <f t="shared" si="50"/>
        <v>0</v>
      </c>
      <c r="L43" s="233">
        <f t="shared" si="51"/>
        <v>0</v>
      </c>
      <c r="M43" s="215">
        <f t="shared" si="52"/>
        <v>0</v>
      </c>
      <c r="N43" s="215">
        <f t="shared" si="53"/>
        <v>0</v>
      </c>
      <c r="O43" s="266"/>
      <c r="P43" s="215"/>
      <c r="Q43" s="215">
        <f t="shared" si="43"/>
        <v>0</v>
      </c>
      <c r="R43" s="232"/>
      <c r="S43" s="233">
        <f t="shared" si="54"/>
        <v>0</v>
      </c>
    </row>
    <row r="44" spans="1:21" x14ac:dyDescent="0.2">
      <c r="A44" s="251" t="s">
        <v>497</v>
      </c>
      <c r="B44" s="214" t="str">
        <f t="shared" si="44"/>
        <v>Saham Eksternal</v>
      </c>
      <c r="C44" s="252" t="str">
        <f t="shared" si="45"/>
        <v>K</v>
      </c>
      <c r="D44" s="232">
        <f t="shared" si="46"/>
        <v>0</v>
      </c>
      <c r="E44" s="233">
        <f t="shared" si="47"/>
        <v>0</v>
      </c>
      <c r="F44" s="232">
        <f>SUMIF('Jurnal Trans Klausa'!D:D,A:A,'Jurnal Trans Klausa'!F:F)</f>
        <v>0</v>
      </c>
      <c r="G44" s="233">
        <f>SUMIF('Jurnal Trans Klausa'!G:G,A:A,'Jurnal Trans Klausa'!I:I)</f>
        <v>0</v>
      </c>
      <c r="H44" s="232"/>
      <c r="I44" s="233">
        <f t="shared" si="48"/>
        <v>0</v>
      </c>
      <c r="J44" s="207" t="str">
        <f t="shared" si="49"/>
        <v>NR</v>
      </c>
      <c r="K44" s="232">
        <f t="shared" si="50"/>
        <v>0</v>
      </c>
      <c r="L44" s="233">
        <f t="shared" si="51"/>
        <v>0</v>
      </c>
      <c r="M44" s="215">
        <f t="shared" si="52"/>
        <v>0</v>
      </c>
      <c r="N44" s="215">
        <f t="shared" si="53"/>
        <v>0</v>
      </c>
      <c r="O44" s="266"/>
      <c r="P44" s="215"/>
      <c r="Q44" s="215">
        <f t="shared" si="43"/>
        <v>0</v>
      </c>
      <c r="R44" s="232"/>
      <c r="S44" s="233">
        <f t="shared" si="54"/>
        <v>0</v>
      </c>
    </row>
    <row r="45" spans="1:21" x14ac:dyDescent="0.2">
      <c r="A45" s="251" t="s">
        <v>45</v>
      </c>
      <c r="B45" s="214" t="str">
        <f t="shared" si="20"/>
        <v>Dividen Saham</v>
      </c>
      <c r="C45" s="252" t="str">
        <f t="shared" si="35"/>
        <v>K</v>
      </c>
      <c r="D45" s="232">
        <f t="shared" si="36"/>
        <v>0</v>
      </c>
      <c r="E45" s="233">
        <f t="shared" si="37"/>
        <v>6826712.5</v>
      </c>
      <c r="F45" s="232">
        <f>SUMIF('Jurnal Trans Klausa'!D:D,A:A,'Jurnal Trans Klausa'!F:F)</f>
        <v>0</v>
      </c>
      <c r="G45" s="233">
        <f>SUMIF('Jurnal Trans Klausa'!G:G,A:A,'Jurnal Trans Klausa'!I:I)</f>
        <v>0</v>
      </c>
      <c r="H45" s="232"/>
      <c r="I45" s="233">
        <f t="shared" si="38"/>
        <v>6826712.5</v>
      </c>
      <c r="J45" s="207" t="str">
        <f t="shared" si="39"/>
        <v>NR</v>
      </c>
      <c r="K45" s="232">
        <f t="shared" si="40"/>
        <v>0</v>
      </c>
      <c r="L45" s="233">
        <f t="shared" si="40"/>
        <v>0</v>
      </c>
      <c r="M45" s="215">
        <f t="shared" si="41"/>
        <v>0</v>
      </c>
      <c r="N45" s="215">
        <f t="shared" si="41"/>
        <v>6826712.5</v>
      </c>
      <c r="O45" s="263"/>
      <c r="P45" s="215"/>
      <c r="Q45" s="215">
        <f>P84</f>
        <v>1502084.375</v>
      </c>
      <c r="R45" s="232"/>
      <c r="S45" s="233">
        <f t="shared" si="42"/>
        <v>8328796.875</v>
      </c>
    </row>
    <row r="46" spans="1:21" x14ac:dyDescent="0.2">
      <c r="A46" s="251" t="s">
        <v>71</v>
      </c>
      <c r="B46" s="214" t="str">
        <f t="shared" si="20"/>
        <v>Bagi Hasil yang ditahan</v>
      </c>
      <c r="C46" s="252" t="str">
        <f t="shared" si="35"/>
        <v>K</v>
      </c>
      <c r="D46" s="232">
        <f t="shared" si="36"/>
        <v>0</v>
      </c>
      <c r="E46" s="233">
        <f t="shared" si="37"/>
        <v>11326113.75</v>
      </c>
      <c r="F46" s="232">
        <f>SUMIF('Jurnal Trans Klausa'!D:D,A:A,'Jurnal Trans Klausa'!F:F)</f>
        <v>0</v>
      </c>
      <c r="G46" s="233">
        <f>SUMIF('Jurnal Trans Klausa'!G:G,A:A,'Jurnal Trans Klausa'!I:I)</f>
        <v>0</v>
      </c>
      <c r="H46" s="232"/>
      <c r="I46" s="233">
        <f t="shared" si="38"/>
        <v>11326113.75</v>
      </c>
      <c r="J46" s="207" t="str">
        <f t="shared" si="39"/>
        <v>NR</v>
      </c>
      <c r="K46" s="232">
        <f t="shared" si="40"/>
        <v>0</v>
      </c>
      <c r="L46" s="233">
        <f t="shared" si="40"/>
        <v>0</v>
      </c>
      <c r="M46" s="215">
        <f t="shared" si="41"/>
        <v>0</v>
      </c>
      <c r="N46" s="215">
        <f t="shared" si="41"/>
        <v>11326113.75</v>
      </c>
      <c r="O46" s="263"/>
      <c r="P46" s="215"/>
      <c r="Q46" s="215">
        <f>P85</f>
        <v>1802501.25</v>
      </c>
      <c r="R46" s="232"/>
      <c r="S46" s="233">
        <f t="shared" si="42"/>
        <v>13128615</v>
      </c>
    </row>
    <row r="47" spans="1:21" x14ac:dyDescent="0.2">
      <c r="A47" s="251" t="s">
        <v>120</v>
      </c>
      <c r="B47" s="214" t="str">
        <f t="shared" si="20"/>
        <v>Laba ditahan</v>
      </c>
      <c r="C47" s="252" t="str">
        <f t="shared" si="35"/>
        <v>K</v>
      </c>
      <c r="D47" s="232">
        <f t="shared" si="36"/>
        <v>0</v>
      </c>
      <c r="E47" s="233">
        <f t="shared" si="37"/>
        <v>1887685.625</v>
      </c>
      <c r="F47" s="232">
        <f>SUMIF('Jurnal Trans Klausa'!D:D,A:A,'Jurnal Trans Klausa'!F:F)</f>
        <v>0</v>
      </c>
      <c r="G47" s="233">
        <f>SUMIF('Jurnal Trans Klausa'!G:G,A:A,'Jurnal Trans Klausa'!I:I)</f>
        <v>0</v>
      </c>
      <c r="H47" s="249"/>
      <c r="I47" s="233">
        <f t="shared" si="38"/>
        <v>1887685.625</v>
      </c>
      <c r="J47" s="207" t="str">
        <f t="shared" si="39"/>
        <v>NR</v>
      </c>
      <c r="K47" s="232">
        <f t="shared" si="40"/>
        <v>0</v>
      </c>
      <c r="L47" s="233">
        <f t="shared" si="40"/>
        <v>0</v>
      </c>
      <c r="M47" s="215">
        <f t="shared" si="41"/>
        <v>0</v>
      </c>
      <c r="N47" s="215">
        <f t="shared" si="41"/>
        <v>1887685.625</v>
      </c>
      <c r="O47" s="267"/>
      <c r="P47" s="217"/>
      <c r="Q47" s="218">
        <f>P83</f>
        <v>300416.875</v>
      </c>
      <c r="R47" s="249"/>
      <c r="S47" s="233">
        <f t="shared" si="42"/>
        <v>2188102.5</v>
      </c>
    </row>
    <row r="48" spans="1:21" x14ac:dyDescent="0.2">
      <c r="A48" s="251" t="s">
        <v>46</v>
      </c>
      <c r="B48" s="211" t="str">
        <f t="shared" si="20"/>
        <v>PENDAPATAN</v>
      </c>
      <c r="C48" s="252"/>
      <c r="D48" s="232"/>
      <c r="E48" s="233"/>
      <c r="F48" s="232"/>
      <c r="G48" s="233"/>
      <c r="H48" s="232"/>
      <c r="I48" s="233"/>
      <c r="J48" s="207"/>
      <c r="K48" s="232"/>
      <c r="L48" s="233"/>
      <c r="M48" s="215"/>
      <c r="N48" s="215"/>
      <c r="O48" s="263"/>
      <c r="P48" s="215"/>
      <c r="Q48" s="215"/>
      <c r="R48" s="232"/>
      <c r="S48" s="233"/>
    </row>
    <row r="49" spans="1:19" x14ac:dyDescent="0.2">
      <c r="A49" s="251" t="s">
        <v>47</v>
      </c>
      <c r="B49" s="214" t="str">
        <f t="shared" si="20"/>
        <v>Penjualan Klausa Cake</v>
      </c>
      <c r="C49" s="252" t="str">
        <f t="shared" ref="C49:C54" si="55">VLOOKUP(A49,Saldo,3,FALSE)</f>
        <v>K</v>
      </c>
      <c r="D49" s="232">
        <f t="shared" ref="D49:D54" si="56">VLOOKUP(A49,Saldo,6,FALSE)</f>
        <v>0</v>
      </c>
      <c r="E49" s="233">
        <f t="shared" ref="E49:E54" si="57">VLOOKUP(A49,Saldo,7,FALSE)</f>
        <v>0</v>
      </c>
      <c r="F49" s="232">
        <f>SUMIF('Jurnal Trans Klausa'!D:D,A:A,'Jurnal Trans Klausa'!F:F)</f>
        <v>14626000</v>
      </c>
      <c r="G49" s="233">
        <f>SUMIF('Jurnal Trans Klausa'!G:G,A:A,'Jurnal Trans Klausa'!I:I)</f>
        <v>50682000</v>
      </c>
      <c r="H49" s="232"/>
      <c r="I49" s="233">
        <f t="shared" ref="I49:I54" si="58">E49+G49-D49-F49</f>
        <v>36056000</v>
      </c>
      <c r="J49" s="207" t="str">
        <f>VLOOKUP(A49,Saldo,4,FALSE)</f>
        <v>LR</v>
      </c>
      <c r="K49" s="232">
        <f t="shared" ref="K49:L53" si="59">IF($J49="LR",H49,0)</f>
        <v>0</v>
      </c>
      <c r="L49" s="233">
        <f t="shared" si="59"/>
        <v>36056000</v>
      </c>
      <c r="M49" s="215">
        <f t="shared" ref="M49:N53" si="60">IF($J49="NR",H49,0)</f>
        <v>0</v>
      </c>
      <c r="N49" s="215">
        <f t="shared" si="60"/>
        <v>0</v>
      </c>
      <c r="O49" s="263"/>
      <c r="P49" s="215"/>
      <c r="Q49" s="215"/>
      <c r="R49" s="232"/>
      <c r="S49" s="233"/>
    </row>
    <row r="50" spans="1:19" x14ac:dyDescent="0.2">
      <c r="A50" s="251" t="s">
        <v>48</v>
      </c>
      <c r="B50" s="214" t="str">
        <f t="shared" si="20"/>
        <v>Penjualan Titipan</v>
      </c>
      <c r="C50" s="252" t="str">
        <f t="shared" si="55"/>
        <v>K</v>
      </c>
      <c r="D50" s="232">
        <f t="shared" si="56"/>
        <v>0</v>
      </c>
      <c r="E50" s="233">
        <f t="shared" si="57"/>
        <v>0</v>
      </c>
      <c r="F50" s="232">
        <f>SUMIF('Jurnal Trans Klausa'!D:D,A:A,'Jurnal Trans Klausa'!F:F)</f>
        <v>0</v>
      </c>
      <c r="G50" s="233">
        <f>SUMIF('Jurnal Trans Klausa'!G:G,A:A,'Jurnal Trans Klausa'!I:I)</f>
        <v>13233500</v>
      </c>
      <c r="H50" s="232"/>
      <c r="I50" s="233">
        <f t="shared" si="58"/>
        <v>13233500</v>
      </c>
      <c r="J50" s="207" t="str">
        <f>VLOOKUP(A50,Saldo,4,FALSE)</f>
        <v>LR</v>
      </c>
      <c r="K50" s="232">
        <f t="shared" si="59"/>
        <v>0</v>
      </c>
      <c r="L50" s="233">
        <f t="shared" si="59"/>
        <v>13233500</v>
      </c>
      <c r="M50" s="215">
        <f t="shared" si="60"/>
        <v>0</v>
      </c>
      <c r="N50" s="215">
        <f t="shared" si="60"/>
        <v>0</v>
      </c>
      <c r="O50" s="263"/>
      <c r="P50" s="215"/>
      <c r="Q50" s="215"/>
      <c r="R50" s="232"/>
      <c r="S50" s="233"/>
    </row>
    <row r="51" spans="1:19" x14ac:dyDescent="0.2">
      <c r="A51" s="251" t="s">
        <v>49</v>
      </c>
      <c r="B51" s="214" t="str">
        <f t="shared" si="20"/>
        <v>Penjualan Titipan (Danusan)</v>
      </c>
      <c r="C51" s="252" t="str">
        <f t="shared" si="55"/>
        <v>K</v>
      </c>
      <c r="D51" s="232">
        <f t="shared" si="56"/>
        <v>0</v>
      </c>
      <c r="E51" s="233">
        <f t="shared" si="57"/>
        <v>0</v>
      </c>
      <c r="F51" s="232">
        <f>SUMIF('Jurnal Trans Klausa'!D:D,A:A,'Jurnal Trans Klausa'!F:F)</f>
        <v>0</v>
      </c>
      <c r="G51" s="233">
        <f>SUMIF('Jurnal Trans Klausa'!G:G,A:A,'Jurnal Trans Klausa'!I:I)</f>
        <v>432500</v>
      </c>
      <c r="H51" s="232"/>
      <c r="I51" s="233">
        <f t="shared" si="58"/>
        <v>432500</v>
      </c>
      <c r="J51" s="207" t="str">
        <f>VLOOKUP(A51,Saldo,4,FALSE)</f>
        <v>LR</v>
      </c>
      <c r="K51" s="232">
        <f t="shared" si="59"/>
        <v>0</v>
      </c>
      <c r="L51" s="233">
        <f t="shared" si="59"/>
        <v>432500</v>
      </c>
      <c r="M51" s="215">
        <f t="shared" si="60"/>
        <v>0</v>
      </c>
      <c r="N51" s="215">
        <f t="shared" si="60"/>
        <v>0</v>
      </c>
      <c r="O51" s="263"/>
      <c r="P51" s="215"/>
      <c r="Q51" s="215"/>
      <c r="R51" s="232"/>
      <c r="S51" s="233"/>
    </row>
    <row r="52" spans="1:19" x14ac:dyDescent="0.2">
      <c r="A52" s="251" t="s">
        <v>304</v>
      </c>
      <c r="B52" s="214" t="str">
        <f t="shared" si="20"/>
        <v>Penjualan Dus dan AMDK gelas</v>
      </c>
      <c r="C52" s="252" t="str">
        <f t="shared" si="55"/>
        <v>K</v>
      </c>
      <c r="D52" s="232">
        <f t="shared" si="56"/>
        <v>0</v>
      </c>
      <c r="E52" s="233">
        <f t="shared" si="57"/>
        <v>0</v>
      </c>
      <c r="F52" s="232">
        <f>SUMIF('Jurnal Trans Klausa'!D:D,A:A,'Jurnal Trans Klausa'!F:F)</f>
        <v>0</v>
      </c>
      <c r="G52" s="233">
        <f>SUMIF('Jurnal Trans Klausa'!G:G,A:A,'Jurnal Trans Klausa'!I:I)</f>
        <v>960000</v>
      </c>
      <c r="H52" s="232"/>
      <c r="I52" s="233">
        <f t="shared" si="58"/>
        <v>960000</v>
      </c>
      <c r="J52" s="207" t="s">
        <v>62</v>
      </c>
      <c r="K52" s="232">
        <f t="shared" si="59"/>
        <v>0</v>
      </c>
      <c r="L52" s="233">
        <f t="shared" si="59"/>
        <v>960000</v>
      </c>
      <c r="M52" s="215">
        <f t="shared" si="60"/>
        <v>0</v>
      </c>
      <c r="N52" s="215">
        <f t="shared" si="60"/>
        <v>0</v>
      </c>
      <c r="O52" s="263"/>
      <c r="P52" s="215"/>
      <c r="Q52" s="215"/>
      <c r="R52" s="232"/>
      <c r="S52" s="233"/>
    </row>
    <row r="53" spans="1:19" x14ac:dyDescent="0.2">
      <c r="A53" s="251" t="s">
        <v>305</v>
      </c>
      <c r="B53" s="214" t="str">
        <f t="shared" si="20"/>
        <v>Penjualan Chocofaza</v>
      </c>
      <c r="C53" s="252" t="str">
        <f t="shared" si="55"/>
        <v>K</v>
      </c>
      <c r="D53" s="232">
        <f t="shared" si="56"/>
        <v>0</v>
      </c>
      <c r="E53" s="233">
        <f t="shared" si="57"/>
        <v>0</v>
      </c>
      <c r="F53" s="232">
        <f>SUMIF('Jurnal Trans Klausa'!D:D,A:A,'Jurnal Trans Klausa'!F:F)</f>
        <v>0</v>
      </c>
      <c r="G53" s="233">
        <f>SUMIF('Jurnal Trans Klausa'!G:G,A:A,'Jurnal Trans Klausa'!I:I)</f>
        <v>0</v>
      </c>
      <c r="H53" s="232"/>
      <c r="I53" s="233">
        <f t="shared" si="58"/>
        <v>0</v>
      </c>
      <c r="J53" s="207" t="s">
        <v>62</v>
      </c>
      <c r="K53" s="232">
        <f t="shared" si="59"/>
        <v>0</v>
      </c>
      <c r="L53" s="233">
        <f>IF($J53="LR",I53,0)</f>
        <v>0</v>
      </c>
      <c r="M53" s="215">
        <f t="shared" si="60"/>
        <v>0</v>
      </c>
      <c r="N53" s="215">
        <f t="shared" si="60"/>
        <v>0</v>
      </c>
      <c r="O53" s="263"/>
      <c r="P53" s="215"/>
      <c r="Q53" s="215"/>
      <c r="R53" s="232"/>
      <c r="S53" s="233"/>
    </row>
    <row r="54" spans="1:19" x14ac:dyDescent="0.2">
      <c r="A54" s="251" t="s">
        <v>450</v>
      </c>
      <c r="B54" s="214" t="str">
        <f t="shared" ref="B54" si="61">VLOOKUP(A54,Akun,2,FALSE)</f>
        <v>Pendapatan Lainnya</v>
      </c>
      <c r="C54" s="252" t="str">
        <f t="shared" si="55"/>
        <v>K</v>
      </c>
      <c r="D54" s="232">
        <f t="shared" si="56"/>
        <v>0</v>
      </c>
      <c r="E54" s="233">
        <f t="shared" si="57"/>
        <v>0</v>
      </c>
      <c r="F54" s="232">
        <f>SUMIF('Jurnal Trans Klausa'!D:D,A:A,'Jurnal Trans Klausa'!F:F)</f>
        <v>0</v>
      </c>
      <c r="G54" s="233">
        <f>SUMIF('Jurnal Trans Klausa'!G:G,A:A,'Jurnal Trans Klausa'!I:I)</f>
        <v>0</v>
      </c>
      <c r="H54" s="232"/>
      <c r="I54" s="233">
        <f t="shared" si="58"/>
        <v>0</v>
      </c>
      <c r="J54" s="207" t="s">
        <v>62</v>
      </c>
      <c r="K54" s="232">
        <f t="shared" ref="K54" si="62">IF($J54="LR",H54,0)</f>
        <v>0</v>
      </c>
      <c r="L54" s="233">
        <f>IF($J54="LR",I54,0)</f>
        <v>0</v>
      </c>
      <c r="M54" s="215">
        <f t="shared" ref="M54" si="63">IF($J54="NR",H54,0)</f>
        <v>0</v>
      </c>
      <c r="N54" s="215">
        <f t="shared" ref="N54" si="64">IF($J54="NR",I54,0)</f>
        <v>0</v>
      </c>
      <c r="O54" s="263"/>
      <c r="P54" s="215"/>
      <c r="Q54" s="215"/>
      <c r="R54" s="232"/>
      <c r="S54" s="233"/>
    </row>
    <row r="55" spans="1:19" x14ac:dyDescent="0.2">
      <c r="A55" s="251" t="s">
        <v>50</v>
      </c>
      <c r="B55" s="211" t="str">
        <f t="shared" si="20"/>
        <v>HARGA POKOK PRODUKSI</v>
      </c>
      <c r="C55" s="252"/>
      <c r="D55" s="232"/>
      <c r="E55" s="233"/>
      <c r="F55" s="232"/>
      <c r="G55" s="233"/>
      <c r="H55" s="232"/>
      <c r="I55" s="233"/>
      <c r="J55" s="207"/>
      <c r="K55" s="232"/>
      <c r="L55" s="233"/>
      <c r="M55" s="215"/>
      <c r="N55" s="215"/>
      <c r="O55" s="263"/>
      <c r="P55" s="215"/>
      <c r="Q55" s="215"/>
      <c r="R55" s="232"/>
      <c r="S55" s="233"/>
    </row>
    <row r="56" spans="1:19" x14ac:dyDescent="0.2">
      <c r="A56" s="251" t="s">
        <v>91</v>
      </c>
      <c r="B56" s="216" t="str">
        <f t="shared" si="20"/>
        <v>Bahan Baku Langsung</v>
      </c>
      <c r="C56" s="252" t="str">
        <f>VLOOKUP(A56,Saldo,3,FALSE)</f>
        <v>D</v>
      </c>
      <c r="D56" s="232">
        <f>VLOOKUP(A56,Saldo,6,FALSE)</f>
        <v>0</v>
      </c>
      <c r="E56" s="233">
        <f>VLOOKUP(A56,Saldo,7,FALSE)</f>
        <v>0</v>
      </c>
      <c r="F56" s="232">
        <f>SUMIF('Jurnal Trans Klausa'!D:D,A:A,'Jurnal Trans Klausa'!F:F)</f>
        <v>0</v>
      </c>
      <c r="G56" s="233">
        <f>SUMIF('Jurnal Trans Klausa'!G:G,A:A,'Jurnal Trans Klausa'!I:I)</f>
        <v>0</v>
      </c>
      <c r="H56" s="232">
        <f t="shared" ref="H56:H71" si="65">D56-E56+F56-G56</f>
        <v>0</v>
      </c>
      <c r="I56" s="233"/>
      <c r="J56" s="207" t="str">
        <f>VLOOKUP(A56,Saldo,4,FALSE)</f>
        <v>LR</v>
      </c>
      <c r="K56" s="232">
        <f t="shared" ref="K56:L67" si="66">IF($J56="LR",H56,0)</f>
        <v>0</v>
      </c>
      <c r="L56" s="233">
        <f t="shared" si="66"/>
        <v>0</v>
      </c>
      <c r="M56" s="215">
        <f t="shared" ref="M56:N67" si="67">IF($J56="NR",H56,0)</f>
        <v>0</v>
      </c>
      <c r="N56" s="215">
        <f t="shared" si="67"/>
        <v>0</v>
      </c>
      <c r="O56" s="263"/>
      <c r="P56" s="215"/>
      <c r="Q56" s="215"/>
      <c r="R56" s="232"/>
      <c r="S56" s="233"/>
    </row>
    <row r="57" spans="1:19" x14ac:dyDescent="0.2">
      <c r="A57" s="251" t="s">
        <v>453</v>
      </c>
      <c r="B57" s="216" t="str">
        <f t="shared" ref="B57:B58" si="68">VLOOKUP(A57,Akun,2,FALSE)</f>
        <v>BBL Klausa</v>
      </c>
      <c r="C57" s="252" t="str">
        <f>VLOOKUP(A57,Saldo,3,FALSE)</f>
        <v>D</v>
      </c>
      <c r="D57" s="232">
        <f>VLOOKUP(A57,Saldo,6,FALSE)</f>
        <v>0</v>
      </c>
      <c r="E57" s="233">
        <f>VLOOKUP(A57,Saldo,7,FALSE)</f>
        <v>0</v>
      </c>
      <c r="F57" s="232">
        <f>SUMIF('Jurnal Trans Klausa'!D:D,A:A,'Jurnal Trans Klausa'!F:F)</f>
        <v>15340000</v>
      </c>
      <c r="G57" s="233">
        <f>SUMIF('Jurnal Trans Klausa'!G:G,A:A,'Jurnal Trans Klausa'!I:I)</f>
        <v>-1630012.5</v>
      </c>
      <c r="H57" s="232">
        <f t="shared" ref="H57:H58" si="69">D57-E57+F57-G57</f>
        <v>16970012.5</v>
      </c>
      <c r="I57" s="233"/>
      <c r="J57" s="207" t="str">
        <f>VLOOKUP(A57,Saldo,4,FALSE)</f>
        <v>LR</v>
      </c>
      <c r="K57" s="232">
        <f t="shared" ref="K57:K58" si="70">IF($J57="LR",H57,0)</f>
        <v>16970012.5</v>
      </c>
      <c r="L57" s="233">
        <f t="shared" ref="L57:L58" si="71">IF($J57="LR",I57,0)</f>
        <v>0</v>
      </c>
      <c r="M57" s="215">
        <f t="shared" ref="M57:M58" si="72">IF($J57="NR",H57,0)</f>
        <v>0</v>
      </c>
      <c r="N57" s="215">
        <f t="shared" ref="N57:N58" si="73">IF($J57="NR",I57,0)</f>
        <v>0</v>
      </c>
      <c r="O57" s="263"/>
      <c r="P57" s="215"/>
      <c r="Q57" s="215"/>
      <c r="R57" s="232"/>
      <c r="S57" s="233"/>
    </row>
    <row r="58" spans="1:19" x14ac:dyDescent="0.2">
      <c r="A58" s="251" t="s">
        <v>454</v>
      </c>
      <c r="B58" s="216" t="str">
        <f t="shared" si="68"/>
        <v>BBL Chocofaza</v>
      </c>
      <c r="C58" s="252" t="str">
        <f>VLOOKUP(A58,Saldo,3,FALSE)</f>
        <v>D</v>
      </c>
      <c r="D58" s="232">
        <f>VLOOKUP(A58,Saldo,6,FALSE)</f>
        <v>0</v>
      </c>
      <c r="E58" s="233">
        <f>VLOOKUP(A58,Saldo,7,FALSE)</f>
        <v>0</v>
      </c>
      <c r="F58" s="232">
        <f>SUMIF('Jurnal Trans Klausa'!D:D,A:A,'Jurnal Trans Klausa'!F:F)</f>
        <v>0</v>
      </c>
      <c r="G58" s="233">
        <f>SUMIF('Jurnal Trans Klausa'!G:G,A:A,'Jurnal Trans Klausa'!I:I)</f>
        <v>0</v>
      </c>
      <c r="H58" s="232">
        <f t="shared" si="69"/>
        <v>0</v>
      </c>
      <c r="I58" s="233"/>
      <c r="J58" s="207" t="str">
        <f>VLOOKUP(A58,Saldo,4,FALSE)</f>
        <v>LR</v>
      </c>
      <c r="K58" s="232">
        <f t="shared" si="70"/>
        <v>0</v>
      </c>
      <c r="L58" s="233">
        <f t="shared" si="71"/>
        <v>0</v>
      </c>
      <c r="M58" s="215">
        <f t="shared" si="72"/>
        <v>0</v>
      </c>
      <c r="N58" s="215">
        <f t="shared" si="73"/>
        <v>0</v>
      </c>
      <c r="O58" s="263"/>
      <c r="P58" s="215"/>
      <c r="Q58" s="215"/>
      <c r="R58" s="232"/>
      <c r="S58" s="233"/>
    </row>
    <row r="59" spans="1:19" x14ac:dyDescent="0.2">
      <c r="A59" s="251" t="s">
        <v>92</v>
      </c>
      <c r="B59" s="216" t="str">
        <f t="shared" ref="B59:B80" si="74">VLOOKUP(A59,Akun,2,FALSE)</f>
        <v>Tenaga Kerja Langsung</v>
      </c>
      <c r="C59" s="252" t="str">
        <f>VLOOKUP(A59,Saldo,3,FALSE)</f>
        <v>D</v>
      </c>
      <c r="D59" s="232">
        <f>VLOOKUP(A59,Saldo,6,FALSE)</f>
        <v>0</v>
      </c>
      <c r="E59" s="233">
        <f>VLOOKUP(A59,Saldo,7,FALSE)</f>
        <v>0</v>
      </c>
      <c r="F59" s="232">
        <f>SUMIF('Jurnal Trans Klausa'!D:D,A:A,'Jurnal Trans Klausa'!F:F)</f>
        <v>8110000</v>
      </c>
      <c r="G59" s="233">
        <f>SUMIF('Jurnal Trans Klausa'!G:G,A:A,'Jurnal Trans Klausa'!I:I)</f>
        <v>0</v>
      </c>
      <c r="H59" s="232">
        <f t="shared" si="65"/>
        <v>8110000</v>
      </c>
      <c r="I59" s="233"/>
      <c r="J59" s="207" t="str">
        <f>VLOOKUP(A59,Saldo,4,FALSE)</f>
        <v>LR</v>
      </c>
      <c r="K59" s="232">
        <f t="shared" si="66"/>
        <v>8110000</v>
      </c>
      <c r="L59" s="233">
        <f t="shared" si="66"/>
        <v>0</v>
      </c>
      <c r="M59" s="215">
        <f t="shared" si="67"/>
        <v>0</v>
      </c>
      <c r="N59" s="215">
        <f t="shared" si="67"/>
        <v>0</v>
      </c>
      <c r="O59" s="263"/>
      <c r="P59" s="215"/>
      <c r="Q59" s="215"/>
      <c r="R59" s="232"/>
      <c r="S59" s="233"/>
    </row>
    <row r="60" spans="1:19" x14ac:dyDescent="0.2">
      <c r="A60" s="251" t="s">
        <v>93</v>
      </c>
      <c r="B60" s="216" t="str">
        <f t="shared" si="74"/>
        <v>Overhead Manufaktur</v>
      </c>
      <c r="C60" s="252"/>
      <c r="D60" s="232"/>
      <c r="E60" s="233"/>
      <c r="F60" s="232"/>
      <c r="G60" s="233"/>
      <c r="H60" s="232"/>
      <c r="I60" s="233"/>
      <c r="J60" s="207"/>
      <c r="K60" s="232"/>
      <c r="L60" s="233"/>
      <c r="M60" s="215"/>
      <c r="N60" s="215"/>
      <c r="O60" s="263"/>
      <c r="P60" s="215"/>
      <c r="Q60" s="215"/>
      <c r="R60" s="232"/>
      <c r="S60" s="233"/>
    </row>
    <row r="61" spans="1:19" x14ac:dyDescent="0.2">
      <c r="A61" s="251" t="s">
        <v>306</v>
      </c>
      <c r="B61" s="214" t="str">
        <f t="shared" si="74"/>
        <v>BBTL Klausa</v>
      </c>
      <c r="C61" s="252" t="str">
        <f t="shared" ref="C61:C67" si="75">VLOOKUP(A61,Saldo,3,FALSE)</f>
        <v>D</v>
      </c>
      <c r="D61" s="232">
        <f t="shared" ref="D61:D67" si="76">VLOOKUP(A61,Saldo,6,FALSE)</f>
        <v>0</v>
      </c>
      <c r="E61" s="233">
        <f t="shared" ref="E61:E67" si="77">VLOOKUP(A61,Saldo,7,FALSE)</f>
        <v>0</v>
      </c>
      <c r="F61" s="232">
        <f>SUMIF('Jurnal Trans Klausa'!D:D,A:A,'Jurnal Trans Klausa'!F:F)</f>
        <v>150000</v>
      </c>
      <c r="G61" s="233">
        <f>SUMIF('Jurnal Trans Klausa'!G:G,A:A,'Jurnal Trans Klausa'!I:I)</f>
        <v>-191250</v>
      </c>
      <c r="H61" s="232">
        <f t="shared" si="65"/>
        <v>341250</v>
      </c>
      <c r="I61" s="233"/>
      <c r="J61" s="207" t="str">
        <f t="shared" ref="J61:J67" si="78">VLOOKUP(A61,Saldo,4,FALSE)</f>
        <v>LR</v>
      </c>
      <c r="K61" s="232">
        <f t="shared" si="66"/>
        <v>341250</v>
      </c>
      <c r="L61" s="233">
        <f t="shared" si="66"/>
        <v>0</v>
      </c>
      <c r="M61" s="215">
        <f t="shared" si="67"/>
        <v>0</v>
      </c>
      <c r="N61" s="215">
        <f t="shared" si="67"/>
        <v>0</v>
      </c>
      <c r="O61" s="263"/>
      <c r="P61" s="215"/>
      <c r="Q61" s="215"/>
      <c r="R61" s="232"/>
      <c r="S61" s="233"/>
    </row>
    <row r="62" spans="1:19" x14ac:dyDescent="0.2">
      <c r="A62" s="251" t="s">
        <v>307</v>
      </c>
      <c r="B62" s="214" t="str">
        <f t="shared" si="74"/>
        <v>BBTL Chocofaza</v>
      </c>
      <c r="C62" s="252" t="str">
        <f t="shared" si="75"/>
        <v>D</v>
      </c>
      <c r="D62" s="232">
        <f t="shared" si="76"/>
        <v>0</v>
      </c>
      <c r="E62" s="233">
        <f t="shared" si="77"/>
        <v>0</v>
      </c>
      <c r="F62" s="232">
        <f>SUMIF('Jurnal Trans Klausa'!D:D,A:A,'Jurnal Trans Klausa'!F:F)</f>
        <v>0</v>
      </c>
      <c r="G62" s="233">
        <f>SUMIF('Jurnal Trans Klausa'!G:G,A:A,'Jurnal Trans Klausa'!I:I)</f>
        <v>0</v>
      </c>
      <c r="H62" s="232">
        <f t="shared" si="65"/>
        <v>0</v>
      </c>
      <c r="I62" s="233"/>
      <c r="J62" s="207" t="str">
        <f t="shared" si="78"/>
        <v>LR</v>
      </c>
      <c r="K62" s="232">
        <f t="shared" si="66"/>
        <v>0</v>
      </c>
      <c r="L62" s="233">
        <f t="shared" si="66"/>
        <v>0</v>
      </c>
      <c r="M62" s="215">
        <f t="shared" si="67"/>
        <v>0</v>
      </c>
      <c r="N62" s="215">
        <f t="shared" si="67"/>
        <v>0</v>
      </c>
      <c r="O62" s="263"/>
      <c r="P62" s="215"/>
      <c r="Q62" s="215"/>
      <c r="R62" s="232"/>
      <c r="S62" s="233"/>
    </row>
    <row r="63" spans="1:19" x14ac:dyDescent="0.2">
      <c r="A63" s="251" t="s">
        <v>308</v>
      </c>
      <c r="B63" s="214" t="str">
        <f t="shared" si="74"/>
        <v>Tenaga Kerja Tidak Langsung</v>
      </c>
      <c r="C63" s="252" t="str">
        <f t="shared" si="75"/>
        <v>D</v>
      </c>
      <c r="D63" s="232">
        <f t="shared" si="76"/>
        <v>0</v>
      </c>
      <c r="E63" s="233">
        <f t="shared" si="77"/>
        <v>0</v>
      </c>
      <c r="F63" s="232">
        <f>SUMIF('Jurnal Trans Klausa'!D:D,A:A,'Jurnal Trans Klausa'!F:F)</f>
        <v>0</v>
      </c>
      <c r="G63" s="233">
        <f>SUMIF('Jurnal Trans Klausa'!G:G,A:A,'Jurnal Trans Klausa'!I:I)</f>
        <v>0</v>
      </c>
      <c r="H63" s="232">
        <f t="shared" si="65"/>
        <v>0</v>
      </c>
      <c r="I63" s="233"/>
      <c r="J63" s="207" t="str">
        <f t="shared" si="78"/>
        <v>LR</v>
      </c>
      <c r="K63" s="232">
        <f t="shared" si="66"/>
        <v>0</v>
      </c>
      <c r="L63" s="233">
        <f t="shared" si="66"/>
        <v>0</v>
      </c>
      <c r="M63" s="215">
        <f t="shared" si="67"/>
        <v>0</v>
      </c>
      <c r="N63" s="215">
        <f t="shared" si="67"/>
        <v>0</v>
      </c>
      <c r="O63" s="263"/>
      <c r="P63" s="215"/>
      <c r="Q63" s="215"/>
      <c r="R63" s="232"/>
      <c r="S63" s="233"/>
    </row>
    <row r="64" spans="1:19" x14ac:dyDescent="0.2">
      <c r="A64" s="251" t="s">
        <v>309</v>
      </c>
      <c r="B64" s="214" t="str">
        <f t="shared" si="74"/>
        <v>Sewa Tempat Produksi</v>
      </c>
      <c r="C64" s="252" t="str">
        <f t="shared" si="75"/>
        <v>D</v>
      </c>
      <c r="D64" s="232">
        <f t="shared" si="76"/>
        <v>0</v>
      </c>
      <c r="E64" s="233">
        <f t="shared" si="77"/>
        <v>0</v>
      </c>
      <c r="F64" s="232">
        <f>SUMIF('Jurnal Trans Klausa'!D:D,A:A,'Jurnal Trans Klausa'!F:F)</f>
        <v>2000000</v>
      </c>
      <c r="G64" s="233">
        <f>SUMIF('Jurnal Trans Klausa'!G:G,A:A,'Jurnal Trans Klausa'!I:I)</f>
        <v>0</v>
      </c>
      <c r="H64" s="232">
        <f t="shared" si="65"/>
        <v>2000000</v>
      </c>
      <c r="I64" s="233"/>
      <c r="J64" s="207" t="str">
        <f t="shared" si="78"/>
        <v>LR</v>
      </c>
      <c r="K64" s="232">
        <f t="shared" si="66"/>
        <v>2000000</v>
      </c>
      <c r="L64" s="233">
        <f t="shared" si="66"/>
        <v>0</v>
      </c>
      <c r="M64" s="215">
        <f t="shared" si="67"/>
        <v>0</v>
      </c>
      <c r="N64" s="215">
        <f t="shared" si="67"/>
        <v>0</v>
      </c>
      <c r="O64" s="263"/>
      <c r="P64" s="215"/>
      <c r="Q64" s="215"/>
      <c r="R64" s="232"/>
      <c r="S64" s="233"/>
    </row>
    <row r="65" spans="1:19" x14ac:dyDescent="0.2">
      <c r="A65" s="251" t="s">
        <v>310</v>
      </c>
      <c r="B65" s="214" t="str">
        <f t="shared" si="74"/>
        <v>Operasional Produksi</v>
      </c>
      <c r="C65" s="252" t="str">
        <f t="shared" si="75"/>
        <v>D</v>
      </c>
      <c r="D65" s="232">
        <f t="shared" si="76"/>
        <v>0</v>
      </c>
      <c r="E65" s="233">
        <f t="shared" si="77"/>
        <v>0</v>
      </c>
      <c r="F65" s="232">
        <f>SUMIF('Jurnal Trans Klausa'!D:D,A:A,'Jurnal Trans Klausa'!F:F)</f>
        <v>183000</v>
      </c>
      <c r="G65" s="233">
        <f>SUMIF('Jurnal Trans Klausa'!G:G,A:A,'Jurnal Trans Klausa'!I:I)</f>
        <v>0</v>
      </c>
      <c r="H65" s="232">
        <f t="shared" si="65"/>
        <v>183000</v>
      </c>
      <c r="I65" s="233"/>
      <c r="J65" s="207" t="str">
        <f t="shared" si="78"/>
        <v>LR</v>
      </c>
      <c r="K65" s="232">
        <f t="shared" si="66"/>
        <v>183000</v>
      </c>
      <c r="L65" s="233">
        <f t="shared" si="66"/>
        <v>0</v>
      </c>
      <c r="M65" s="215">
        <f t="shared" si="67"/>
        <v>0</v>
      </c>
      <c r="N65" s="215">
        <f t="shared" si="67"/>
        <v>0</v>
      </c>
      <c r="O65" s="263"/>
      <c r="P65" s="215"/>
      <c r="Q65" s="215"/>
      <c r="R65" s="232"/>
      <c r="S65" s="233"/>
    </row>
    <row r="66" spans="1:19" x14ac:dyDescent="0.2">
      <c r="A66" s="251" t="s">
        <v>311</v>
      </c>
      <c r="B66" s="214" t="str">
        <f t="shared" si="74"/>
        <v>Penyusutan Peralatan</v>
      </c>
      <c r="C66" s="252" t="str">
        <f t="shared" si="75"/>
        <v>D</v>
      </c>
      <c r="D66" s="232">
        <f t="shared" si="76"/>
        <v>0</v>
      </c>
      <c r="E66" s="233">
        <f t="shared" si="77"/>
        <v>0</v>
      </c>
      <c r="F66" s="232">
        <f>SUMIF('Jurnal Trans Klausa'!D:D,A:A,'Jurnal Trans Klausa'!F:F)</f>
        <v>1450000</v>
      </c>
      <c r="G66" s="233">
        <f>SUMIF('Jurnal Trans Klausa'!G:G,A:A,'Jurnal Trans Klausa'!I:I)</f>
        <v>0</v>
      </c>
      <c r="H66" s="232">
        <f t="shared" si="65"/>
        <v>1450000</v>
      </c>
      <c r="I66" s="241"/>
      <c r="J66" s="207" t="str">
        <f t="shared" si="78"/>
        <v>LR</v>
      </c>
      <c r="K66" s="232">
        <f t="shared" si="66"/>
        <v>1450000</v>
      </c>
      <c r="L66" s="233">
        <f t="shared" si="66"/>
        <v>0</v>
      </c>
      <c r="M66" s="215">
        <f t="shared" si="67"/>
        <v>0</v>
      </c>
      <c r="N66" s="215">
        <f t="shared" si="67"/>
        <v>0</v>
      </c>
      <c r="O66" s="265"/>
      <c r="P66" s="206"/>
      <c r="Q66" s="206"/>
      <c r="R66" s="240"/>
      <c r="S66" s="241"/>
    </row>
    <row r="67" spans="1:19" x14ac:dyDescent="0.2">
      <c r="A67" s="251" t="s">
        <v>312</v>
      </c>
      <c r="B67" s="214" t="str">
        <f t="shared" si="74"/>
        <v>Penyusutan Perlengkapan</v>
      </c>
      <c r="C67" s="252" t="str">
        <f t="shared" si="75"/>
        <v>D</v>
      </c>
      <c r="D67" s="232">
        <f t="shared" si="76"/>
        <v>0</v>
      </c>
      <c r="E67" s="233">
        <f t="shared" si="77"/>
        <v>0</v>
      </c>
      <c r="F67" s="232">
        <f>SUMIF('Jurnal Trans Klausa'!D:D,A:A,'Jurnal Trans Klausa'!F:F)</f>
        <v>30000</v>
      </c>
      <c r="G67" s="233">
        <f>SUMIF('Jurnal Trans Klausa'!G:G,A:A,'Jurnal Trans Klausa'!I:I)</f>
        <v>0</v>
      </c>
      <c r="H67" s="232">
        <f t="shared" si="65"/>
        <v>30000</v>
      </c>
      <c r="I67" s="241"/>
      <c r="J67" s="207" t="str">
        <f t="shared" si="78"/>
        <v>LR</v>
      </c>
      <c r="K67" s="232">
        <f t="shared" si="66"/>
        <v>30000</v>
      </c>
      <c r="L67" s="233">
        <f t="shared" si="66"/>
        <v>0</v>
      </c>
      <c r="M67" s="215">
        <f t="shared" si="67"/>
        <v>0</v>
      </c>
      <c r="N67" s="215">
        <f t="shared" si="67"/>
        <v>0</v>
      </c>
      <c r="O67" s="265"/>
      <c r="P67" s="206"/>
      <c r="Q67" s="206"/>
      <c r="R67" s="240"/>
      <c r="S67" s="241"/>
    </row>
    <row r="68" spans="1:19" x14ac:dyDescent="0.2">
      <c r="A68" s="251" t="s">
        <v>468</v>
      </c>
      <c r="B68" s="214" t="str">
        <f t="shared" ref="B68" si="79">VLOOKUP(A68,Akun,2,FALSE)</f>
        <v>Pemeliharaan</v>
      </c>
      <c r="C68" s="252" t="str">
        <f t="shared" ref="C68" si="80">VLOOKUP(A68,Saldo,3,FALSE)</f>
        <v>D</v>
      </c>
      <c r="D68" s="232">
        <f t="shared" ref="D68" si="81">VLOOKUP(A68,Saldo,6,FALSE)</f>
        <v>0</v>
      </c>
      <c r="E68" s="233">
        <f t="shared" ref="E68" si="82">VLOOKUP(A68,Saldo,7,FALSE)</f>
        <v>0</v>
      </c>
      <c r="F68" s="232">
        <f>SUMIF('Jurnal Trans Klausa'!D:D,A:A,'Jurnal Trans Klausa'!F:F)</f>
        <v>230000</v>
      </c>
      <c r="G68" s="233">
        <f>SUMIF('Jurnal Trans Klausa'!G:G,A:A,'Jurnal Trans Klausa'!I:I)</f>
        <v>0</v>
      </c>
      <c r="H68" s="232">
        <f t="shared" ref="H68" si="83">D68-E68+F68-G68</f>
        <v>230000</v>
      </c>
      <c r="I68" s="241"/>
      <c r="J68" s="207" t="str">
        <f t="shared" ref="J68" si="84">VLOOKUP(A68,Saldo,4,FALSE)</f>
        <v>LR</v>
      </c>
      <c r="K68" s="232">
        <f t="shared" ref="K68" si="85">IF($J68="LR",H68,0)</f>
        <v>230000</v>
      </c>
      <c r="L68" s="233">
        <f t="shared" ref="L68" si="86">IF($J68="LR",I68,0)</f>
        <v>0</v>
      </c>
      <c r="M68" s="215">
        <f t="shared" ref="M68" si="87">IF($J68="NR",H68,0)</f>
        <v>0</v>
      </c>
      <c r="N68" s="215">
        <f t="shared" ref="N68" si="88">IF($J68="NR",I68,0)</f>
        <v>0</v>
      </c>
      <c r="O68" s="265"/>
      <c r="P68" s="206"/>
      <c r="Q68" s="206"/>
      <c r="R68" s="240"/>
      <c r="S68" s="241"/>
    </row>
    <row r="69" spans="1:19" x14ac:dyDescent="0.2">
      <c r="A69" s="251" t="s">
        <v>51</v>
      </c>
      <c r="B69" s="211" t="str">
        <f t="shared" si="74"/>
        <v>HARGA POKOK PRODUK TITIPAN</v>
      </c>
      <c r="C69" s="252"/>
      <c r="D69" s="232"/>
      <c r="E69" s="233"/>
      <c r="F69" s="232"/>
      <c r="G69" s="233"/>
      <c r="H69" s="232"/>
      <c r="I69" s="233"/>
      <c r="J69" s="207"/>
      <c r="K69" s="232"/>
      <c r="L69" s="233"/>
      <c r="M69" s="215"/>
      <c r="N69" s="215"/>
      <c r="O69" s="263"/>
      <c r="P69" s="215"/>
      <c r="Q69" s="215"/>
      <c r="R69" s="232"/>
      <c r="S69" s="233"/>
    </row>
    <row r="70" spans="1:19" x14ac:dyDescent="0.2">
      <c r="A70" s="253" t="s">
        <v>52</v>
      </c>
      <c r="B70" s="214" t="str">
        <f t="shared" si="74"/>
        <v>Harga Produk Titipan</v>
      </c>
      <c r="C70" s="252" t="str">
        <f>VLOOKUP(A70,Saldo,3,FALSE)</f>
        <v>D</v>
      </c>
      <c r="D70" s="232">
        <f>VLOOKUP(A70,Saldo,6,FALSE)</f>
        <v>0</v>
      </c>
      <c r="E70" s="233">
        <f>VLOOKUP(A70,Saldo,7,FALSE)</f>
        <v>0</v>
      </c>
      <c r="F70" s="232">
        <f>SUMIF('Jurnal Trans Klausa'!D:D,A:A,'Jurnal Trans Klausa'!F:F)</f>
        <v>10446400</v>
      </c>
      <c r="G70" s="233">
        <f>SUMIF('Jurnal Trans Klausa'!G:G,A:A,'Jurnal Trans Klausa'!I:I)</f>
        <v>0</v>
      </c>
      <c r="H70" s="232">
        <f t="shared" si="65"/>
        <v>10446400</v>
      </c>
      <c r="I70" s="233"/>
      <c r="J70" s="207" t="str">
        <f>VLOOKUP(A70,Saldo,4,FALSE)</f>
        <v>LR</v>
      </c>
      <c r="K70" s="232">
        <f t="shared" ref="K70:K71" si="89">IF($J70="LR",H70,0)</f>
        <v>10446400</v>
      </c>
      <c r="L70" s="233">
        <f t="shared" ref="L70:L71" si="90">IF($J70="LR",I70,0)</f>
        <v>0</v>
      </c>
      <c r="M70" s="215">
        <f t="shared" ref="M70:M71" si="91">IF($J70="NR",H70,0)</f>
        <v>0</v>
      </c>
      <c r="N70" s="215">
        <f t="shared" ref="N70:N71" si="92">IF($J70="NR",I70,0)</f>
        <v>0</v>
      </c>
      <c r="O70" s="263"/>
      <c r="P70" s="215"/>
      <c r="Q70" s="215"/>
      <c r="R70" s="232"/>
      <c r="S70" s="233"/>
    </row>
    <row r="71" spans="1:19" x14ac:dyDescent="0.2">
      <c r="A71" s="253" t="s">
        <v>53</v>
      </c>
      <c r="B71" s="214" t="str">
        <f t="shared" si="74"/>
        <v>Biaya Distribusi</v>
      </c>
      <c r="C71" s="252" t="str">
        <f>VLOOKUP(A71,Saldo,3,FALSE)</f>
        <v>D</v>
      </c>
      <c r="D71" s="232">
        <f>VLOOKUP(A71,Saldo,6,FALSE)</f>
        <v>0</v>
      </c>
      <c r="E71" s="233">
        <f>VLOOKUP(A71,Saldo,7,FALSE)</f>
        <v>0</v>
      </c>
      <c r="F71" s="232">
        <f>SUMIF('Jurnal Trans Klausa'!D:D,A:A,'Jurnal Trans Klausa'!F:F)</f>
        <v>0</v>
      </c>
      <c r="G71" s="233">
        <f>SUMIF('Jurnal Trans Klausa'!G:G,A:A,'Jurnal Trans Klausa'!I:I)</f>
        <v>0</v>
      </c>
      <c r="H71" s="232">
        <f t="shared" si="65"/>
        <v>0</v>
      </c>
      <c r="I71" s="233"/>
      <c r="J71" s="207" t="str">
        <f>VLOOKUP(A71,Saldo,4,FALSE)</f>
        <v>LR</v>
      </c>
      <c r="K71" s="232">
        <f t="shared" si="89"/>
        <v>0</v>
      </c>
      <c r="L71" s="233">
        <f t="shared" si="90"/>
        <v>0</v>
      </c>
      <c r="M71" s="215">
        <f t="shared" si="91"/>
        <v>0</v>
      </c>
      <c r="N71" s="215">
        <f t="shared" si="92"/>
        <v>0</v>
      </c>
      <c r="O71" s="263"/>
      <c r="P71" s="215"/>
      <c r="Q71" s="215"/>
      <c r="R71" s="232"/>
      <c r="S71" s="233"/>
    </row>
    <row r="72" spans="1:19" x14ac:dyDescent="0.2">
      <c r="A72" s="251" t="s">
        <v>125</v>
      </c>
      <c r="B72" s="211" t="str">
        <f t="shared" si="74"/>
        <v>BIAYA OPERASIONAL BISNIS</v>
      </c>
      <c r="C72" s="252"/>
      <c r="D72" s="232"/>
      <c r="E72" s="233"/>
      <c r="F72" s="232"/>
      <c r="G72" s="233"/>
      <c r="H72" s="232"/>
      <c r="I72" s="233"/>
      <c r="J72" s="207"/>
      <c r="K72" s="232"/>
      <c r="L72" s="233"/>
      <c r="M72" s="215"/>
      <c r="N72" s="215"/>
      <c r="O72" s="263"/>
      <c r="P72" s="215"/>
      <c r="Q72" s="215"/>
      <c r="R72" s="232"/>
      <c r="S72" s="233"/>
    </row>
    <row r="73" spans="1:19" x14ac:dyDescent="0.2">
      <c r="A73" s="251" t="s">
        <v>126</v>
      </c>
      <c r="B73" s="214" t="str">
        <f t="shared" si="74"/>
        <v>Sewa Tempat Penjualan</v>
      </c>
      <c r="C73" s="252" t="str">
        <f t="shared" ref="C73:C80" si="93">VLOOKUP(A73,Saldo,3,FALSE)</f>
        <v>D</v>
      </c>
      <c r="D73" s="232">
        <f t="shared" ref="D73:D80" si="94">VLOOKUP(A73,Saldo,6,FALSE)</f>
        <v>0</v>
      </c>
      <c r="E73" s="233">
        <f t="shared" ref="E73:E80" si="95">VLOOKUP(A73,Saldo,7,FALSE)</f>
        <v>0</v>
      </c>
      <c r="F73" s="232">
        <f>SUMIF('Jurnal Trans Klausa'!D:D,A:A,'Jurnal Trans Klausa'!F:F)</f>
        <v>0</v>
      </c>
      <c r="G73" s="233">
        <f>SUMIF('Jurnal Trans Klausa'!G:G,A:A,'Jurnal Trans Klausa'!I:I)</f>
        <v>0</v>
      </c>
      <c r="H73" s="232">
        <f>D73-E73+F73-G73</f>
        <v>0</v>
      </c>
      <c r="I73" s="233"/>
      <c r="J73" s="207" t="str">
        <f t="shared" ref="J73:J80" si="96">VLOOKUP(A73,Saldo,4,FALSE)</f>
        <v>LR</v>
      </c>
      <c r="K73" s="232">
        <f>IF($J73="LR",H73,0)</f>
        <v>0</v>
      </c>
      <c r="L73" s="233">
        <f>IF($J73="LR",I73,0)</f>
        <v>0</v>
      </c>
      <c r="M73" s="215">
        <f>IF($J73="NR",H73,0)</f>
        <v>0</v>
      </c>
      <c r="N73" s="215">
        <f>IF($J73="NR",I73,0)</f>
        <v>0</v>
      </c>
      <c r="O73" s="263"/>
      <c r="P73" s="215"/>
      <c r="Q73" s="215"/>
      <c r="R73" s="232"/>
      <c r="S73" s="233"/>
    </row>
    <row r="74" spans="1:19" x14ac:dyDescent="0.2">
      <c r="A74" s="251" t="s">
        <v>127</v>
      </c>
      <c r="B74" s="214" t="str">
        <f t="shared" si="74"/>
        <v>Administrasi</v>
      </c>
      <c r="C74" s="252" t="str">
        <f t="shared" si="93"/>
        <v>D</v>
      </c>
      <c r="D74" s="232">
        <f t="shared" si="94"/>
        <v>0</v>
      </c>
      <c r="E74" s="233">
        <f t="shared" si="95"/>
        <v>0</v>
      </c>
      <c r="F74" s="232">
        <f>SUMIF('Jurnal Trans Klausa'!D:D,A:A,'Jurnal Trans Klausa'!F:F)</f>
        <v>0</v>
      </c>
      <c r="G74" s="233">
        <f>SUMIF('Jurnal Trans Klausa'!G:G,A:A,'Jurnal Trans Klausa'!I:I)</f>
        <v>0</v>
      </c>
      <c r="H74" s="232">
        <f>D74-E74+F74-G74</f>
        <v>0</v>
      </c>
      <c r="I74" s="233"/>
      <c r="J74" s="207" t="str">
        <f t="shared" si="96"/>
        <v>LR</v>
      </c>
      <c r="K74" s="232">
        <f>IF($J74="LR",H74,0)</f>
        <v>0</v>
      </c>
      <c r="L74" s="233">
        <f>IF($J74="LR",I74,0)</f>
        <v>0</v>
      </c>
      <c r="M74" s="215">
        <f>IF($J74="NR",H74,0)</f>
        <v>0</v>
      </c>
      <c r="N74" s="215">
        <f>IF($J74="NR",I74,0)</f>
        <v>0</v>
      </c>
      <c r="O74" s="263"/>
      <c r="P74" s="215"/>
      <c r="Q74" s="215"/>
      <c r="R74" s="232"/>
      <c r="S74" s="233"/>
    </row>
    <row r="75" spans="1:19" x14ac:dyDescent="0.2">
      <c r="A75" s="251" t="s">
        <v>195</v>
      </c>
      <c r="B75" s="214" t="str">
        <f t="shared" si="74"/>
        <v>HRD</v>
      </c>
      <c r="C75" s="252" t="str">
        <f t="shared" si="93"/>
        <v>D</v>
      </c>
      <c r="D75" s="232">
        <f t="shared" si="94"/>
        <v>0</v>
      </c>
      <c r="E75" s="233">
        <f t="shared" si="95"/>
        <v>0</v>
      </c>
      <c r="F75" s="232">
        <f>SUMIF('Jurnal Trans Klausa'!D:D,A:A,'Jurnal Trans Klausa'!F:F)</f>
        <v>503000</v>
      </c>
      <c r="G75" s="233">
        <f>SUMIF('Jurnal Trans Klausa'!G:G,A:A,'Jurnal Trans Klausa'!I:I)</f>
        <v>0</v>
      </c>
      <c r="H75" s="232">
        <f t="shared" ref="H75:H80" si="97">D75-E75+F75-G75</f>
        <v>503000</v>
      </c>
      <c r="I75" s="233"/>
      <c r="J75" s="207" t="str">
        <f t="shared" si="96"/>
        <v>LR</v>
      </c>
      <c r="K75" s="232">
        <f t="shared" ref="K75:K80" si="98">IF($J75="LR",H75,0)</f>
        <v>503000</v>
      </c>
      <c r="L75" s="233">
        <f t="shared" ref="L75:L80" si="99">IF($J75="LR",I75,0)</f>
        <v>0</v>
      </c>
      <c r="M75" s="215">
        <f t="shared" ref="M75:M80" si="100">IF($J75="NR",H75,0)</f>
        <v>0</v>
      </c>
      <c r="N75" s="215">
        <f t="shared" ref="N75:N80" si="101">IF($J75="NR",I75,0)</f>
        <v>0</v>
      </c>
      <c r="O75" s="263"/>
      <c r="P75" s="215"/>
      <c r="Q75" s="215"/>
      <c r="R75" s="232"/>
      <c r="S75" s="233"/>
    </row>
    <row r="76" spans="1:19" x14ac:dyDescent="0.2">
      <c r="A76" s="251" t="s">
        <v>196</v>
      </c>
      <c r="B76" s="214" t="str">
        <f t="shared" si="74"/>
        <v>Pemasaran</v>
      </c>
      <c r="C76" s="252" t="str">
        <f t="shared" si="93"/>
        <v>D</v>
      </c>
      <c r="D76" s="232">
        <f t="shared" si="94"/>
        <v>0</v>
      </c>
      <c r="E76" s="233">
        <f t="shared" si="95"/>
        <v>0</v>
      </c>
      <c r="F76" s="232">
        <f>SUMIF('Jurnal Trans Klausa'!D:D,A:A,'Jurnal Trans Klausa'!F:F)</f>
        <v>900000</v>
      </c>
      <c r="G76" s="233">
        <f>SUMIF('Jurnal Trans Klausa'!G:G,A:A,'Jurnal Trans Klausa'!I:I)</f>
        <v>0</v>
      </c>
      <c r="H76" s="232">
        <f t="shared" si="97"/>
        <v>900000</v>
      </c>
      <c r="I76" s="233"/>
      <c r="J76" s="207" t="str">
        <f t="shared" si="96"/>
        <v>LR</v>
      </c>
      <c r="K76" s="232">
        <f t="shared" si="98"/>
        <v>900000</v>
      </c>
      <c r="L76" s="233">
        <f t="shared" si="99"/>
        <v>0</v>
      </c>
      <c r="M76" s="215">
        <f t="shared" si="100"/>
        <v>0</v>
      </c>
      <c r="N76" s="215">
        <f t="shared" si="101"/>
        <v>0</v>
      </c>
      <c r="O76" s="263"/>
      <c r="P76" s="215"/>
      <c r="Q76" s="215"/>
      <c r="R76" s="232"/>
      <c r="S76" s="233"/>
    </row>
    <row r="77" spans="1:19" x14ac:dyDescent="0.2">
      <c r="A77" s="251" t="s">
        <v>197</v>
      </c>
      <c r="B77" s="214" t="str">
        <f t="shared" si="74"/>
        <v>Operasional</v>
      </c>
      <c r="C77" s="252" t="str">
        <f t="shared" si="93"/>
        <v>D</v>
      </c>
      <c r="D77" s="232">
        <f t="shared" si="94"/>
        <v>0</v>
      </c>
      <c r="E77" s="233">
        <f t="shared" si="95"/>
        <v>0</v>
      </c>
      <c r="F77" s="232">
        <f>SUMIF('Jurnal Trans Klausa'!D:D,A:A,'Jurnal Trans Klausa'!F:F)</f>
        <v>440000</v>
      </c>
      <c r="G77" s="233">
        <f>SUMIF('Jurnal Trans Klausa'!G:G,A:A,'Jurnal Trans Klausa'!I:I)</f>
        <v>0</v>
      </c>
      <c r="H77" s="232">
        <f t="shared" si="97"/>
        <v>440000</v>
      </c>
      <c r="I77" s="233"/>
      <c r="J77" s="207" t="str">
        <f t="shared" si="96"/>
        <v>LR</v>
      </c>
      <c r="K77" s="232">
        <f t="shared" si="98"/>
        <v>440000</v>
      </c>
      <c r="L77" s="233">
        <f t="shared" si="99"/>
        <v>0</v>
      </c>
      <c r="M77" s="215">
        <f t="shared" si="100"/>
        <v>0</v>
      </c>
      <c r="N77" s="215">
        <f t="shared" si="101"/>
        <v>0</v>
      </c>
      <c r="O77" s="263"/>
      <c r="P77" s="215"/>
      <c r="Q77" s="215"/>
      <c r="R77" s="232"/>
      <c r="S77" s="233"/>
    </row>
    <row r="78" spans="1:19" x14ac:dyDescent="0.2">
      <c r="A78" s="251" t="s">
        <v>224</v>
      </c>
      <c r="B78" s="214" t="str">
        <f t="shared" si="74"/>
        <v>Tenaga Kerja Penjual</v>
      </c>
      <c r="C78" s="252" t="str">
        <f t="shared" si="93"/>
        <v>D</v>
      </c>
      <c r="D78" s="232">
        <f t="shared" si="94"/>
        <v>0</v>
      </c>
      <c r="E78" s="233">
        <f t="shared" si="95"/>
        <v>0</v>
      </c>
      <c r="F78" s="232">
        <f>SUMIF('Jurnal Trans Klausa'!D:D,A:A,'Jurnal Trans Klausa'!F:F)</f>
        <v>0</v>
      </c>
      <c r="G78" s="233">
        <f>SUMIF('Jurnal Trans Klausa'!G:G,A:A,'Jurnal Trans Klausa'!I:I)</f>
        <v>0</v>
      </c>
      <c r="H78" s="232">
        <f t="shared" si="97"/>
        <v>0</v>
      </c>
      <c r="I78" s="233"/>
      <c r="J78" s="207" t="str">
        <f t="shared" si="96"/>
        <v>LR</v>
      </c>
      <c r="K78" s="232">
        <f t="shared" si="98"/>
        <v>0</v>
      </c>
      <c r="L78" s="233">
        <f t="shared" si="99"/>
        <v>0</v>
      </c>
      <c r="M78" s="215">
        <f t="shared" si="100"/>
        <v>0</v>
      </c>
      <c r="N78" s="215">
        <f t="shared" si="101"/>
        <v>0</v>
      </c>
      <c r="O78" s="263"/>
      <c r="P78" s="215"/>
      <c r="Q78" s="215"/>
      <c r="R78" s="232"/>
      <c r="S78" s="233"/>
    </row>
    <row r="79" spans="1:19" x14ac:dyDescent="0.2">
      <c r="A79" s="251" t="s">
        <v>233</v>
      </c>
      <c r="B79" s="214" t="str">
        <f t="shared" si="74"/>
        <v>Riset Produk dan Riset Pasar</v>
      </c>
      <c r="C79" s="252" t="str">
        <f t="shared" si="93"/>
        <v>D</v>
      </c>
      <c r="D79" s="232">
        <f t="shared" si="94"/>
        <v>0</v>
      </c>
      <c r="E79" s="233">
        <f t="shared" si="95"/>
        <v>0</v>
      </c>
      <c r="F79" s="232">
        <f>SUMIF('Jurnal Trans Klausa'!D:D,A:A,'Jurnal Trans Klausa'!F:F)</f>
        <v>0</v>
      </c>
      <c r="G79" s="233">
        <f>SUMIF('Jurnal Trans Klausa'!G:G,A:A,'Jurnal Trans Klausa'!I:I)</f>
        <v>0</v>
      </c>
      <c r="H79" s="232">
        <f t="shared" si="97"/>
        <v>0</v>
      </c>
      <c r="I79" s="233"/>
      <c r="J79" s="207" t="str">
        <f t="shared" si="96"/>
        <v>LR</v>
      </c>
      <c r="K79" s="232">
        <f t="shared" si="98"/>
        <v>0</v>
      </c>
      <c r="L79" s="233">
        <f t="shared" si="99"/>
        <v>0</v>
      </c>
      <c r="M79" s="215">
        <f t="shared" si="100"/>
        <v>0</v>
      </c>
      <c r="N79" s="215">
        <f t="shared" si="101"/>
        <v>0</v>
      </c>
      <c r="O79" s="263"/>
      <c r="P79" s="215"/>
      <c r="Q79" s="215"/>
      <c r="R79" s="232"/>
      <c r="S79" s="233"/>
    </row>
    <row r="80" spans="1:19" x14ac:dyDescent="0.2">
      <c r="A80" s="251" t="s">
        <v>313</v>
      </c>
      <c r="B80" s="214" t="str">
        <f t="shared" si="74"/>
        <v>Biaya Lain-lain</v>
      </c>
      <c r="C80" s="252" t="str">
        <f t="shared" si="93"/>
        <v>D</v>
      </c>
      <c r="D80" s="232">
        <f t="shared" si="94"/>
        <v>0</v>
      </c>
      <c r="E80" s="233">
        <f t="shared" si="95"/>
        <v>0</v>
      </c>
      <c r="F80" s="232">
        <f>SUMIF('Jurnal Trans Klausa'!D:D,A:A,'Jurnal Trans Klausa'!F:F)</f>
        <v>3070000</v>
      </c>
      <c r="G80" s="233">
        <f>SUMIF('Jurnal Trans Klausa'!G:G,A:A,'Jurnal Trans Klausa'!I:I)</f>
        <v>0</v>
      </c>
      <c r="H80" s="232">
        <f t="shared" si="97"/>
        <v>3070000</v>
      </c>
      <c r="I80" s="233"/>
      <c r="J80" s="207" t="str">
        <f t="shared" si="96"/>
        <v>LR</v>
      </c>
      <c r="K80" s="232">
        <f t="shared" si="98"/>
        <v>3070000</v>
      </c>
      <c r="L80" s="233">
        <f t="shared" si="99"/>
        <v>0</v>
      </c>
      <c r="M80" s="215">
        <f t="shared" si="100"/>
        <v>0</v>
      </c>
      <c r="N80" s="215">
        <f t="shared" si="101"/>
        <v>0</v>
      </c>
      <c r="O80" s="263"/>
      <c r="P80" s="215"/>
      <c r="Q80" s="215"/>
      <c r="R80" s="232"/>
      <c r="S80" s="233"/>
    </row>
    <row r="81" spans="1:19" x14ac:dyDescent="0.2">
      <c r="A81" s="251" t="s">
        <v>314</v>
      </c>
      <c r="B81" s="219" t="str">
        <f>'Neraca Awal'!B78</f>
        <v>MUTASI LABA</v>
      </c>
      <c r="C81" s="252"/>
      <c r="D81" s="232"/>
      <c r="E81" s="233"/>
      <c r="F81" s="232"/>
      <c r="G81" s="233"/>
      <c r="H81" s="232"/>
      <c r="I81" s="233"/>
      <c r="J81" s="207"/>
      <c r="K81" s="232"/>
      <c r="L81" s="233"/>
      <c r="M81" s="215"/>
      <c r="N81" s="215"/>
      <c r="O81" s="263"/>
      <c r="P81" s="215"/>
      <c r="Q81" s="215"/>
      <c r="R81" s="232"/>
      <c r="S81" s="233"/>
    </row>
    <row r="82" spans="1:19" x14ac:dyDescent="0.2">
      <c r="A82" s="251" t="s">
        <v>315</v>
      </c>
      <c r="B82" s="214" t="str">
        <f>'Neraca Awal'!B79</f>
        <v>Capital Gain</v>
      </c>
      <c r="C82" s="252" t="str">
        <f t="shared" ref="C82:C87" si="102">VLOOKUP(A82,Saldo,3,FALSE)</f>
        <v>D</v>
      </c>
      <c r="D82" s="232"/>
      <c r="E82" s="233"/>
      <c r="F82" s="232"/>
      <c r="G82" s="233"/>
      <c r="H82" s="232"/>
      <c r="I82" s="233"/>
      <c r="J82" s="207"/>
      <c r="K82" s="232"/>
      <c r="L82" s="233"/>
      <c r="M82" s="215"/>
      <c r="N82" s="215"/>
      <c r="O82" s="268">
        <v>0.15</v>
      </c>
      <c r="P82" s="215">
        <f>IF($K$89&gt;0,O82*$K$89,0)</f>
        <v>901250.625</v>
      </c>
      <c r="Q82" s="215"/>
      <c r="R82" s="232"/>
      <c r="S82" s="233"/>
    </row>
    <row r="83" spans="1:19" x14ac:dyDescent="0.2">
      <c r="A83" s="251" t="s">
        <v>316</v>
      </c>
      <c r="B83" s="214" t="str">
        <f>'Neraca Awal'!B80</f>
        <v>Laba ditahan</v>
      </c>
      <c r="C83" s="252" t="str">
        <f t="shared" si="102"/>
        <v>D</v>
      </c>
      <c r="D83" s="232"/>
      <c r="E83" s="233"/>
      <c r="F83" s="232"/>
      <c r="G83" s="233"/>
      <c r="H83" s="232"/>
      <c r="I83" s="233"/>
      <c r="J83" s="207"/>
      <c r="K83" s="232"/>
      <c r="L83" s="233"/>
      <c r="M83" s="215"/>
      <c r="N83" s="215"/>
      <c r="O83" s="268">
        <v>0.05</v>
      </c>
      <c r="P83" s="215">
        <f>IF($K$89&gt;0,O83*$K$89,$K$89)</f>
        <v>300416.875</v>
      </c>
      <c r="Q83" s="215"/>
      <c r="R83" s="232"/>
      <c r="S83" s="233"/>
    </row>
    <row r="84" spans="1:19" x14ac:dyDescent="0.2">
      <c r="A84" s="251" t="s">
        <v>317</v>
      </c>
      <c r="B84" s="214" t="str">
        <f>'Neraca Awal'!B81</f>
        <v>Dividen Saham</v>
      </c>
      <c r="C84" s="252" t="str">
        <f t="shared" si="102"/>
        <v>D</v>
      </c>
      <c r="D84" s="232"/>
      <c r="E84" s="233"/>
      <c r="F84" s="232"/>
      <c r="G84" s="233"/>
      <c r="H84" s="232"/>
      <c r="I84" s="233"/>
      <c r="J84" s="207"/>
      <c r="K84" s="232"/>
      <c r="L84" s="233"/>
      <c r="M84" s="215"/>
      <c r="N84" s="215"/>
      <c r="O84" s="268">
        <v>0.25</v>
      </c>
      <c r="P84" s="215">
        <f>IF($K$89&gt;0,O84*$K$89,0)</f>
        <v>1502084.375</v>
      </c>
      <c r="Q84" s="215"/>
      <c r="R84" s="232"/>
      <c r="S84" s="233"/>
    </row>
    <row r="85" spans="1:19" x14ac:dyDescent="0.2">
      <c r="A85" s="251" t="s">
        <v>318</v>
      </c>
      <c r="B85" s="214" t="str">
        <f>'Neraca Awal'!B82</f>
        <v>Bagi Hasil Investor</v>
      </c>
      <c r="C85" s="252" t="str">
        <f t="shared" si="102"/>
        <v>D</v>
      </c>
      <c r="D85" s="232"/>
      <c r="E85" s="233"/>
      <c r="F85" s="232"/>
      <c r="G85" s="233"/>
      <c r="H85" s="232"/>
      <c r="I85" s="233"/>
      <c r="J85" s="207"/>
      <c r="K85" s="232"/>
      <c r="L85" s="233"/>
      <c r="M85" s="215"/>
      <c r="N85" s="215"/>
      <c r="O85" s="554">
        <v>0.3</v>
      </c>
      <c r="P85" s="215">
        <f>IF($K$89&gt;0,O85*$K$89,0)</f>
        <v>1802501.25</v>
      </c>
      <c r="Q85" s="215"/>
      <c r="R85" s="232"/>
      <c r="S85" s="233"/>
    </row>
    <row r="86" spans="1:19" x14ac:dyDescent="0.2">
      <c r="A86" s="251" t="s">
        <v>319</v>
      </c>
      <c r="B86" s="214" t="str">
        <f>'Neraca Awal'!B83</f>
        <v>Prive</v>
      </c>
      <c r="C86" s="252" t="str">
        <f t="shared" si="102"/>
        <v>D</v>
      </c>
      <c r="D86" s="232"/>
      <c r="E86" s="233"/>
      <c r="F86" s="232"/>
      <c r="G86" s="233"/>
      <c r="H86" s="232"/>
      <c r="I86" s="233"/>
      <c r="J86" s="207"/>
      <c r="K86" s="232"/>
      <c r="L86" s="233"/>
      <c r="M86" s="215"/>
      <c r="N86" s="215"/>
      <c r="O86" s="268">
        <v>0.25</v>
      </c>
      <c r="P86" s="215">
        <f>IF($K$89&gt;0,O86*$K$89,0)</f>
        <v>1502084.375</v>
      </c>
      <c r="Q86" s="215"/>
      <c r="R86" s="232"/>
      <c r="S86" s="233"/>
    </row>
    <row r="87" spans="1:19" x14ac:dyDescent="0.2">
      <c r="A87" s="251" t="s">
        <v>320</v>
      </c>
      <c r="B87" s="214" t="str">
        <f>'Neraca Awal'!B84</f>
        <v>Empty Akun</v>
      </c>
      <c r="C87" s="252" t="str">
        <f t="shared" si="102"/>
        <v>K</v>
      </c>
      <c r="D87" s="232"/>
      <c r="E87" s="233"/>
      <c r="F87" s="232"/>
      <c r="G87" s="233"/>
      <c r="H87" s="232"/>
      <c r="I87" s="233"/>
      <c r="J87" s="207"/>
      <c r="K87" s="232"/>
      <c r="L87" s="233"/>
      <c r="M87" s="215"/>
      <c r="N87" s="215"/>
      <c r="O87" s="268"/>
      <c r="P87" s="215">
        <f>IF($K$89&gt;0,O87*$K$89,0)</f>
        <v>0</v>
      </c>
      <c r="Q87" s="215">
        <f>P86</f>
        <v>1502084.375</v>
      </c>
      <c r="R87" s="232"/>
      <c r="S87" s="233">
        <f>Q87</f>
        <v>1502084.375</v>
      </c>
    </row>
    <row r="88" spans="1:19" s="8" customFormat="1" ht="16.5" customHeight="1" x14ac:dyDescent="0.2">
      <c r="A88" s="254"/>
      <c r="B88" s="220" t="s">
        <v>94</v>
      </c>
      <c r="C88" s="255"/>
      <c r="D88" s="242">
        <f t="shared" ref="D88:I88" si="103">SUM(D10:D87)</f>
        <v>134274560.125</v>
      </c>
      <c r="E88" s="243">
        <f t="shared" si="103"/>
        <v>134274560.12500006</v>
      </c>
      <c r="F88" s="242">
        <f t="shared" si="103"/>
        <v>106712137.5</v>
      </c>
      <c r="G88" s="243">
        <f t="shared" si="103"/>
        <v>106712137.5</v>
      </c>
      <c r="H88" s="242">
        <f t="shared" si="103"/>
        <v>184956560.125</v>
      </c>
      <c r="I88" s="243">
        <f t="shared" si="103"/>
        <v>184956560.12500006</v>
      </c>
      <c r="J88" s="221"/>
      <c r="K88" s="242">
        <f t="shared" ref="K88:S88" si="104">SUM(K10:K87)</f>
        <v>44673662.5</v>
      </c>
      <c r="L88" s="243">
        <f t="shared" si="104"/>
        <v>50682000</v>
      </c>
      <c r="M88" s="221">
        <f t="shared" si="104"/>
        <v>140282897.625</v>
      </c>
      <c r="N88" s="221">
        <f t="shared" si="104"/>
        <v>134274560.12500006</v>
      </c>
      <c r="O88" s="511">
        <f t="shared" si="104"/>
        <v>1.9999999999999998</v>
      </c>
      <c r="P88" s="221">
        <f t="shared" si="104"/>
        <v>6008337.5</v>
      </c>
      <c r="Q88" s="221">
        <f>SUM(Q10:Q87)</f>
        <v>6008337.5</v>
      </c>
      <c r="R88" s="242">
        <f t="shared" si="104"/>
        <v>140282897.625</v>
      </c>
      <c r="S88" s="243">
        <f t="shared" si="104"/>
        <v>140282897.62500006</v>
      </c>
    </row>
    <row r="89" spans="1:19" s="8" customFormat="1" ht="16.5" customHeight="1" x14ac:dyDescent="0.2">
      <c r="A89" s="244"/>
      <c r="B89" s="223" t="s">
        <v>414</v>
      </c>
      <c r="C89" s="245"/>
      <c r="D89" s="244"/>
      <c r="E89" s="245"/>
      <c r="F89" s="244"/>
      <c r="G89" s="248">
        <f>F88-G88</f>
        <v>0</v>
      </c>
      <c r="H89" s="244"/>
      <c r="I89" s="250">
        <f>H88-I88</f>
        <v>0</v>
      </c>
      <c r="J89" s="222"/>
      <c r="K89" s="259">
        <f>L88-K88</f>
        <v>6008337.5</v>
      </c>
      <c r="L89" s="250"/>
      <c r="M89" s="222"/>
      <c r="N89" s="224">
        <f>K89</f>
        <v>6008337.5</v>
      </c>
      <c r="O89" s="269"/>
      <c r="P89" s="222"/>
      <c r="Q89" s="224">
        <f>P88-Q88</f>
        <v>0</v>
      </c>
      <c r="R89" s="244"/>
      <c r="S89" s="248">
        <f>R88-S88</f>
        <v>0</v>
      </c>
    </row>
    <row r="90" spans="1:19" s="8" customFormat="1" ht="16.5" customHeight="1" x14ac:dyDescent="0.2">
      <c r="A90" s="244"/>
      <c r="B90" s="223" t="s">
        <v>223</v>
      </c>
      <c r="C90" s="245"/>
      <c r="D90" s="244"/>
      <c r="E90" s="245"/>
      <c r="F90" s="244"/>
      <c r="G90" s="248"/>
      <c r="H90" s="244"/>
      <c r="I90" s="250"/>
      <c r="J90" s="222"/>
      <c r="K90" s="259">
        <f>P83</f>
        <v>300416.875</v>
      </c>
      <c r="L90" s="250"/>
      <c r="M90" s="222"/>
      <c r="N90" s="224"/>
      <c r="O90" s="269"/>
      <c r="P90" s="222"/>
      <c r="Q90" s="222"/>
      <c r="R90" s="244"/>
      <c r="S90" s="248"/>
    </row>
    <row r="91" spans="1:19" s="8" customFormat="1" ht="16.5" customHeight="1" x14ac:dyDescent="0.2">
      <c r="A91" s="244"/>
      <c r="B91" s="223" t="s">
        <v>415</v>
      </c>
      <c r="C91" s="245"/>
      <c r="D91" s="244"/>
      <c r="E91" s="245"/>
      <c r="F91" s="244"/>
      <c r="G91" s="248"/>
      <c r="H91" s="244"/>
      <c r="I91" s="250"/>
      <c r="J91" s="222"/>
      <c r="K91" s="259">
        <f>K89-K90</f>
        <v>5707920.625</v>
      </c>
      <c r="L91" s="250"/>
      <c r="M91" s="222"/>
      <c r="N91" s="224"/>
      <c r="O91" s="269"/>
      <c r="P91" s="222"/>
      <c r="Q91" s="222"/>
      <c r="R91" s="244"/>
      <c r="S91" s="248"/>
    </row>
    <row r="92" spans="1:19" s="8" customFormat="1" ht="16.5" customHeight="1" x14ac:dyDescent="0.2">
      <c r="A92" s="246"/>
      <c r="B92" s="226" t="s">
        <v>117</v>
      </c>
      <c r="C92" s="247"/>
      <c r="D92" s="246"/>
      <c r="E92" s="247"/>
      <c r="F92" s="246"/>
      <c r="G92" s="247"/>
      <c r="H92" s="246"/>
      <c r="I92" s="247"/>
      <c r="J92" s="225"/>
      <c r="K92" s="260">
        <f>K88+K89</f>
        <v>50682000</v>
      </c>
      <c r="L92" s="261">
        <f>L88+L89</f>
        <v>50682000</v>
      </c>
      <c r="M92" s="227">
        <f>M88+M89</f>
        <v>140282897.625</v>
      </c>
      <c r="N92" s="227">
        <f>N88+N89</f>
        <v>140282897.62500006</v>
      </c>
      <c r="O92" s="270"/>
      <c r="P92" s="225"/>
      <c r="Q92" s="225"/>
      <c r="R92" s="260"/>
      <c r="S92" s="261"/>
    </row>
    <row r="93" spans="1:19" x14ac:dyDescent="0.2">
      <c r="A93" s="256"/>
      <c r="B93" s="257" t="s">
        <v>95</v>
      </c>
      <c r="C93" s="258"/>
      <c r="D93" s="604" t="str">
        <f>IF(D88=E88,"SALDO IMBANG","SALAH. CEK LAGI")</f>
        <v>SALDO IMBANG</v>
      </c>
      <c r="E93" s="605"/>
      <c r="F93" s="604" t="str">
        <f>IF(F88=G88,"SALDO IMBANG","SALAH. CEK LAGI")</f>
        <v>SALDO IMBANG</v>
      </c>
      <c r="G93" s="605"/>
      <c r="H93" s="604" t="str">
        <f>IF(H88=I88,"SALDO IMBANG","SALAH. CEK LAGI")</f>
        <v>SALDO IMBANG</v>
      </c>
      <c r="I93" s="605"/>
      <c r="J93" s="272"/>
      <c r="K93" s="604" t="str">
        <f>IF(K92=L92,"SALDO IMBANG","SALAH. CEK LAGI")</f>
        <v>SALDO IMBANG</v>
      </c>
      <c r="L93" s="605"/>
      <c r="M93" s="608" t="str">
        <f>IF(M92=N92,"SALDO IMBANG","SALAH. CEK LAGI")</f>
        <v>SALDO IMBANG</v>
      </c>
      <c r="N93" s="608"/>
      <c r="O93" s="271"/>
      <c r="P93" s="608" t="str">
        <f>IF(P88=Q88,"SALDO IMBANG","SALAH. CEK LAGI")</f>
        <v>SALDO IMBANG</v>
      </c>
      <c r="Q93" s="608"/>
      <c r="R93" s="604" t="str">
        <f>IF(R88=S88,"SALDO IMBANG","SALAH. CEK LAGI")</f>
        <v>SALDO IMBANG</v>
      </c>
      <c r="S93" s="605"/>
    </row>
    <row r="95" spans="1:19" x14ac:dyDescent="0.2">
      <c r="F95" s="26"/>
      <c r="G95" s="26"/>
    </row>
  </sheetData>
  <mergeCells count="23">
    <mergeCell ref="K93:L93"/>
    <mergeCell ref="H93:I93"/>
    <mergeCell ref="F93:G93"/>
    <mergeCell ref="D93:E93"/>
    <mergeCell ref="P93:Q93"/>
    <mergeCell ref="R93:S93"/>
    <mergeCell ref="O7:O8"/>
    <mergeCell ref="M93:N93"/>
    <mergeCell ref="M7:N7"/>
    <mergeCell ref="P7:Q7"/>
    <mergeCell ref="A2:S2"/>
    <mergeCell ref="A3:S3"/>
    <mergeCell ref="A4:S4"/>
    <mergeCell ref="A5:S5"/>
    <mergeCell ref="A7:A8"/>
    <mergeCell ref="J7:J8"/>
    <mergeCell ref="K7:L7"/>
    <mergeCell ref="F7:G7"/>
    <mergeCell ref="D7:E7"/>
    <mergeCell ref="H7:I7"/>
    <mergeCell ref="C7:C8"/>
    <mergeCell ref="B7:B8"/>
    <mergeCell ref="R7:S7"/>
  </mergeCells>
  <phoneticPr fontId="2" type="noConversion"/>
  <pageMargins left="1.7716535433070868" right="0.78740157480314965" top="0.78740157480314965" bottom="1.1811023622047245" header="0.31496062992125984" footer="0.31496062992125984"/>
  <pageSetup paperSize="8" scale="70" orientation="landscape" horizontalDpi="4294967293" r:id="rId1"/>
  <headerFooter alignWithMargins="0"/>
  <ignoredErrors>
    <ignoredError sqref="Q47 P8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4:J23"/>
  <sheetViews>
    <sheetView topLeftCell="C1" workbookViewId="0">
      <selection activeCell="H7" sqref="H7"/>
    </sheetView>
  </sheetViews>
  <sheetFormatPr defaultRowHeight="12.75" x14ac:dyDescent="0.2"/>
  <cols>
    <col min="1" max="1" width="4.5703125" style="512" customWidth="1"/>
    <col min="2" max="2" width="17.85546875" style="470" customWidth="1"/>
    <col min="3" max="3" width="11.28515625" style="470" bestFit="1" customWidth="1"/>
    <col min="4" max="8" width="11" style="470" bestFit="1" customWidth="1"/>
    <col min="9" max="9" width="9.140625" style="470"/>
    <col min="10" max="10" width="11" style="470" bestFit="1" customWidth="1"/>
    <col min="11" max="16384" width="9.140625" style="470"/>
  </cols>
  <sheetData>
    <row r="4" spans="1:10" x14ac:dyDescent="0.2">
      <c r="C4" s="470" t="s">
        <v>619</v>
      </c>
      <c r="D4" s="470" t="s">
        <v>620</v>
      </c>
      <c r="E4" s="470" t="s">
        <v>432</v>
      </c>
      <c r="F4" s="470" t="s">
        <v>441</v>
      </c>
      <c r="G4" s="470" t="s">
        <v>442</v>
      </c>
      <c r="H4" s="470" t="s">
        <v>443</v>
      </c>
      <c r="I4" s="470" t="s">
        <v>444</v>
      </c>
    </row>
    <row r="5" spans="1:10" x14ac:dyDescent="0.2">
      <c r="A5" s="512">
        <v>1</v>
      </c>
      <c r="B5" s="470" t="s">
        <v>448</v>
      </c>
      <c r="C5" s="67">
        <f>60000000-21500000-13300000</f>
        <v>25200000</v>
      </c>
      <c r="D5" s="67">
        <f>C11</f>
        <v>23650000</v>
      </c>
      <c r="E5" s="67">
        <f t="shared" ref="E5:H5" si="0">D11</f>
        <v>29100000</v>
      </c>
      <c r="F5" s="67">
        <f t="shared" si="0"/>
        <v>36050000</v>
      </c>
      <c r="G5" s="67">
        <f t="shared" si="0"/>
        <v>41500000</v>
      </c>
      <c r="H5" s="67">
        <f t="shared" si="0"/>
        <v>45450000</v>
      </c>
    </row>
    <row r="6" spans="1:10" x14ac:dyDescent="0.2">
      <c r="A6" s="512">
        <v>1</v>
      </c>
      <c r="B6" s="470" t="s">
        <v>445</v>
      </c>
      <c r="C6" s="67">
        <v>3450000</v>
      </c>
      <c r="D6" s="67">
        <f>C6</f>
        <v>3450000</v>
      </c>
      <c r="E6" s="67">
        <f>D6</f>
        <v>3450000</v>
      </c>
      <c r="F6" s="67">
        <f>E6</f>
        <v>3450000</v>
      </c>
      <c r="G6" s="67">
        <f>F6</f>
        <v>3450000</v>
      </c>
      <c r="H6" s="67">
        <f>G6</f>
        <v>3450000</v>
      </c>
    </row>
    <row r="7" spans="1:10" x14ac:dyDescent="0.2">
      <c r="A7" s="512">
        <v>1</v>
      </c>
      <c r="B7" s="470" t="s">
        <v>446</v>
      </c>
      <c r="C7" s="67">
        <v>-5000000</v>
      </c>
      <c r="D7" s="67">
        <v>2000000</v>
      </c>
      <c r="E7" s="67">
        <v>3500000</v>
      </c>
      <c r="F7" s="67">
        <v>2000000</v>
      </c>
      <c r="G7" s="67">
        <v>500000</v>
      </c>
      <c r="H7" s="67">
        <v>-1000000</v>
      </c>
    </row>
    <row r="8" spans="1:10" x14ac:dyDescent="0.2">
      <c r="A8" s="513">
        <v>1</v>
      </c>
      <c r="B8" s="470" t="s">
        <v>470</v>
      </c>
      <c r="C8" s="67"/>
      <c r="D8" s="67"/>
      <c r="E8" s="67"/>
      <c r="F8" s="67"/>
      <c r="G8" s="67"/>
      <c r="H8" s="67"/>
    </row>
    <row r="9" spans="1:10" x14ac:dyDescent="0.2">
      <c r="A9" s="513">
        <v>-1</v>
      </c>
      <c r="B9" s="470" t="s">
        <v>471</v>
      </c>
      <c r="C9" s="67"/>
      <c r="D9" s="67"/>
      <c r="E9" s="67"/>
      <c r="F9" s="67"/>
      <c r="G9" s="67"/>
      <c r="H9" s="67"/>
    </row>
    <row r="10" spans="1:10" x14ac:dyDescent="0.2">
      <c r="A10" s="513"/>
      <c r="C10" s="67"/>
      <c r="D10" s="67"/>
      <c r="E10" s="67"/>
      <c r="F10" s="67"/>
      <c r="G10" s="67"/>
      <c r="H10" s="67"/>
    </row>
    <row r="11" spans="1:10" x14ac:dyDescent="0.2">
      <c r="B11" s="470" t="s">
        <v>447</v>
      </c>
      <c r="C11" s="67">
        <f>SUM(C5:C10)</f>
        <v>23650000</v>
      </c>
      <c r="D11" s="67">
        <f t="shared" ref="D11:H11" si="1">SUM(D5:D10)</f>
        <v>29100000</v>
      </c>
      <c r="E11" s="67">
        <f t="shared" si="1"/>
        <v>36050000</v>
      </c>
      <c r="F11" s="67">
        <f t="shared" si="1"/>
        <v>41500000</v>
      </c>
      <c r="G11" s="67">
        <f t="shared" si="1"/>
        <v>45450000</v>
      </c>
      <c r="H11" s="67">
        <f t="shared" si="1"/>
        <v>47900000</v>
      </c>
      <c r="J11" s="486"/>
    </row>
    <row r="12" spans="1:10" x14ac:dyDescent="0.2">
      <c r="C12" s="67"/>
      <c r="D12" s="67"/>
      <c r="E12" s="67"/>
      <c r="F12" s="67"/>
      <c r="G12" s="67"/>
      <c r="H12" s="67"/>
    </row>
    <row r="13" spans="1:10" x14ac:dyDescent="0.2">
      <c r="C13" s="67"/>
      <c r="D13" s="67"/>
      <c r="E13" s="67"/>
      <c r="F13" s="67"/>
      <c r="G13" s="67"/>
      <c r="H13" s="67"/>
    </row>
    <row r="14" spans="1:10" x14ac:dyDescent="0.2">
      <c r="B14" s="470" t="s">
        <v>222</v>
      </c>
      <c r="D14" s="67">
        <f>C7*25%</f>
        <v>-1250000</v>
      </c>
      <c r="E14" s="67">
        <f t="shared" ref="E14:H14" si="2">D7*25%</f>
        <v>500000</v>
      </c>
      <c r="F14" s="67">
        <f t="shared" si="2"/>
        <v>875000</v>
      </c>
      <c r="G14" s="67">
        <f t="shared" si="2"/>
        <v>500000</v>
      </c>
      <c r="H14" s="67">
        <f t="shared" si="2"/>
        <v>125000</v>
      </c>
    </row>
    <row r="15" spans="1:10" x14ac:dyDescent="0.2">
      <c r="C15" s="67"/>
      <c r="D15" s="67">
        <f>'Neraca Awal'!G43</f>
        <v>11326113.75</v>
      </c>
      <c r="E15" s="67">
        <f t="shared" ref="E15:H15" si="3">D15+E14</f>
        <v>11826113.75</v>
      </c>
      <c r="F15" s="67">
        <f t="shared" si="3"/>
        <v>12701113.75</v>
      </c>
      <c r="G15" s="67">
        <f t="shared" si="3"/>
        <v>13201113.75</v>
      </c>
      <c r="H15" s="67">
        <f t="shared" si="3"/>
        <v>13326113.75</v>
      </c>
      <c r="I15" s="435">
        <f>H15/25000000</f>
        <v>0.53304454999999995</v>
      </c>
      <c r="J15" s="486">
        <f>H11-H15</f>
        <v>34573886.25</v>
      </c>
    </row>
    <row r="16" spans="1:10" x14ac:dyDescent="0.2">
      <c r="C16" s="67"/>
      <c r="D16" s="67"/>
      <c r="E16" s="67"/>
      <c r="F16" s="67"/>
      <c r="G16" s="67"/>
      <c r="H16" s="67"/>
    </row>
    <row r="17" spans="2:10" x14ac:dyDescent="0.2">
      <c r="B17" s="470" t="s">
        <v>133</v>
      </c>
      <c r="C17" s="67"/>
      <c r="D17" s="67">
        <f>C7*40%*70%</f>
        <v>-1400000</v>
      </c>
      <c r="E17" s="67">
        <f t="shared" ref="E17:H17" si="4">D7*40%*70%</f>
        <v>560000</v>
      </c>
      <c r="F17" s="67">
        <f t="shared" si="4"/>
        <v>979999.99999999988</v>
      </c>
      <c r="G17" s="67">
        <f t="shared" si="4"/>
        <v>560000</v>
      </c>
      <c r="H17" s="67">
        <f t="shared" si="4"/>
        <v>140000</v>
      </c>
    </row>
    <row r="18" spans="2:10" x14ac:dyDescent="0.2">
      <c r="C18" s="67"/>
      <c r="D18" s="67">
        <f>'Neraca Awal'!G36</f>
        <v>63266831.304162428</v>
      </c>
      <c r="E18" s="67">
        <f t="shared" ref="E18" si="5">D18+E17</f>
        <v>63826831.304162428</v>
      </c>
      <c r="F18" s="67">
        <f t="shared" ref="F18" si="6">E18+F17</f>
        <v>64806831.304162428</v>
      </c>
      <c r="G18" s="67">
        <f t="shared" ref="G18" si="7">F18+G17</f>
        <v>65366831.304162428</v>
      </c>
      <c r="H18" s="67">
        <f t="shared" ref="H18" si="8">G18+H17</f>
        <v>65506831.304162428</v>
      </c>
    </row>
    <row r="19" spans="2:10" x14ac:dyDescent="0.2">
      <c r="C19" s="67"/>
      <c r="D19" s="67"/>
      <c r="E19" s="67"/>
      <c r="F19" s="67"/>
      <c r="G19" s="67"/>
      <c r="H19" s="67"/>
    </row>
    <row r="20" spans="2:10" x14ac:dyDescent="0.2">
      <c r="B20" s="470" t="s">
        <v>134</v>
      </c>
      <c r="D20" s="67">
        <f>C7*40%*30%</f>
        <v>-600000</v>
      </c>
      <c r="E20" s="67">
        <f t="shared" ref="E20:H20" si="9">D7*40%*30%</f>
        <v>240000</v>
      </c>
      <c r="F20" s="67">
        <f t="shared" si="9"/>
        <v>420000</v>
      </c>
      <c r="G20" s="67">
        <f t="shared" si="9"/>
        <v>240000</v>
      </c>
      <c r="H20" s="67">
        <f t="shared" si="9"/>
        <v>60000</v>
      </c>
    </row>
    <row r="21" spans="2:10" x14ac:dyDescent="0.2">
      <c r="C21" s="486"/>
      <c r="D21" s="67">
        <f>'Neraca Awal'!G38</f>
        <v>11961306.852764826</v>
      </c>
      <c r="E21" s="67">
        <f t="shared" ref="E21" si="10">D21+E20</f>
        <v>12201306.852764826</v>
      </c>
      <c r="F21" s="67">
        <f t="shared" ref="F21" si="11">E21+F20</f>
        <v>12621306.852764826</v>
      </c>
      <c r="G21" s="67">
        <f t="shared" ref="G21" si="12">F21+G20</f>
        <v>12861306.852764826</v>
      </c>
      <c r="H21" s="67">
        <f t="shared" ref="H21" si="13">G21+H20</f>
        <v>12921306.852764826</v>
      </c>
      <c r="J21" s="486">
        <f>J15-H21</f>
        <v>21652579.397235174</v>
      </c>
    </row>
    <row r="23" spans="2:10" x14ac:dyDescent="0.2">
      <c r="H23" s="486">
        <f>H15+H18+H21</f>
        <v>91754251.906927258</v>
      </c>
    </row>
  </sheetData>
  <pageMargins left="0.7" right="0.7" top="0.75" bottom="0.75" header="0.3" footer="0.3"/>
  <pageSetup paperSize="9" orientation="portrait" r:id="rId1"/>
  <ignoredErrors>
    <ignoredError sqref="D17:H17 D20:H2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60"/>
  <sheetViews>
    <sheetView showGridLines="0" tabSelected="1" topLeftCell="A18" zoomScaleNormal="100" workbookViewId="0">
      <selection activeCell="I59" sqref="I59"/>
    </sheetView>
  </sheetViews>
  <sheetFormatPr defaultColWidth="0" defaultRowHeight="12.75" zeroHeight="1" x14ac:dyDescent="0.2"/>
  <cols>
    <col min="1" max="1" width="34.7109375" style="73" customWidth="1"/>
    <col min="2" max="4" width="13.140625" style="73" customWidth="1"/>
    <col min="5" max="5" width="1.5703125" style="73" customWidth="1"/>
    <col min="6" max="6" width="31.140625" style="73" customWidth="1"/>
    <col min="7" max="9" width="13.140625" style="73" customWidth="1"/>
    <col min="10" max="10" width="4.7109375" style="73" hidden="1" customWidth="1"/>
    <col min="11" max="11" width="14" style="73" hidden="1" customWidth="1"/>
    <col min="12" max="12" width="11" style="89" hidden="1" customWidth="1"/>
    <col min="13" max="16384" width="8" style="73" hidden="1"/>
  </cols>
  <sheetData>
    <row r="1" spans="1:12" s="71" customFormat="1" ht="18" customHeight="1" x14ac:dyDescent="0.35">
      <c r="A1" s="591" t="str">
        <f>'Neraca Lajur'!A2</f>
        <v>KLAUSA CAKE</v>
      </c>
      <c r="B1" s="591"/>
      <c r="C1" s="591"/>
      <c r="D1" s="591"/>
      <c r="E1" s="591"/>
      <c r="F1" s="591"/>
      <c r="G1" s="591"/>
      <c r="H1" s="591"/>
      <c r="I1" s="591"/>
      <c r="L1" s="301"/>
    </row>
    <row r="2" spans="1:12" s="72" customFormat="1" ht="16.5" customHeight="1" x14ac:dyDescent="0.2">
      <c r="A2" s="612" t="s">
        <v>12</v>
      </c>
      <c r="B2" s="612"/>
      <c r="C2" s="612"/>
      <c r="D2" s="612"/>
      <c r="E2" s="612"/>
      <c r="F2" s="612"/>
      <c r="G2" s="612"/>
      <c r="H2" s="612"/>
      <c r="I2" s="612"/>
      <c r="L2" s="302"/>
    </row>
    <row r="3" spans="1:12" s="72" customFormat="1" ht="15" customHeight="1" x14ac:dyDescent="0.2">
      <c r="A3" s="613" t="str">
        <f>'Neraca Lajur'!A4</f>
        <v>1 Desember 2017</v>
      </c>
      <c r="B3" s="613"/>
      <c r="C3" s="613"/>
      <c r="D3" s="613"/>
      <c r="E3" s="613"/>
      <c r="F3" s="613"/>
      <c r="G3" s="613"/>
      <c r="H3" s="613"/>
      <c r="I3" s="613"/>
      <c r="L3" s="302"/>
    </row>
    <row r="4" spans="1:12" s="72" customFormat="1" ht="15" customHeight="1" x14ac:dyDescent="0.2">
      <c r="A4" s="613" t="str">
        <f>'Neraca Lajur'!A5</f>
        <v>31 Desember 2017</v>
      </c>
      <c r="B4" s="613"/>
      <c r="C4" s="613"/>
      <c r="D4" s="613"/>
      <c r="E4" s="613"/>
      <c r="F4" s="613"/>
      <c r="G4" s="613"/>
      <c r="H4" s="613"/>
      <c r="I4" s="613"/>
      <c r="L4" s="302"/>
    </row>
    <row r="5" spans="1:12" ht="11.25" customHeight="1" thickBot="1" x14ac:dyDescent="0.25">
      <c r="A5" s="617"/>
      <c r="B5" s="617"/>
      <c r="C5" s="617"/>
      <c r="D5" s="617"/>
      <c r="E5" s="617"/>
      <c r="F5" s="617"/>
      <c r="G5" s="617"/>
      <c r="H5" s="617"/>
      <c r="I5" s="617"/>
    </row>
    <row r="6" spans="1:12" s="96" customFormat="1" ht="17.25" customHeight="1" x14ac:dyDescent="0.2">
      <c r="A6" s="614" t="s">
        <v>118</v>
      </c>
      <c r="B6" s="615"/>
      <c r="C6" s="615"/>
      <c r="D6" s="616"/>
      <c r="E6" s="95"/>
      <c r="F6" s="614" t="s">
        <v>119</v>
      </c>
      <c r="G6" s="615"/>
      <c r="H6" s="615"/>
      <c r="I6" s="616"/>
      <c r="L6" s="303"/>
    </row>
    <row r="7" spans="1:12" ht="27.75" customHeight="1" x14ac:dyDescent="0.2">
      <c r="A7" s="179" t="s">
        <v>7</v>
      </c>
      <c r="B7" s="180" t="s">
        <v>130</v>
      </c>
      <c r="C7" s="180" t="s">
        <v>131</v>
      </c>
      <c r="D7" s="180" t="s">
        <v>132</v>
      </c>
      <c r="E7" s="74"/>
      <c r="F7" s="179" t="str">
        <f>A7</f>
        <v>KETERANGAN</v>
      </c>
      <c r="G7" s="180" t="str">
        <f>B7</f>
        <v>Awal Periode</v>
      </c>
      <c r="H7" s="180" t="str">
        <f>C7</f>
        <v>Periode Berjalan</v>
      </c>
      <c r="I7" s="180" t="str">
        <f>D7</f>
        <v>Akhir Periode</v>
      </c>
    </row>
    <row r="8" spans="1:12" ht="15" customHeight="1" x14ac:dyDescent="0.2">
      <c r="A8" s="75" t="s">
        <v>25</v>
      </c>
      <c r="B8" s="76"/>
      <c r="C8" s="76"/>
      <c r="D8" s="76"/>
      <c r="E8" s="13"/>
      <c r="F8" s="75" t="s">
        <v>13</v>
      </c>
      <c r="G8" s="76"/>
      <c r="H8" s="76"/>
      <c r="I8" s="76"/>
    </row>
    <row r="9" spans="1:12" x14ac:dyDescent="0.2">
      <c r="A9" s="77" t="s">
        <v>26</v>
      </c>
      <c r="B9" s="78"/>
      <c r="C9" s="78"/>
      <c r="D9" s="78"/>
      <c r="E9" s="79"/>
      <c r="F9" s="77" t="s">
        <v>14</v>
      </c>
      <c r="G9" s="80"/>
      <c r="H9" s="80"/>
      <c r="I9" s="80"/>
      <c r="K9" s="299" t="s">
        <v>276</v>
      </c>
      <c r="L9" s="89">
        <v>2300000</v>
      </c>
    </row>
    <row r="10" spans="1:12" x14ac:dyDescent="0.2">
      <c r="A10" s="81" t="str">
        <f>'Neraca Awal'!B7</f>
        <v>Kas Kecil</v>
      </c>
      <c r="B10" s="82">
        <f>SUMIF('Neraca Lajur'!B:B,A:A,'Neraca Lajur'!D:D)</f>
        <v>47488760.125</v>
      </c>
      <c r="C10" s="82">
        <f>'Neraca Lajur'!F10-'Neraca Lajur'!G10</f>
        <v>14736600</v>
      </c>
      <c r="D10" s="82">
        <f>SUMIF('Neraca Lajur'!B:B,A:A,'Neraca Lajur'!R:R)</f>
        <v>62225360.125</v>
      </c>
      <c r="E10" s="83"/>
      <c r="F10" s="81" t="str">
        <f>'Neraca Awal'!B30</f>
        <v>Hutang Lancar</v>
      </c>
      <c r="G10" s="82">
        <f>SUMIF('Neraca Lajur'!B:B,F:F,'Neraca Lajur'!E:E)</f>
        <v>0</v>
      </c>
      <c r="H10" s="82">
        <f>'Neraca Lajur'!G33-'Neraca Lajur'!F33</f>
        <v>0</v>
      </c>
      <c r="I10" s="82">
        <f>SUMIF('Neraca Lajur'!B:B,F:F,'Neraca Lajur'!S:S)</f>
        <v>0</v>
      </c>
      <c r="K10" s="299" t="s">
        <v>277</v>
      </c>
      <c r="L10" s="89">
        <v>180000</v>
      </c>
    </row>
    <row r="11" spans="1:12" x14ac:dyDescent="0.2">
      <c r="A11" s="81" t="str">
        <f>'Neraca Awal'!B8</f>
        <v>BSM 1</v>
      </c>
      <c r="B11" s="82">
        <f>SUMIF('Neraca Lajur'!B:B,A:A,'Neraca Lajur'!D:D)</f>
        <v>0</v>
      </c>
      <c r="C11" s="82">
        <f>'Neraca Lajur'!F11-'Neraca Lajur'!G11</f>
        <v>0</v>
      </c>
      <c r="D11" s="82">
        <f>SUMIF('Neraca Lajur'!B:B,A:A,'Neraca Lajur'!R:R)</f>
        <v>0</v>
      </c>
      <c r="E11" s="84"/>
      <c r="F11" s="81"/>
      <c r="G11" s="85"/>
      <c r="H11" s="85"/>
      <c r="I11" s="82"/>
      <c r="K11" s="299" t="s">
        <v>278</v>
      </c>
      <c r="L11" s="89">
        <v>200000</v>
      </c>
    </row>
    <row r="12" spans="1:12" x14ac:dyDescent="0.2">
      <c r="A12" s="81" t="str">
        <f>'Neraca Awal'!B9</f>
        <v>BSM 2</v>
      </c>
      <c r="B12" s="82">
        <f>SUMIF('Neraca Lajur'!B:B,A:A,'Neraca Lajur'!D:D)</f>
        <v>0</v>
      </c>
      <c r="C12" s="82">
        <f>'Neraca Lajur'!F12-'Neraca Lajur'!G12</f>
        <v>0</v>
      </c>
      <c r="D12" s="82">
        <f>SUMIF('Neraca Lajur'!B:B,A:A,'Neraca Lajur'!R:R)</f>
        <v>0</v>
      </c>
      <c r="E12" s="86"/>
      <c r="F12" s="81"/>
      <c r="G12" s="82"/>
      <c r="H12" s="82"/>
      <c r="I12" s="82"/>
      <c r="K12" s="300" t="s">
        <v>279</v>
      </c>
      <c r="L12" s="89">
        <v>100000</v>
      </c>
    </row>
    <row r="13" spans="1:12" x14ac:dyDescent="0.2">
      <c r="A13" s="81" t="str">
        <f>'Neraca Awal'!B10</f>
        <v>Piutang</v>
      </c>
      <c r="B13" s="82">
        <f>SUMIF('Neraca Lajur'!B:B,A:A,'Neraca Lajur'!D:D)</f>
        <v>14250000</v>
      </c>
      <c r="C13" s="82">
        <f>'Neraca Lajur'!F13-'Neraca Lajur'!G13</f>
        <v>-250000</v>
      </c>
      <c r="D13" s="82">
        <f>SUMIF('Neraca Lajur'!B:B,A:A,'Neraca Lajur'!R:R)</f>
        <v>14000000</v>
      </c>
      <c r="E13" s="86"/>
      <c r="F13" s="81"/>
      <c r="G13" s="82"/>
      <c r="H13" s="82"/>
      <c r="I13" s="82"/>
      <c r="K13" s="49"/>
    </row>
    <row r="14" spans="1:12" x14ac:dyDescent="0.2">
      <c r="A14" s="88" t="str">
        <f>'Neraca Awal'!B11</f>
        <v>Persediaan</v>
      </c>
      <c r="B14" s="82"/>
      <c r="C14" s="82"/>
      <c r="D14" s="82"/>
      <c r="E14" s="86"/>
      <c r="F14" s="81"/>
      <c r="G14" s="82"/>
      <c r="H14" s="82"/>
      <c r="I14" s="82"/>
      <c r="K14" s="90"/>
      <c r="L14" s="89">
        <f>SUM(L9:L13)</f>
        <v>2780000</v>
      </c>
    </row>
    <row r="15" spans="1:12" x14ac:dyDescent="0.2">
      <c r="A15" s="81" t="str">
        <f>'Neraca Awal'!B12</f>
        <v>Persediaan Barang Jadi</v>
      </c>
      <c r="B15" s="82">
        <f>SUMIF('Neraca Lajur'!B:B,A:A,'Neraca Lajur'!D:D)</f>
        <v>0</v>
      </c>
      <c r="C15" s="82">
        <f>'Neraca Lajur'!F15-'Neraca Lajur'!G15</f>
        <v>0</v>
      </c>
      <c r="D15" s="82">
        <f>SUMIF('Neraca Lajur'!B:B,A:A,'Neraca Lajur'!R:R)</f>
        <v>0</v>
      </c>
      <c r="E15" s="84"/>
      <c r="F15" s="181" t="s">
        <v>15</v>
      </c>
      <c r="G15" s="182">
        <f>SUM(G10:G14)</f>
        <v>0</v>
      </c>
      <c r="H15" s="182">
        <f>SUM(H10:H14)</f>
        <v>0</v>
      </c>
      <c r="I15" s="182">
        <f>SUM(I10:I14)</f>
        <v>0</v>
      </c>
    </row>
    <row r="16" spans="1:12" x14ac:dyDescent="0.2">
      <c r="A16" s="81" t="str">
        <f>'Neraca Awal'!B13</f>
        <v>Persediaan BBL</v>
      </c>
      <c r="B16" s="82">
        <f>SUMIF('Neraca Lajur'!B:B,A:A,'Neraca Lajur'!D:D)</f>
        <v>8175800</v>
      </c>
      <c r="C16" s="82">
        <f>'Neraca Lajur'!F16-'Neraca Lajur'!G16</f>
        <v>-2197012.5</v>
      </c>
      <c r="D16" s="82">
        <f>SUMIF('Neraca Lajur'!B:B,A:A,'Neraca Lajur'!R:R)</f>
        <v>5978787.5</v>
      </c>
      <c r="E16" s="84"/>
      <c r="F16" s="77"/>
      <c r="G16" s="82"/>
      <c r="H16" s="82"/>
      <c r="I16" s="82"/>
    </row>
    <row r="17" spans="1:11" x14ac:dyDescent="0.2">
      <c r="A17" s="81" t="str">
        <f>'Neraca Awal'!B14</f>
        <v>Persediaan BBTL</v>
      </c>
      <c r="B17" s="82">
        <f>SUMIF('Neraca Lajur'!B:B,A:A,'Neraca Lajur'!D:D)</f>
        <v>1305500</v>
      </c>
      <c r="C17" s="82">
        <f>'Neraca Lajur'!F17-'Neraca Lajur'!G17</f>
        <v>-191250</v>
      </c>
      <c r="D17" s="82">
        <f>SUMIF('Neraca Lajur'!B:B,A:A,'Neraca Lajur'!R:R)</f>
        <v>1114250</v>
      </c>
      <c r="E17" s="84"/>
      <c r="F17" s="77" t="s">
        <v>16</v>
      </c>
      <c r="G17" s="82"/>
      <c r="H17" s="82"/>
      <c r="I17" s="82"/>
    </row>
    <row r="18" spans="1:11" x14ac:dyDescent="0.2">
      <c r="A18" s="81" t="str">
        <f>'Neraca Awal'!B15</f>
        <v>Investasi</v>
      </c>
      <c r="B18" s="82">
        <f>SUMIF('Neraca Lajur'!B:B,A:A,'Neraca Lajur'!D:D)</f>
        <v>16885000</v>
      </c>
      <c r="C18" s="82">
        <f>'Neraca Lajur'!F18-'Neraca Lajur'!G18</f>
        <v>-3000000</v>
      </c>
      <c r="D18" s="82">
        <f>SUMIF('Neraca Lajur'!B:B,A:A,'Neraca Lajur'!R:R)</f>
        <v>13885000</v>
      </c>
      <c r="E18" s="84"/>
      <c r="F18" s="40" t="str">
        <f>'Neraca Awal'!B32</f>
        <v>Investasi Pak Irfan</v>
      </c>
      <c r="G18" s="82">
        <f>SUMIF('Neraca Lajur'!B:B,F:F,'Neraca Lajur'!E:E)</f>
        <v>15000000</v>
      </c>
      <c r="H18" s="82">
        <f>'Neraca Lajur'!G35-'Neraca Lajur'!F35</f>
        <v>0</v>
      </c>
      <c r="I18" s="82">
        <f>SUMIF('Neraca Lajur'!B:B,F:F,'Neraca Lajur'!S:S)</f>
        <v>15000000</v>
      </c>
      <c r="K18" s="14"/>
    </row>
    <row r="19" spans="1:11" x14ac:dyDescent="0.2">
      <c r="A19" s="81" t="str">
        <f>'Neraca Awal'!B16</f>
        <v>Sewa dibayar dimuka</v>
      </c>
      <c r="B19" s="82">
        <f>SUMIF('Neraca Lajur'!B:B,A:A,'Neraca Lajur'!D:D)</f>
        <v>23750000</v>
      </c>
      <c r="C19" s="82">
        <f>'Neraca Lajur'!F19-'Neraca Lajur'!G19</f>
        <v>0</v>
      </c>
      <c r="D19" s="82">
        <f>SUMIF('Neraca Lajur'!B:B,A:A,'Neraca Lajur'!R:R)</f>
        <v>23750000</v>
      </c>
      <c r="E19" s="84"/>
      <c r="F19" s="40" t="str">
        <f>'Neraca Awal'!B33</f>
        <v>Investasi Pak Paijo</v>
      </c>
      <c r="G19" s="82">
        <f>SUMIF('Neraca Lajur'!B:B,F:F,'Neraca Lajur'!E:E)</f>
        <v>5000000</v>
      </c>
      <c r="H19" s="82">
        <f>'Neraca Lajur'!G36-'Neraca Lajur'!F36</f>
        <v>0</v>
      </c>
      <c r="I19" s="82">
        <f>SUMIF('Neraca Lajur'!B:B,F:F,'Neraca Lajur'!S:S)</f>
        <v>5000000</v>
      </c>
      <c r="K19" s="14"/>
    </row>
    <row r="20" spans="1:11" x14ac:dyDescent="0.2">
      <c r="A20" s="81" t="str">
        <f>'Neraca Awal'!B17</f>
        <v>Akum. Penyusutan Sewa</v>
      </c>
      <c r="B20" s="82">
        <f>SUMIF('Neraca Lajur'!B:B,A:A,'Neraca Lajur'!D:D)</f>
        <v>-8000000</v>
      </c>
      <c r="C20" s="82">
        <f>'Neraca Lajur'!F20-'Neraca Lajur'!G20</f>
        <v>-2000000</v>
      </c>
      <c r="D20" s="82">
        <f>SUMIF('Neraca Lajur'!B:B,A:A,'Neraca Lajur'!R:R)</f>
        <v>-10000000</v>
      </c>
      <c r="E20" s="84"/>
      <c r="F20" s="40" t="str">
        <f>'Neraca Awal'!B34</f>
        <v>Investasi Mas ghofur</v>
      </c>
      <c r="G20" s="82">
        <f>SUMIF('Neraca Lajur'!B:B,F:F,'Neraca Lajur'!E:E)</f>
        <v>10000000</v>
      </c>
      <c r="H20" s="82">
        <f>'Neraca Lajur'!G37-'Neraca Lajur'!F37</f>
        <v>0</v>
      </c>
      <c r="I20" s="82">
        <f>SUMIF('Neraca Lajur'!B:B,F:F,'Neraca Lajur'!S:S)</f>
        <v>10000000</v>
      </c>
      <c r="K20" s="14"/>
    </row>
    <row r="21" spans="1:11" x14ac:dyDescent="0.2">
      <c r="A21" s="514"/>
      <c r="B21" s="82"/>
      <c r="C21" s="82"/>
      <c r="D21" s="82"/>
      <c r="E21" s="84"/>
      <c r="F21" s="517"/>
      <c r="G21" s="82"/>
      <c r="H21" s="82"/>
      <c r="I21" s="82"/>
      <c r="K21" s="14"/>
    </row>
    <row r="22" spans="1:11" x14ac:dyDescent="0.2">
      <c r="A22" s="181" t="s">
        <v>27</v>
      </c>
      <c r="B22" s="183">
        <f>SUM(B10:B21)</f>
        <v>103855060.125</v>
      </c>
      <c r="C22" s="183">
        <f>SUM(C10:C21)</f>
        <v>7098337.5</v>
      </c>
      <c r="D22" s="183">
        <f>SUM(D10:D21)</f>
        <v>110953397.625</v>
      </c>
      <c r="E22" s="84"/>
      <c r="F22" s="181" t="s">
        <v>23</v>
      </c>
      <c r="G22" s="182">
        <f>SUM(G18:G21)</f>
        <v>30000000</v>
      </c>
      <c r="H22" s="182">
        <f>SUM(H18:H21)</f>
        <v>0</v>
      </c>
      <c r="I22" s="182">
        <f>SUM(I18:I21)</f>
        <v>30000000</v>
      </c>
      <c r="K22" s="14"/>
    </row>
    <row r="23" spans="1:11" ht="12" customHeight="1" x14ac:dyDescent="0.2">
      <c r="A23" s="91"/>
      <c r="B23" s="78"/>
      <c r="C23" s="78"/>
      <c r="D23" s="78"/>
      <c r="E23" s="92"/>
      <c r="F23" s="81"/>
      <c r="G23" s="82"/>
      <c r="H23" s="82"/>
      <c r="I23" s="82"/>
      <c r="K23" s="14"/>
    </row>
    <row r="24" spans="1:11" ht="12" customHeight="1" x14ac:dyDescent="0.2">
      <c r="A24" s="77" t="s">
        <v>28</v>
      </c>
      <c r="B24" s="78"/>
      <c r="C24" s="78"/>
      <c r="D24" s="78"/>
      <c r="E24" s="92"/>
      <c r="F24" s="75" t="s">
        <v>17</v>
      </c>
      <c r="G24" s="39"/>
      <c r="H24" s="39"/>
      <c r="I24" s="39"/>
      <c r="K24" s="14"/>
    </row>
    <row r="25" spans="1:11" x14ac:dyDescent="0.2">
      <c r="A25" s="81" t="str">
        <f>'Neraca Awal'!B19</f>
        <v>Peralatan Usaha</v>
      </c>
      <c r="B25" s="82">
        <f>SUMIF('Neraca Lajur'!B:B,A:A,'Neraca Lajur'!D:D)</f>
        <v>23024500</v>
      </c>
      <c r="C25" s="82">
        <f>'Neraca Lajur'!F22-'Neraca Lajur'!G22</f>
        <v>590000</v>
      </c>
      <c r="D25" s="82">
        <f>SUMIF('Neraca Lajur'!B:B,A:A,'Neraca Lajur'!R:R)</f>
        <v>23614500</v>
      </c>
      <c r="E25" s="92"/>
      <c r="F25" s="81" t="str">
        <f>'Neraca Awal'!B36</f>
        <v>Saham Aris</v>
      </c>
      <c r="G25" s="82">
        <f>SUMIF('Neraca Lajur'!B:B,F:F,'Neraca Lajur'!E:E)</f>
        <v>63266831.304162428</v>
      </c>
      <c r="H25" s="82">
        <f t="shared" ref="H25:H33" si="0">I25-G25</f>
        <v>676914.76830624789</v>
      </c>
      <c r="I25" s="82">
        <f>SUMIF('Neraca Lajur'!B:B,F:F,'Neraca Lajur'!S:S)</f>
        <v>63943746.072468676</v>
      </c>
      <c r="K25" s="113"/>
    </row>
    <row r="26" spans="1:11" x14ac:dyDescent="0.2">
      <c r="A26" s="81" t="str">
        <f>'Neraca Awal'!B20</f>
        <v>Perlengkapan</v>
      </c>
      <c r="B26" s="82">
        <f>SUMIF('Neraca Lajur'!B:B,A:A,'Neraca Lajur'!D:D)</f>
        <v>530000</v>
      </c>
      <c r="C26" s="82">
        <f>'Neraca Lajur'!F23-'Neraca Lajur'!G23</f>
        <v>100000</v>
      </c>
      <c r="D26" s="82">
        <f>SUMIF('Neraca Lajur'!B:B,A:A,'Neraca Lajur'!R:R)</f>
        <v>630000</v>
      </c>
      <c r="E26" s="92"/>
      <c r="F26" s="81" t="str">
        <f>'Neraca Awal'!B37</f>
        <v>Saham Indra</v>
      </c>
      <c r="G26" s="82">
        <f>SUMIF('Neraca Lajur'!B:B,F:F,'Neraca Lajur'!E:E)</f>
        <v>2380762.3839631658</v>
      </c>
      <c r="H26" s="82">
        <f t="shared" si="0"/>
        <v>25472.639996538404</v>
      </c>
      <c r="I26" s="82">
        <f>SUMIF('Neraca Lajur'!B:B,F:F,'Neraca Lajur'!S:S)</f>
        <v>2406235.0239597042</v>
      </c>
      <c r="K26" s="113"/>
    </row>
    <row r="27" spans="1:11" x14ac:dyDescent="0.2">
      <c r="A27" s="81" t="str">
        <f>'Neraca Awal'!B21</f>
        <v>Bangunan</v>
      </c>
      <c r="B27" s="82">
        <f>SUMIF('Neraca Lajur'!B:B,A:A,'Neraca Lajur'!D:D)</f>
        <v>0</v>
      </c>
      <c r="C27" s="82">
        <f>'Neraca Lajur'!F24-'Neraca Lajur'!G24</f>
        <v>0</v>
      </c>
      <c r="D27" s="82">
        <f>SUMIF('Neraca Lajur'!B:B,A:A,'Neraca Lajur'!R:R)</f>
        <v>0</v>
      </c>
      <c r="E27" s="92"/>
      <c r="F27" s="81" t="str">
        <f>'Neraca Awal'!B38</f>
        <v>Saham Wildan</v>
      </c>
      <c r="G27" s="82">
        <f>SUMIF('Neraca Lajur'!B:B,F:F,'Neraca Lajur'!E:E)</f>
        <v>11961306.852764826</v>
      </c>
      <c r="H27" s="82">
        <f t="shared" si="0"/>
        <v>127978.35911764018</v>
      </c>
      <c r="I27" s="82">
        <f>SUMIF('Neraca Lajur'!B:B,F:F,'Neraca Lajur'!S:S)</f>
        <v>12089285.211882466</v>
      </c>
      <c r="K27" s="113"/>
    </row>
    <row r="28" spans="1:11" x14ac:dyDescent="0.2">
      <c r="A28" s="81" t="str">
        <f>'Neraca Awal'!B22</f>
        <v>Kendaraan</v>
      </c>
      <c r="B28" s="82">
        <f>SUMIF('Neraca Lajur'!B:B,A:A,'Neraca Lajur'!D:D)</f>
        <v>10855000</v>
      </c>
      <c r="C28" s="82">
        <f>'Neraca Lajur'!F25-'Neraca Lajur'!G25</f>
        <v>0</v>
      </c>
      <c r="D28" s="82">
        <f>SUMIF('Neraca Lajur'!B:B,A:A,'Neraca Lajur'!R:R)</f>
        <v>10855000</v>
      </c>
      <c r="E28" s="92"/>
      <c r="F28" s="81" t="str">
        <f>'Neraca Awal'!B39</f>
        <v>Saham Keluarga</v>
      </c>
      <c r="G28" s="82">
        <f>SUMIF('Neraca Lajur'!B:B,F:F,'Neraca Lajur'!E:E)</f>
        <v>6625147.7091096267</v>
      </c>
      <c r="H28" s="82">
        <f t="shared" si="0"/>
        <v>70884.857579575852</v>
      </c>
      <c r="I28" s="82">
        <f>SUMIF('Neraca Lajur'!B:B,F:F,'Neraca Lajur'!S:S)</f>
        <v>6696032.5666892026</v>
      </c>
    </row>
    <row r="29" spans="1:11" x14ac:dyDescent="0.2">
      <c r="A29" s="81" t="str">
        <f>'Neraca Awal'!B23</f>
        <v>Kepemilikan Merek</v>
      </c>
      <c r="B29" s="82">
        <f>SUMIF('Neraca Lajur'!B:B,A:A,'Neraca Lajur'!D:D)</f>
        <v>2150000</v>
      </c>
      <c r="C29" s="82">
        <f>'Neraca Lajur'!F26-'Neraca Lajur'!G26</f>
        <v>0</v>
      </c>
      <c r="D29" s="82">
        <f>SUMIF('Neraca Lajur'!B:B,A:A,'Neraca Lajur'!R:R)</f>
        <v>2150000</v>
      </c>
      <c r="E29" s="92"/>
      <c r="F29" s="81" t="str">
        <f>'Neraca Awal'!B40</f>
        <v>Saham Karyawan</v>
      </c>
      <c r="G29" s="82">
        <f>SUMIF('Neraca Lajur'!B:B,F:F,'Neraca Lajur'!E:E)</f>
        <v>0</v>
      </c>
      <c r="H29" s="82">
        <f t="shared" si="0"/>
        <v>0</v>
      </c>
      <c r="I29" s="82">
        <f>SUMIF('Neraca Lajur'!B:B,F:F,'Neraca Lajur'!S:S)</f>
        <v>0</v>
      </c>
    </row>
    <row r="30" spans="1:11" x14ac:dyDescent="0.2">
      <c r="A30" s="81" t="str">
        <f>'Neraca Awal'!B24</f>
        <v>Akum. Penyusutan Peralatan</v>
      </c>
      <c r="B30" s="82">
        <f>SUMIF('Neraca Lajur'!B:B,A:A,'Neraca Lajur'!D:D)</f>
        <v>-4100000</v>
      </c>
      <c r="C30" s="82">
        <f>'Neraca Lajur'!F27-'Neraca Lajur'!G27</f>
        <v>-1300000</v>
      </c>
      <c r="D30" s="82">
        <f>SUMIF('Neraca Lajur'!B:B,A:A,'Neraca Lajur'!R:R)</f>
        <v>-5400000</v>
      </c>
      <c r="E30" s="83"/>
      <c r="F30" s="81" t="str">
        <f>'Neraca Awal'!B41</f>
        <v>Saham Eksternal</v>
      </c>
      <c r="G30" s="82">
        <f>SUMIF('Neraca Lajur'!B:B,F:F,'Neraca Lajur'!E:E)</f>
        <v>0</v>
      </c>
      <c r="H30" s="82">
        <f t="shared" si="0"/>
        <v>0</v>
      </c>
      <c r="I30" s="82">
        <f>SUMIF('Neraca Lajur'!B:B,F:F,'Neraca Lajur'!S:S)</f>
        <v>0</v>
      </c>
    </row>
    <row r="31" spans="1:11" x14ac:dyDescent="0.2">
      <c r="A31" s="81" t="str">
        <f>'Neraca Awal'!B25</f>
        <v>Akum. Penyusutan Perlengkapan</v>
      </c>
      <c r="B31" s="82">
        <f>SUMIF('Neraca Lajur'!B:B,A:A,'Neraca Lajur'!D:D)</f>
        <v>-240000</v>
      </c>
      <c r="C31" s="82">
        <f>'Neraca Lajur'!F28-'Neraca Lajur'!G28</f>
        <v>-30000</v>
      </c>
      <c r="D31" s="82">
        <f>SUMIF('Neraca Lajur'!B:B,A:A,'Neraca Lajur'!R:R)</f>
        <v>-270000</v>
      </c>
      <c r="E31" s="84"/>
      <c r="F31" s="81" t="str">
        <f>'Neraca Awal'!B42</f>
        <v>Dividen Saham</v>
      </c>
      <c r="G31" s="82">
        <f>SUMIF('Neraca Lajur'!B:B,F:F,'Neraca Lajur'!E:E)</f>
        <v>6826712.5</v>
      </c>
      <c r="H31" s="82">
        <f t="shared" si="0"/>
        <v>1502084.375</v>
      </c>
      <c r="I31" s="82">
        <f>SUMIF('Neraca Lajur'!B:B,F:F,'Neraca Lajur'!S:S)</f>
        <v>8328796.875</v>
      </c>
    </row>
    <row r="32" spans="1:11" x14ac:dyDescent="0.2">
      <c r="A32" s="81" t="str">
        <f>'Neraca Awal'!B26</f>
        <v>Akum. Penyusutan Bangunan</v>
      </c>
      <c r="B32" s="82">
        <f>SUMIF('Neraca Lajur'!B:B,A:A,'Neraca Lajur'!D:D)</f>
        <v>0</v>
      </c>
      <c r="C32" s="82">
        <f>'Neraca Lajur'!F29-'Neraca Lajur'!G29</f>
        <v>0</v>
      </c>
      <c r="D32" s="82">
        <f>SUMIF('Neraca Lajur'!B:B,A:A,'Neraca Lajur'!R:R)</f>
        <v>0</v>
      </c>
      <c r="E32" s="84"/>
      <c r="F32" s="81" t="str">
        <f>'Neraca Awal'!B43</f>
        <v>Bagi Hasil yang ditahan</v>
      </c>
      <c r="G32" s="82">
        <f>SUMIF('Neraca Lajur'!B:B,F:F,'Neraca Lajur'!E:E)</f>
        <v>11326113.75</v>
      </c>
      <c r="H32" s="82">
        <f>I32-G32</f>
        <v>1802501.25</v>
      </c>
      <c r="I32" s="82">
        <f>SUMIF('Neraca Lajur'!B:B,F:F,'Neraca Lajur'!S:S)</f>
        <v>13128615</v>
      </c>
    </row>
    <row r="33" spans="1:11" x14ac:dyDescent="0.2">
      <c r="A33" s="81" t="str">
        <f>'Neraca Awal'!B27</f>
        <v>Akum. Penyusutan Kendaraan</v>
      </c>
      <c r="B33" s="82">
        <f>SUMIF('Neraca Lajur'!B:B,A:A,'Neraca Lajur'!D:D)</f>
        <v>-1800000</v>
      </c>
      <c r="C33" s="82">
        <f>'Neraca Lajur'!F30-'Neraca Lajur'!G30</f>
        <v>-450000</v>
      </c>
      <c r="D33" s="82">
        <f>SUMIF('Neraca Lajur'!B:B,A:A,'Neraca Lajur'!R:R)</f>
        <v>-2250000</v>
      </c>
      <c r="E33" s="84"/>
      <c r="F33" s="81" t="str">
        <f>'Neraca Awal'!B44</f>
        <v>Laba ditahan</v>
      </c>
      <c r="G33" s="82">
        <f>SUMIF('Neraca Lajur'!B:B,F:F,'Neraca Lajur'!E:E)</f>
        <v>1887685.625</v>
      </c>
      <c r="H33" s="82">
        <f t="shared" si="0"/>
        <v>300416.875</v>
      </c>
      <c r="I33" s="82">
        <f>SUMIF('Neraca Lajur'!B:B,F:F,'Neraca Lajur'!S:S)</f>
        <v>2188102.5</v>
      </c>
    </row>
    <row r="34" spans="1:11" x14ac:dyDescent="0.2">
      <c r="A34" s="81"/>
      <c r="B34" s="82"/>
      <c r="C34" s="82"/>
      <c r="D34" s="82"/>
      <c r="E34" s="84"/>
      <c r="F34" s="81"/>
      <c r="G34" s="82"/>
      <c r="H34" s="82"/>
      <c r="I34" s="82"/>
    </row>
    <row r="35" spans="1:11" x14ac:dyDescent="0.2">
      <c r="A35" s="81"/>
      <c r="B35" s="82"/>
      <c r="C35" s="82"/>
      <c r="D35" s="82"/>
      <c r="E35" s="84"/>
      <c r="F35" s="75" t="str">
        <f>'Neraca Lajur'!B87</f>
        <v>Empty Akun</v>
      </c>
      <c r="G35" s="82">
        <v>0</v>
      </c>
      <c r="H35" s="126">
        <f>I35-G35</f>
        <v>1502084.375</v>
      </c>
      <c r="I35" s="82">
        <f>SUMIF('Neraca Lajur'!B:B,F:F,'Neraca Lajur'!S:S)</f>
        <v>1502084.375</v>
      </c>
    </row>
    <row r="36" spans="1:11" x14ac:dyDescent="0.2">
      <c r="A36" s="81"/>
      <c r="B36" s="82"/>
      <c r="C36" s="82"/>
      <c r="D36" s="82"/>
      <c r="E36" s="84"/>
      <c r="F36" s="81"/>
      <c r="G36" s="82"/>
      <c r="H36" s="82"/>
      <c r="I36" s="82"/>
    </row>
    <row r="37" spans="1:11" x14ac:dyDescent="0.2">
      <c r="A37" s="181" t="s">
        <v>29</v>
      </c>
      <c r="B37" s="183">
        <f>SUM(B25:B36)</f>
        <v>30419500</v>
      </c>
      <c r="C37" s="183">
        <f>SUM(C25:C36)</f>
        <v>-1090000</v>
      </c>
      <c r="D37" s="183">
        <f>SUM(D25:D36)</f>
        <v>29329500</v>
      </c>
      <c r="E37" s="83"/>
      <c r="F37" s="181" t="s">
        <v>19</v>
      </c>
      <c r="G37" s="182">
        <f>SUM(G25:G36)</f>
        <v>104274560.12500006</v>
      </c>
      <c r="H37" s="182">
        <f>SUM(H25:H36)</f>
        <v>6008337.5000000019</v>
      </c>
      <c r="I37" s="182">
        <f>SUM(I25:I36)</f>
        <v>110282897.62500006</v>
      </c>
    </row>
    <row r="38" spans="1:11" x14ac:dyDescent="0.2">
      <c r="A38" s="93"/>
      <c r="B38" s="82"/>
      <c r="C38" s="82"/>
      <c r="D38" s="82"/>
      <c r="E38" s="83"/>
      <c r="F38" s="82">
        <f>SUMIF('Neraca Lajur'!B:B,A:A,'Neraca Lajur'!R:R)</f>
        <v>0</v>
      </c>
      <c r="G38" s="82"/>
      <c r="H38" s="82"/>
      <c r="I38" s="82"/>
    </row>
    <row r="39" spans="1:11" x14ac:dyDescent="0.2">
      <c r="A39" s="181" t="s">
        <v>30</v>
      </c>
      <c r="B39" s="183">
        <f>B22+B37</f>
        <v>134274560.125</v>
      </c>
      <c r="C39" s="183">
        <f>C22+C37</f>
        <v>6008337.5</v>
      </c>
      <c r="D39" s="183">
        <f>D22+D37</f>
        <v>140282897.625</v>
      </c>
      <c r="E39" s="84"/>
      <c r="F39" s="184" t="s">
        <v>20</v>
      </c>
      <c r="G39" s="183">
        <f>G37+G22+G15</f>
        <v>134274560.12500006</v>
      </c>
      <c r="H39" s="183">
        <f>H37+H22+H15</f>
        <v>6008337.5000000019</v>
      </c>
      <c r="I39" s="183">
        <f>I37+I22+I15</f>
        <v>140282897.62500006</v>
      </c>
      <c r="K39" s="129"/>
    </row>
    <row r="40" spans="1:11" x14ac:dyDescent="0.2">
      <c r="E40" s="84"/>
    </row>
    <row r="41" spans="1:11" ht="12.75" customHeight="1" x14ac:dyDescent="0.2">
      <c r="A41" s="185" t="s">
        <v>96</v>
      </c>
      <c r="B41" s="611" t="str">
        <f>IF(D39=I39,"SALDO IMBANG","SALAH. CEK LAGI CUK")</f>
        <v>SALDO IMBANG</v>
      </c>
      <c r="C41" s="611"/>
      <c r="D41" s="611"/>
      <c r="E41" s="611"/>
      <c r="F41" s="611"/>
      <c r="G41" s="611"/>
      <c r="H41" s="611"/>
      <c r="I41" s="611"/>
    </row>
    <row r="42" spans="1:11" ht="15" customHeight="1" x14ac:dyDescent="0.2">
      <c r="E42" s="84"/>
      <c r="I42" s="87">
        <f>D39-I39</f>
        <v>0</v>
      </c>
    </row>
    <row r="43" spans="1:11" ht="17.25" hidden="1" customHeight="1" x14ac:dyDescent="0.2">
      <c r="F43" s="610" t="s">
        <v>239</v>
      </c>
      <c r="G43" s="610"/>
      <c r="H43" s="297"/>
      <c r="I43" s="297"/>
    </row>
    <row r="44" spans="1:11" ht="17.25" hidden="1" customHeight="1" x14ac:dyDescent="0.2">
      <c r="F44" s="298" t="str">
        <f>F18</f>
        <v>Investasi Pak Irfan</v>
      </c>
      <c r="G44" s="16">
        <f>G18/30000000*$I$29</f>
        <v>0</v>
      </c>
      <c r="H44" s="89"/>
    </row>
    <row r="45" spans="1:11" ht="17.25" hidden="1" customHeight="1" x14ac:dyDescent="0.2">
      <c r="F45" s="298" t="str">
        <f>F19</f>
        <v>Investasi Pak Paijo</v>
      </c>
      <c r="G45" s="16">
        <f t="shared" ref="G45:G46" si="1">G19/30000000*$I$29</f>
        <v>0</v>
      </c>
      <c r="H45" s="89"/>
    </row>
    <row r="46" spans="1:11" ht="17.25" hidden="1" customHeight="1" x14ac:dyDescent="0.2">
      <c r="F46" s="298" t="str">
        <f>F20</f>
        <v>Investasi Mas ghofur</v>
      </c>
      <c r="G46" s="16">
        <f t="shared" si="1"/>
        <v>0</v>
      </c>
      <c r="H46" s="89"/>
    </row>
    <row r="47" spans="1:11" hidden="1" x14ac:dyDescent="0.2">
      <c r="G47" s="87">
        <f>SUM(G44:G46)</f>
        <v>0</v>
      </c>
      <c r="H47" s="89"/>
    </row>
    <row r="48" spans="1:11" hidden="1" x14ac:dyDescent="0.2"/>
    <row r="49" spans="1:9" hidden="1" x14ac:dyDescent="0.2"/>
    <row r="50" spans="1:9" hidden="1" x14ac:dyDescent="0.2"/>
    <row r="51" spans="1:9" hidden="1" x14ac:dyDescent="0.2">
      <c r="B51" s="89"/>
      <c r="C51" s="67"/>
    </row>
    <row r="52" spans="1:9" hidden="1" x14ac:dyDescent="0.2">
      <c r="B52" s="87"/>
      <c r="C52" s="89"/>
    </row>
    <row r="53" spans="1:9" hidden="1" x14ac:dyDescent="0.2">
      <c r="A53" s="94"/>
      <c r="B53" s="35"/>
      <c r="C53" s="67"/>
    </row>
    <row r="54" spans="1:9" hidden="1" x14ac:dyDescent="0.2">
      <c r="A54" s="94"/>
      <c r="B54" s="37"/>
      <c r="C54" s="67"/>
    </row>
    <row r="55" spans="1:9" hidden="1" x14ac:dyDescent="0.2">
      <c r="C55" s="67"/>
    </row>
    <row r="56" spans="1:9" hidden="1" x14ac:dyDescent="0.2"/>
    <row r="57" spans="1:9" hidden="1" x14ac:dyDescent="0.2">
      <c r="C57" s="89"/>
    </row>
    <row r="58" spans="1:9" x14ac:dyDescent="0.2">
      <c r="D58" s="87"/>
      <c r="F58" s="73" t="s">
        <v>464</v>
      </c>
      <c r="G58" s="87">
        <f>(I32*1/3)+I20</f>
        <v>14376205</v>
      </c>
      <c r="H58" s="568" t="s">
        <v>617</v>
      </c>
      <c r="I58" s="87">
        <f>(I32*50%)+I18</f>
        <v>21564307.5</v>
      </c>
    </row>
    <row r="59" spans="1:9" x14ac:dyDescent="0.2">
      <c r="D59" s="87"/>
      <c r="F59" s="73" t="s">
        <v>276</v>
      </c>
      <c r="G59" s="87">
        <f>((I32*1/6)+I19)+((500/575*I28))+((500/575*I28)/(I25+I26+I27+I28))*I31</f>
        <v>13580368.817651737</v>
      </c>
      <c r="H59" s="73" t="s">
        <v>618</v>
      </c>
      <c r="I59" s="87">
        <f>(I31*(I27/(I25+I26+I27+I28)))</f>
        <v>1182696.275507852</v>
      </c>
    </row>
    <row r="60" spans="1:9" x14ac:dyDescent="0.2">
      <c r="D60" s="87"/>
      <c r="H60" s="73" t="s">
        <v>621</v>
      </c>
      <c r="I60" s="87">
        <f>I26+((I26/(I25+I26+I27+I28))*I26)</f>
        <v>2474244.0292376615</v>
      </c>
    </row>
  </sheetData>
  <mergeCells count="9">
    <mergeCell ref="F43:G43"/>
    <mergeCell ref="B41:I41"/>
    <mergeCell ref="A1:I1"/>
    <mergeCell ref="A2:I2"/>
    <mergeCell ref="A3:I3"/>
    <mergeCell ref="A4:I4"/>
    <mergeCell ref="A6:D6"/>
    <mergeCell ref="F6:I6"/>
    <mergeCell ref="A5:I5"/>
  </mergeCells>
  <pageMargins left="1.3779527559055118" right="0.78740157480314965" top="0.78740157480314965" bottom="1.1811023622047245" header="0.51181102362204722" footer="0.51181102362204722"/>
  <pageSetup paperSize="9" scale="78" orientation="landscape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63"/>
  <sheetViews>
    <sheetView showGridLines="0" zoomScaleNormal="100" workbookViewId="0">
      <pane ySplit="6" topLeftCell="A7" activePane="bottomLeft" state="frozen"/>
      <selection pane="bottomLeft" activeCell="C24" sqref="C24"/>
    </sheetView>
  </sheetViews>
  <sheetFormatPr defaultColWidth="0" defaultRowHeight="12.75" zeroHeight="1" x14ac:dyDescent="0.2"/>
  <cols>
    <col min="1" max="1" width="5.5703125" style="100" customWidth="1"/>
    <col min="2" max="2" width="32.85546875" style="14" customWidth="1"/>
    <col min="3" max="3" width="14.7109375" style="14" customWidth="1"/>
    <col min="4" max="4" width="1.140625" style="14" customWidth="1"/>
    <col min="5" max="5" width="13.5703125" style="14" customWidth="1"/>
    <col min="6" max="6" width="5.7109375" style="14" customWidth="1"/>
    <col min="7" max="7" width="8" style="14" customWidth="1"/>
    <col min="8" max="8" width="18.7109375" style="14" customWidth="1"/>
    <col min="9" max="9" width="18.42578125" style="14" customWidth="1"/>
    <col min="10" max="16384" width="8" style="14" hidden="1"/>
  </cols>
  <sheetData>
    <row r="1" spans="1:9" s="13" customFormat="1" ht="22.5" customHeight="1" x14ac:dyDescent="0.3">
      <c r="A1" s="618" t="str">
        <f>'Neraca Lajur'!A2</f>
        <v>KLAUSA CAKE</v>
      </c>
      <c r="B1" s="618"/>
      <c r="C1" s="618"/>
      <c r="D1" s="618"/>
      <c r="E1" s="618"/>
      <c r="G1" s="612" t="str">
        <f>A1</f>
        <v>KLAUSA CAKE</v>
      </c>
      <c r="H1" s="612"/>
      <c r="I1" s="612"/>
    </row>
    <row r="2" spans="1:9" s="13" customFormat="1" ht="15" customHeight="1" x14ac:dyDescent="0.2">
      <c r="A2" s="592" t="s">
        <v>21</v>
      </c>
      <c r="B2" s="592"/>
      <c r="C2" s="592"/>
      <c r="D2" s="592"/>
      <c r="E2" s="592"/>
      <c r="G2" s="592" t="s">
        <v>418</v>
      </c>
      <c r="H2" s="592"/>
      <c r="I2" s="592"/>
    </row>
    <row r="3" spans="1:9" s="13" customFormat="1" ht="12" customHeight="1" x14ac:dyDescent="0.2">
      <c r="A3" s="613" t="str">
        <f>'Neraca Lajur'!A4</f>
        <v>1 Desember 2017</v>
      </c>
      <c r="B3" s="613"/>
      <c r="C3" s="613"/>
      <c r="D3" s="613"/>
      <c r="E3" s="613"/>
      <c r="G3" s="613" t="str">
        <f>A3</f>
        <v>1 Desember 2017</v>
      </c>
      <c r="H3" s="613"/>
      <c r="I3" s="613"/>
    </row>
    <row r="4" spans="1:9" s="13" customFormat="1" ht="12" customHeight="1" x14ac:dyDescent="0.2">
      <c r="A4" s="613" t="str">
        <f>'Neraca Lajur'!A5</f>
        <v>31 Desember 2017</v>
      </c>
      <c r="B4" s="613"/>
      <c r="C4" s="613"/>
      <c r="D4" s="613"/>
      <c r="E4" s="613"/>
      <c r="G4" s="613" t="str">
        <f>A4</f>
        <v>31 Desember 2017</v>
      </c>
      <c r="H4" s="613"/>
      <c r="I4" s="613"/>
    </row>
    <row r="5" spans="1:9" s="13" customFormat="1" ht="4.5" customHeight="1" x14ac:dyDescent="0.2">
      <c r="A5" s="125"/>
      <c r="B5" s="125"/>
      <c r="C5" s="125"/>
      <c r="D5" s="125"/>
      <c r="E5" s="125"/>
    </row>
    <row r="6" spans="1:9" ht="8.25" customHeight="1" x14ac:dyDescent="0.2">
      <c r="A6" s="186"/>
      <c r="B6" s="187"/>
      <c r="C6" s="187"/>
      <c r="D6" s="187"/>
      <c r="E6" s="187"/>
      <c r="G6" s="437"/>
      <c r="H6" s="437"/>
      <c r="I6" s="437"/>
    </row>
    <row r="7" spans="1:9" x14ac:dyDescent="0.2">
      <c r="A7" s="101" t="s">
        <v>212</v>
      </c>
      <c r="B7" s="15" t="str">
        <f>'Neraca Lajur'!B48</f>
        <v>PENDAPATAN</v>
      </c>
      <c r="C7" s="15"/>
      <c r="D7" s="15"/>
      <c r="E7" s="16"/>
      <c r="G7" s="128">
        <f>'Neraca Lajur'!O82</f>
        <v>0.15</v>
      </c>
      <c r="H7" s="19" t="str">
        <f>'Neraca Lajur'!B82</f>
        <v>Capital Gain</v>
      </c>
      <c r="I7" s="24">
        <f>'Neraca Lajur'!P82</f>
        <v>901250.625</v>
      </c>
    </row>
    <row r="8" spans="1:9" x14ac:dyDescent="0.2">
      <c r="A8" s="101"/>
      <c r="B8" s="17" t="str">
        <f>'Neraca Awal'!B46</f>
        <v>Penjualan Klausa Cake</v>
      </c>
      <c r="C8" s="27">
        <f>'Neraca Lajur'!L49-'Neraca Lajur'!K49</f>
        <v>36056000</v>
      </c>
      <c r="D8" s="17"/>
      <c r="E8" s="18"/>
      <c r="G8" s="128">
        <f>'Neraca Lajur'!O83</f>
        <v>0.05</v>
      </c>
      <c r="H8" s="19" t="str">
        <f>'Neraca Lajur'!B83</f>
        <v>Laba ditahan</v>
      </c>
      <c r="I8" s="24">
        <f>'Neraca Lajur'!P83</f>
        <v>300416.875</v>
      </c>
    </row>
    <row r="9" spans="1:9" x14ac:dyDescent="0.2">
      <c r="A9" s="101"/>
      <c r="B9" s="17" t="str">
        <f>'Neraca Awal'!B47</f>
        <v>Penjualan Titipan</v>
      </c>
      <c r="C9" s="27">
        <f>'Neraca Lajur'!L50</f>
        <v>13233500</v>
      </c>
      <c r="D9" s="17"/>
      <c r="E9" s="18"/>
      <c r="G9" s="128">
        <f>'Neraca Lajur'!O84</f>
        <v>0.25</v>
      </c>
      <c r="H9" s="19" t="str">
        <f>'Neraca Lajur'!B84</f>
        <v>Dividen Saham</v>
      </c>
      <c r="I9" s="24">
        <f>'Neraca Lajur'!P84</f>
        <v>1502084.375</v>
      </c>
    </row>
    <row r="10" spans="1:9" x14ac:dyDescent="0.2">
      <c r="A10" s="101"/>
      <c r="B10" s="17" t="str">
        <f>'Neraca Awal'!B48</f>
        <v>Penjualan Titipan (Danusan)</v>
      </c>
      <c r="C10" s="27">
        <f>'Neraca Lajur'!L51</f>
        <v>432500</v>
      </c>
      <c r="D10" s="17"/>
      <c r="E10" s="18"/>
      <c r="G10" s="128">
        <f>'Neraca Lajur'!O85</f>
        <v>0.3</v>
      </c>
      <c r="H10" s="19" t="str">
        <f>'Neraca Lajur'!B85</f>
        <v>Bagi Hasil Investor</v>
      </c>
      <c r="I10" s="24">
        <f>'Neraca Lajur'!P85</f>
        <v>1802501.25</v>
      </c>
    </row>
    <row r="11" spans="1:9" x14ac:dyDescent="0.2">
      <c r="A11" s="101"/>
      <c r="B11" s="17" t="str">
        <f>'Neraca Awal'!B49</f>
        <v>Penjualan Dus dan AMDK gelas</v>
      </c>
      <c r="C11" s="27">
        <f>'Neraca Lajur'!L52</f>
        <v>960000</v>
      </c>
      <c r="D11" s="17"/>
      <c r="E11" s="18"/>
      <c r="G11" s="128">
        <f>'Neraca Lajur'!O86</f>
        <v>0.25</v>
      </c>
      <c r="H11" s="19" t="str">
        <f>'Neraca Lajur'!B86</f>
        <v>Prive</v>
      </c>
      <c r="I11" s="24">
        <f>'Neraca Lajur'!P86</f>
        <v>1502084.375</v>
      </c>
    </row>
    <row r="12" spans="1:9" x14ac:dyDescent="0.2">
      <c r="A12" s="101"/>
      <c r="B12" s="17" t="str">
        <f>'Neraca Awal'!B50</f>
        <v>Penjualan Chocofaza</v>
      </c>
      <c r="C12" s="27">
        <f>'Neraca Lajur'!L53</f>
        <v>0</v>
      </c>
      <c r="D12" s="17"/>
      <c r="E12" s="18"/>
      <c r="G12" s="128"/>
      <c r="H12" s="33"/>
      <c r="I12" s="24"/>
    </row>
    <row r="13" spans="1:9" x14ac:dyDescent="0.2">
      <c r="A13" s="101"/>
      <c r="B13" s="17" t="str">
        <f>'Neraca Awal'!B51</f>
        <v>Pendapatan Lainnya</v>
      </c>
      <c r="C13" s="27">
        <f>'Neraca Lajur'!L54</f>
        <v>0</v>
      </c>
      <c r="D13" s="17"/>
      <c r="E13" s="18"/>
      <c r="G13" s="128"/>
      <c r="H13" s="33"/>
      <c r="I13" s="24"/>
    </row>
    <row r="14" spans="1:9" x14ac:dyDescent="0.2">
      <c r="A14" s="101"/>
      <c r="B14" s="31" t="s">
        <v>94</v>
      </c>
      <c r="C14" s="17"/>
      <c r="D14" s="17"/>
      <c r="E14" s="29">
        <f>SUM(C8:C13)</f>
        <v>50682000</v>
      </c>
      <c r="G14" s="193"/>
      <c r="H14" s="192"/>
      <c r="I14" s="194">
        <f>SUM(I7:I11)</f>
        <v>6008337.5</v>
      </c>
    </row>
    <row r="15" spans="1:9" x14ac:dyDescent="0.2">
      <c r="A15" s="101"/>
      <c r="B15" s="17"/>
      <c r="C15" s="17"/>
      <c r="D15" s="17"/>
      <c r="E15" s="18"/>
    </row>
    <row r="16" spans="1:9" x14ac:dyDescent="0.2">
      <c r="A16" s="101" t="s">
        <v>213</v>
      </c>
      <c r="B16" s="21" t="str">
        <f>'Neraca Lajur'!B55</f>
        <v>HARGA POKOK PRODUKSI</v>
      </c>
      <c r="C16" s="17"/>
      <c r="D16" s="17"/>
      <c r="E16" s="18"/>
    </row>
    <row r="17" spans="1:5" x14ac:dyDescent="0.2">
      <c r="A17" s="101"/>
      <c r="B17" s="70" t="str">
        <f>'Neraca Lajur'!B56</f>
        <v>Bahan Baku Langsung</v>
      </c>
      <c r="C17" s="27"/>
      <c r="D17" s="17"/>
      <c r="E17" s="18"/>
    </row>
    <row r="18" spans="1:5" x14ac:dyDescent="0.2">
      <c r="A18" s="101"/>
      <c r="B18" s="22" t="str">
        <f>'Neraca Lajur'!B57</f>
        <v>BBL Klausa</v>
      </c>
      <c r="C18" s="27">
        <f>'Neraca Lajur'!K57</f>
        <v>16970012.5</v>
      </c>
      <c r="D18" s="17"/>
      <c r="E18" s="18"/>
    </row>
    <row r="19" spans="1:5" x14ac:dyDescent="0.2">
      <c r="A19" s="101"/>
      <c r="B19" s="22" t="str">
        <f>'Neraca Lajur'!B58</f>
        <v>BBL Chocofaza</v>
      </c>
      <c r="C19" s="27">
        <f>'Neraca Lajur'!K58</f>
        <v>0</v>
      </c>
      <c r="D19" s="17"/>
      <c r="E19" s="18"/>
    </row>
    <row r="20" spans="1:5" x14ac:dyDescent="0.2">
      <c r="A20" s="101"/>
      <c r="B20" s="70" t="str">
        <f>'Neraca Lajur'!B59</f>
        <v>Tenaga Kerja Langsung</v>
      </c>
      <c r="C20" s="27">
        <f>'Neraca Lajur'!K59</f>
        <v>8110000</v>
      </c>
      <c r="D20" s="21"/>
      <c r="E20" s="18"/>
    </row>
    <row r="21" spans="1:5" x14ac:dyDescent="0.2">
      <c r="A21" s="101"/>
      <c r="B21" s="70" t="str">
        <f>'Neraca Lajur'!B60</f>
        <v>Overhead Manufaktur</v>
      </c>
      <c r="C21" s="27"/>
      <c r="D21" s="21"/>
      <c r="E21" s="18"/>
    </row>
    <row r="22" spans="1:5" x14ac:dyDescent="0.2">
      <c r="A22" s="101"/>
      <c r="B22" s="22" t="str">
        <f>'Neraca Lajur'!B61</f>
        <v>BBTL Klausa</v>
      </c>
      <c r="C22" s="27">
        <f>'Neraca Lajur'!K61</f>
        <v>341250</v>
      </c>
      <c r="D22" s="21"/>
      <c r="E22" s="18"/>
    </row>
    <row r="23" spans="1:5" x14ac:dyDescent="0.2">
      <c r="A23" s="101"/>
      <c r="B23" s="22" t="str">
        <f>'Neraca Lajur'!B62</f>
        <v>BBTL Chocofaza</v>
      </c>
      <c r="C23" s="27">
        <f>'Neraca Lajur'!K62</f>
        <v>0</v>
      </c>
      <c r="D23" s="21"/>
      <c r="E23" s="18"/>
    </row>
    <row r="24" spans="1:5" x14ac:dyDescent="0.2">
      <c r="A24" s="101"/>
      <c r="B24" s="22" t="str">
        <f>'Neraca Lajur'!B63</f>
        <v>Tenaga Kerja Tidak Langsung</v>
      </c>
      <c r="C24" s="27">
        <f>'Neraca Lajur'!K63</f>
        <v>0</v>
      </c>
      <c r="D24" s="21"/>
      <c r="E24" s="18"/>
    </row>
    <row r="25" spans="1:5" x14ac:dyDescent="0.2">
      <c r="A25" s="101"/>
      <c r="B25" s="22" t="str">
        <f>'Neraca Lajur'!B64</f>
        <v>Sewa Tempat Produksi</v>
      </c>
      <c r="C25" s="27">
        <f>'Neraca Lajur'!K64</f>
        <v>2000000</v>
      </c>
      <c r="D25" s="21"/>
      <c r="E25" s="18"/>
    </row>
    <row r="26" spans="1:5" x14ac:dyDescent="0.2">
      <c r="A26" s="101"/>
      <c r="B26" s="22" t="str">
        <f>'Neraca Lajur'!B65</f>
        <v>Operasional Produksi</v>
      </c>
      <c r="C26" s="27">
        <f>'Neraca Lajur'!K65</f>
        <v>183000</v>
      </c>
      <c r="D26" s="21"/>
      <c r="E26" s="18"/>
    </row>
    <row r="27" spans="1:5" x14ac:dyDescent="0.2">
      <c r="A27" s="101"/>
      <c r="B27" s="22" t="str">
        <f>'Neraca Lajur'!B66</f>
        <v>Penyusutan Peralatan</v>
      </c>
      <c r="C27" s="27">
        <f>'Neraca Lajur'!K66</f>
        <v>1450000</v>
      </c>
      <c r="D27" s="21"/>
      <c r="E27" s="18"/>
    </row>
    <row r="28" spans="1:5" x14ac:dyDescent="0.2">
      <c r="A28" s="101"/>
      <c r="B28" s="22" t="str">
        <f>'Neraca Lajur'!B67</f>
        <v>Penyusutan Perlengkapan</v>
      </c>
      <c r="C28" s="27">
        <f>'Neraca Lajur'!K67</f>
        <v>30000</v>
      </c>
      <c r="D28" s="21"/>
      <c r="E28" s="18"/>
    </row>
    <row r="29" spans="1:5" x14ac:dyDescent="0.2">
      <c r="A29" s="101"/>
      <c r="B29" s="22" t="str">
        <f>'Neraca Lajur'!B68</f>
        <v>Pemeliharaan</v>
      </c>
      <c r="C29" s="27">
        <f>'Neraca Lajur'!K68</f>
        <v>230000</v>
      </c>
      <c r="D29" s="21"/>
      <c r="E29" s="18"/>
    </row>
    <row r="30" spans="1:5" x14ac:dyDescent="0.2">
      <c r="A30" s="102"/>
      <c r="B30" s="31" t="s">
        <v>94</v>
      </c>
      <c r="C30" s="22"/>
      <c r="D30" s="22"/>
      <c r="E30" s="28">
        <f>SUM(C17:C29)</f>
        <v>29314262.5</v>
      </c>
    </row>
    <row r="31" spans="1:5" x14ac:dyDescent="0.2">
      <c r="A31" s="102"/>
      <c r="B31" s="31"/>
      <c r="C31" s="22"/>
      <c r="D31" s="22"/>
      <c r="E31" s="24"/>
    </row>
    <row r="32" spans="1:5" x14ac:dyDescent="0.2">
      <c r="A32" s="101" t="s">
        <v>214</v>
      </c>
      <c r="B32" s="15" t="str">
        <f>'Neraca Lajur'!B69</f>
        <v>HARGA POKOK PRODUK TITIPAN</v>
      </c>
      <c r="C32" s="23"/>
      <c r="D32" s="22"/>
      <c r="E32" s="24"/>
    </row>
    <row r="33" spans="1:8" x14ac:dyDescent="0.2">
      <c r="A33" s="102"/>
      <c r="B33" s="17" t="str">
        <f>'Neraca Lajur'!B70</f>
        <v>Harga Produk Titipan</v>
      </c>
      <c r="C33" s="529">
        <f>'Neraca Lajur'!K70</f>
        <v>10446400</v>
      </c>
      <c r="D33" s="22"/>
      <c r="E33" s="24"/>
      <c r="F33" s="553"/>
    </row>
    <row r="34" spans="1:8" x14ac:dyDescent="0.2">
      <c r="A34" s="102"/>
      <c r="B34" s="17" t="str">
        <f>'Neraca Lajur'!B71</f>
        <v>Biaya Distribusi</v>
      </c>
      <c r="C34" s="30">
        <f>'Neraca Lajur'!K71</f>
        <v>0</v>
      </c>
      <c r="D34" s="22"/>
      <c r="E34" s="69"/>
    </row>
    <row r="35" spans="1:8" x14ac:dyDescent="0.2">
      <c r="A35" s="102"/>
      <c r="B35" s="31" t="s">
        <v>94</v>
      </c>
      <c r="C35" s="30"/>
      <c r="D35" s="22"/>
      <c r="E35" s="24">
        <f>SUM(C33:C34)</f>
        <v>10446400</v>
      </c>
    </row>
    <row r="36" spans="1:8" x14ac:dyDescent="0.2">
      <c r="A36" s="102"/>
      <c r="B36" s="17"/>
      <c r="C36" s="30"/>
      <c r="D36" s="22"/>
      <c r="E36" s="19"/>
    </row>
    <row r="37" spans="1:8" ht="13.5" thickBot="1" x14ac:dyDescent="0.25">
      <c r="A37" s="186" t="s">
        <v>215</v>
      </c>
      <c r="B37" s="188" t="s">
        <v>218</v>
      </c>
      <c r="C37" s="189"/>
      <c r="D37" s="189"/>
      <c r="E37" s="190">
        <f>E14-E30-E35</f>
        <v>10921337.5</v>
      </c>
      <c r="H37" s="49"/>
    </row>
    <row r="38" spans="1:8" ht="13.5" thickTop="1" x14ac:dyDescent="0.2">
      <c r="A38" s="101"/>
      <c r="B38" s="23"/>
      <c r="C38" s="23"/>
      <c r="D38" s="23"/>
      <c r="E38" s="20"/>
      <c r="H38" s="49"/>
    </row>
    <row r="39" spans="1:8" x14ac:dyDescent="0.2">
      <c r="A39" s="101" t="s">
        <v>216</v>
      </c>
      <c r="B39" s="15" t="str">
        <f>'Neraca Lajur'!B72</f>
        <v>BIAYA OPERASIONAL BISNIS</v>
      </c>
      <c r="C39" s="23"/>
      <c r="D39" s="23"/>
      <c r="E39" s="20"/>
    </row>
    <row r="40" spans="1:8" x14ac:dyDescent="0.2">
      <c r="A40" s="101"/>
      <c r="B40" s="17" t="str">
        <f>'Neraca Lajur'!B73</f>
        <v>Sewa Tempat Penjualan</v>
      </c>
      <c r="C40" s="30">
        <f>'Neraca Lajur'!K73</f>
        <v>0</v>
      </c>
      <c r="D40" s="22"/>
      <c r="E40" s="20"/>
    </row>
    <row r="41" spans="1:8" x14ac:dyDescent="0.2">
      <c r="A41" s="101"/>
      <c r="B41" s="17" t="str">
        <f>'Neraca Lajur'!B74</f>
        <v>Administrasi</v>
      </c>
      <c r="C41" s="30">
        <f>'Neraca Lajur'!K74</f>
        <v>0</v>
      </c>
      <c r="D41" s="20"/>
      <c r="E41" s="19"/>
    </row>
    <row r="42" spans="1:8" x14ac:dyDescent="0.2">
      <c r="A42" s="101"/>
      <c r="B42" s="17" t="str">
        <f>'Neraca Lajur'!B75</f>
        <v>HRD</v>
      </c>
      <c r="C42" s="30">
        <f>'Neraca Lajur'!K75</f>
        <v>503000</v>
      </c>
      <c r="D42" s="20"/>
      <c r="E42" s="19"/>
    </row>
    <row r="43" spans="1:8" x14ac:dyDescent="0.2">
      <c r="A43" s="101"/>
      <c r="B43" s="17" t="str">
        <f>'Neraca Lajur'!B76</f>
        <v>Pemasaran</v>
      </c>
      <c r="C43" s="30">
        <f>'Neraca Lajur'!K76</f>
        <v>900000</v>
      </c>
      <c r="D43" s="19"/>
      <c r="E43" s="24"/>
    </row>
    <row r="44" spans="1:8" x14ac:dyDescent="0.2">
      <c r="A44" s="101"/>
      <c r="B44" s="17" t="str">
        <f>'Neraca Lajur'!B77</f>
        <v>Operasional</v>
      </c>
      <c r="C44" s="30">
        <f>'Neraca Lajur'!K77</f>
        <v>440000</v>
      </c>
      <c r="D44" s="22"/>
      <c r="E44" s="18"/>
    </row>
    <row r="45" spans="1:8" x14ac:dyDescent="0.2">
      <c r="A45" s="101"/>
      <c r="B45" s="17" t="str">
        <f>'Neraca Lajur'!B78</f>
        <v>Tenaga Kerja Penjual</v>
      </c>
      <c r="C45" s="30">
        <f>'Neraca Lajur'!K78</f>
        <v>0</v>
      </c>
      <c r="D45" s="22"/>
      <c r="E45" s="18"/>
    </row>
    <row r="46" spans="1:8" x14ac:dyDescent="0.2">
      <c r="A46" s="101"/>
      <c r="B46" s="17" t="str">
        <f>'Neraca Lajur'!B79</f>
        <v>Riset Produk dan Riset Pasar</v>
      </c>
      <c r="C46" s="30">
        <f>'Neraca Lajur'!K79</f>
        <v>0</v>
      </c>
      <c r="D46" s="22"/>
      <c r="E46" s="18"/>
    </row>
    <row r="47" spans="1:8" x14ac:dyDescent="0.2">
      <c r="A47" s="101"/>
      <c r="B47" s="17" t="str">
        <f>'Neraca Lajur'!B80</f>
        <v>Biaya Lain-lain</v>
      </c>
      <c r="C47" s="30">
        <f>'Neraca Lajur'!K80</f>
        <v>3070000</v>
      </c>
      <c r="D47" s="22"/>
      <c r="E47" s="18"/>
    </row>
    <row r="48" spans="1:8" x14ac:dyDescent="0.2">
      <c r="A48" s="101"/>
      <c r="B48" s="32" t="s">
        <v>94</v>
      </c>
      <c r="C48" s="25"/>
      <c r="D48" s="25"/>
      <c r="E48" s="34">
        <f>SUM(C40:C47)</f>
        <v>4913000</v>
      </c>
    </row>
    <row r="49" spans="1:6" x14ac:dyDescent="0.2">
      <c r="A49" s="101"/>
      <c r="B49" s="17"/>
      <c r="C49" s="17"/>
      <c r="D49" s="17"/>
      <c r="E49" s="18"/>
    </row>
    <row r="50" spans="1:6" ht="13.5" thickBot="1" x14ac:dyDescent="0.25">
      <c r="A50" s="186" t="s">
        <v>217</v>
      </c>
      <c r="B50" s="188" t="s">
        <v>505</v>
      </c>
      <c r="C50" s="154"/>
      <c r="D50" s="154"/>
      <c r="E50" s="191">
        <f>E37-E48</f>
        <v>6008337.5</v>
      </c>
      <c r="F50" s="508"/>
    </row>
    <row r="51" spans="1:6" ht="13.5" hidden="1" thickTop="1" x14ac:dyDescent="0.2"/>
    <row r="52" spans="1:6" hidden="1" x14ac:dyDescent="0.2"/>
    <row r="53" spans="1:6" hidden="1" x14ac:dyDescent="0.2"/>
    <row r="54" spans="1:6" hidden="1" x14ac:dyDescent="0.2"/>
    <row r="55" spans="1:6" hidden="1" x14ac:dyDescent="0.2"/>
    <row r="56" spans="1:6" hidden="1" x14ac:dyDescent="0.2"/>
    <row r="57" spans="1:6" hidden="1" x14ac:dyDescent="0.2"/>
    <row r="58" spans="1:6" hidden="1" x14ac:dyDescent="0.2"/>
    <row r="59" spans="1:6" hidden="1" x14ac:dyDescent="0.2"/>
    <row r="60" spans="1:6" ht="13.5" thickTop="1" x14ac:dyDescent="0.2">
      <c r="A60" s="555"/>
      <c r="B60" s="556" t="s">
        <v>417</v>
      </c>
      <c r="C60" s="556"/>
      <c r="D60" s="556"/>
      <c r="E60" s="557">
        <f>E50/E14</f>
        <v>0.11854973166015548</v>
      </c>
    </row>
    <row r="61" spans="1:6" x14ac:dyDescent="0.2"/>
    <row r="62" spans="1:6" x14ac:dyDescent="0.2"/>
    <row r="63" spans="1:6" x14ac:dyDescent="0.2"/>
  </sheetData>
  <mergeCells count="8">
    <mergeCell ref="G1:I1"/>
    <mergeCell ref="G2:I2"/>
    <mergeCell ref="G3:I3"/>
    <mergeCell ref="G4:I4"/>
    <mergeCell ref="A1:E1"/>
    <mergeCell ref="A2:E2"/>
    <mergeCell ref="A3:E3"/>
    <mergeCell ref="A4:E4"/>
  </mergeCells>
  <phoneticPr fontId="2" type="noConversion"/>
  <pageMargins left="1.1811023622047245" right="1.1811023622047245" top="0.78740157480314965" bottom="0.78740157480314965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5</vt:i4>
      </vt:variant>
    </vt:vector>
  </HeadingPairs>
  <TitlesOfParts>
    <vt:vector size="39" baseType="lpstr">
      <vt:lpstr>Main Menu</vt:lpstr>
      <vt:lpstr>Neraca Awal</vt:lpstr>
      <vt:lpstr>Peralatan</vt:lpstr>
      <vt:lpstr>Dashboard</vt:lpstr>
      <vt:lpstr>Laporan Penjualan</vt:lpstr>
      <vt:lpstr>Neraca Lajur</vt:lpstr>
      <vt:lpstr>CashFlow</vt:lpstr>
      <vt:lpstr>Laporan Neraca</vt:lpstr>
      <vt:lpstr>Laporan Laba Rugi</vt:lpstr>
      <vt:lpstr>Gaji Karyawan</vt:lpstr>
      <vt:lpstr>Laporan Stok</vt:lpstr>
      <vt:lpstr>Rencana Pembelian</vt:lpstr>
      <vt:lpstr>POS</vt:lpstr>
      <vt:lpstr>Penjualan</vt:lpstr>
      <vt:lpstr>Penjualan CF</vt:lpstr>
      <vt:lpstr>Transaksi</vt:lpstr>
      <vt:lpstr>Jurnal Trans Klausa</vt:lpstr>
      <vt:lpstr>Laporan Mingguan</vt:lpstr>
      <vt:lpstr>Hitung</vt:lpstr>
      <vt:lpstr>Stok</vt:lpstr>
      <vt:lpstr>Stok Bahan Klausa</vt:lpstr>
      <vt:lpstr>Jurnal BB</vt:lpstr>
      <vt:lpstr>Stok Lajur</vt:lpstr>
      <vt:lpstr>Karyawan</vt:lpstr>
      <vt:lpstr>Gaji per Jabatan</vt:lpstr>
      <vt:lpstr>Biodata Karyawan</vt:lpstr>
      <vt:lpstr>Absen</vt:lpstr>
      <vt:lpstr>Forecasting</vt:lpstr>
      <vt:lpstr>Insentif</vt:lpstr>
      <vt:lpstr>Pembelian</vt:lpstr>
      <vt:lpstr>Rumus Bahan Baku</vt:lpstr>
      <vt:lpstr>Peramalan Permintaan</vt:lpstr>
      <vt:lpstr>Cabang</vt:lpstr>
      <vt:lpstr>Sheet1</vt:lpstr>
      <vt:lpstr>Akun</vt:lpstr>
      <vt:lpstr>Bahan</vt:lpstr>
      <vt:lpstr>NamaAkun</vt:lpstr>
      <vt:lpstr>NOMOR</vt:lpstr>
      <vt:lpstr>Saldo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2015-12-23T10:09:51Z</dcterms:created>
  <dcterms:modified xsi:type="dcterms:W3CDTF">2018-01-10T01:38:00Z</dcterms:modified>
</cp:coreProperties>
</file>